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60" windowHeight="101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state="hidden" r:id="rId21"/>
    <sheet name="假设开发法" sheetId="12" r:id="rId22"/>
    <sheet name="土地比较法-住宅、综合" sheetId="39" r:id="rId23"/>
    <sheet name="收益法" sheetId="15" r:id="rId24"/>
    <sheet name="土地案例" sheetId="83" r:id="rId25"/>
    <sheet name="出租案例" sheetId="84"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仓储" sheetId="36" state="hidden" r:id="rId34"/>
    <sheet name="比较法-车位" sheetId="35"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 localSheetId="24">[1]区片价!$Q$1:$Q$44</definedName>
    <definedName name="八级">区片价!$P$1:$P$44</definedName>
    <definedName name="办公层高" localSheetId="24">'[1]不动产比较法-办公'!$B$119:$M$119</definedName>
    <definedName name="办公层高">'比较法-办公'!$B$119:$M$119</definedName>
    <definedName name="办公朝向" localSheetId="24">'[1]不动产比较法-办公'!$B$91:$M$91</definedName>
    <definedName name="办公朝向">'比较法-办公'!$B$91:$M$91</definedName>
    <definedName name="办公道路级别" localSheetId="24">'[1]不动产比较法-办公'!$B$87:$M$87</definedName>
    <definedName name="办公道路级别">'比较法-办公'!$B$87:$M$87</definedName>
    <definedName name="办公公共部分装修" localSheetId="24">'[1]不动产比较法-办公'!$B$108:$M$108</definedName>
    <definedName name="办公公共部分装修">'比较法-办公'!$B$108:$M$108</definedName>
    <definedName name="办公基础设施水平" localSheetId="24">'[1]不动产比较法-办公'!$B$117:$M$117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'比较法-办公'!$B$106:$M$106</definedName>
    <definedName name="办公建筑类型" localSheetId="24">'[1]不动产比较法-办公'!$B$101:$M$101</definedName>
    <definedName name="办公建筑类型">'比较法-办公'!$B$101:$M$101</definedName>
    <definedName name="办公交易情况" localSheetId="24">'[1]不动产比较法-办公'!$A$62:$M$62</definedName>
    <definedName name="办公交易情况">'比较法-办公'!$A$62:$M$62</definedName>
    <definedName name="办公楼层" localSheetId="24">'[1]不动产比较法-办公'!$B$89:$M$89</definedName>
    <definedName name="办公楼层">'比较法-办公'!$B$89:$M$89</definedName>
    <definedName name="办公内部装修" localSheetId="24">'[1]不动产比较法-办公'!$B$123:$M$123</definedName>
    <definedName name="办公内部装修">'比较法-办公'!$B$123:$M$123</definedName>
    <definedName name="办公物业管理" localSheetId="24">'[1]不动产比较法-办公'!$B$115:$M$115</definedName>
    <definedName name="办公物业管理">'比较法-办公'!$B$115:$M$115</definedName>
    <definedName name="办公用途" localSheetId="24">'[1]不动产比较法-办公'!$B$64:$M$64</definedName>
    <definedName name="办公用途">'比较法-办公'!$B$64:$M$64</definedName>
    <definedName name="仓储公共部分装修" localSheetId="24">'[1]不动产比较法-仓储废弃'!$B$77:$M$77</definedName>
    <definedName name="仓储公共部分装修">'比较法-仓储'!$B$77:$M$77</definedName>
    <definedName name="仓储交易情况" localSheetId="24">'[1]不动产比较法-仓储废弃'!$A$49:$M$49</definedName>
    <definedName name="仓储交易情况">'比较法-仓储'!$A$49:$M$49</definedName>
    <definedName name="仓储楼层" localSheetId="24">'[1]不动产比较法-仓储废弃'!$B$69:$M$69</definedName>
    <definedName name="仓储楼层">'比较法-仓储'!$B$69:$M$69</definedName>
    <definedName name="仓储物业等级" localSheetId="24">'[1]不动产比较法-仓储废弃'!$B$82:$M$82</definedName>
    <definedName name="仓储物业等级">'比较法-仓储'!$B$82:$M$82</definedName>
    <definedName name="仓储用途" localSheetId="24">'[1]不动产比较法-仓储废弃'!$B$51:$M$51</definedName>
    <definedName name="仓储用途">'比较法-仓储'!$B$51:$M$51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'比较法-车位'!$B$83:$M$83</definedName>
    <definedName name="车位交易情况" localSheetId="24">'[1]不动产比较法-车位'!$A$51:$M$51</definedName>
    <definedName name="车位交易情况">'比较法-车位'!$A$51:$M$51</definedName>
    <definedName name="车位类型" localSheetId="24">'[1]不动产比较法-车位'!$B$93:$M$93</definedName>
    <definedName name="车位类型">'比较法-车位'!$B$93:$M$93</definedName>
    <definedName name="车位楼层" localSheetId="24">'[1]不动产比较法-车位'!$B$71:$M$71</definedName>
    <definedName name="车位楼层">'比较法-车位'!$B$71:$M$71</definedName>
    <definedName name="车位配套类型" localSheetId="24">'[1]不动产比较法-车位'!$B$79:$M$79</definedName>
    <definedName name="车位配套类型">'比较法-车位'!$B$79:$M$79</definedName>
    <definedName name="车位物业等级" localSheetId="24">'[1]不动产比较法-车位'!$B$88:$M$88</definedName>
    <definedName name="车位物业等级">'比较法-车位'!$B$88:$M$88</definedName>
    <definedName name="车位用途" localSheetId="24">'[1]不动产比较法-车位'!$B$53:$M$53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 localSheetId="24">[1]区片价!$K$1:$K$21</definedName>
    <definedName name="二级">区片价!$J$1:$J$21</definedName>
    <definedName name="二级分类" localSheetId="24">[1]修正!$C$19:$C$51</definedName>
    <definedName name="二级分类">修正!$C$19:$C$51</definedName>
    <definedName name="法定最高年限" localSheetId="24">[1]定义!$G$2:$G$5</definedName>
    <definedName name="法定最高年限">定义!$G$1:$G$6</definedName>
    <definedName name="工业公共部分装修" localSheetId="24">'[1]不动产比较法-工业'!$B$95:$M$95</definedName>
    <definedName name="工业公共部分装修">'比较法-工业'!$B$95:$M$95</definedName>
    <definedName name="工业基础设施水平" localSheetId="24">'[1]不动产比较法-工业'!$B$102:$M$102</definedName>
    <definedName name="工业基础设施水平">'比较法-工业'!$B$102:$M$102</definedName>
    <definedName name="工业建筑结构" localSheetId="24">'[1]不动产比较法-工业'!$B$93:$M$93</definedName>
    <definedName name="工业建筑结构">'比较法-工业'!$B$93:$M$93</definedName>
    <definedName name="工业建筑类型" localSheetId="24">'[1]不动产比较法-工业'!$B$88:$M$88</definedName>
    <definedName name="工业建筑类型">'比较法-工业'!$B$88:$M$88</definedName>
    <definedName name="工业交易情况" localSheetId="24">'[1]不动产比较法-工业'!$A$55:$M$55</definedName>
    <definedName name="工业交易情况">'比较法-工业'!$A$55:$M$55</definedName>
    <definedName name="工业内部装修" localSheetId="24">'[1]不动产比较法-工业'!$B$104:$M$104</definedName>
    <definedName name="工业内部装修">'比较法-工业'!$B$104:$M$104</definedName>
    <definedName name="工业物业管理" localSheetId="24">'[1]不动产比较法-工业'!$B$100:$M$100</definedName>
    <definedName name="工业物业管理">'比较法-工业'!$B$100:$M$100</definedName>
    <definedName name="工业用途" localSheetId="24">'[1]不动产比较法-工业'!$B$57:$M$57</definedName>
    <definedName name="工业用途">'比较法-工业'!$B$57:$M$57</definedName>
    <definedName name="公共配套设施" localSheetId="24">[1]定义!$Q$1:$Q$6</definedName>
    <definedName name="公共配套设施">定义!$Q$1:$Q$6</definedName>
    <definedName name="估价范围判定" localSheetId="24">[1]定义!$D$1:$D$4</definedName>
    <definedName name="估价范围判定">定义!$D$1:$D$4</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4">[1]基准地价!$N$19:$AB$19</definedName>
    <definedName name="季度">基准地价修正!$Q$19:$AD$19</definedName>
    <definedName name="季度2014">[1]地价!$A$2:$A$41</definedName>
    <definedName name="价值类型2" localSheetId="24">[1]定义!$B$54:$B$56</definedName>
    <definedName name="价值类型2">定义!$B$54:$B$56</definedName>
    <definedName name="交通便捷度" localSheetId="24">[1]定义!$O$1:$O$6</definedName>
    <definedName name="交通便捷度">定义!$O$1:$O$6</definedName>
    <definedName name="九级" localSheetId="24">[1]区片价!$R$1:$R$51</definedName>
    <definedName name="九级">区片价!$Q$1:$Q$51</definedName>
    <definedName name="居住社区成熟度" localSheetId="24">[1]定义!$K$1:$K$6</definedName>
    <definedName name="居住社区成熟度">定义!$K$1:$K$6</definedName>
    <definedName name="看看看">'[2]比较法-办公'!$B$119:$M$119</definedName>
    <definedName name="类别" localSheetId="24">[1]定义!$J$1:$J$3</definedName>
    <definedName name="类别">定义!$J$1:$J$3</definedName>
    <definedName name="临街状况" localSheetId="24">[1]定义!$T$1:$T$5</definedName>
    <definedName name="临街状况">定义!$T$1:$T$5</definedName>
    <definedName name="六级" localSheetId="24">[1]区片价!$O$1:$O$64</definedName>
    <definedName name="六级">区片价!$N$1:$N$64</definedName>
    <definedName name="内部装修维护情况" localSheetId="24">[1]定义!$U$1:$U$6</definedName>
    <definedName name="内部装修维护情况">定义!$U$1:$U$6</definedName>
    <definedName name="七级" localSheetId="24">[1]区片价!$P$1:$P$45</definedName>
    <definedName name="七级">区片价!$O$1:$O$45</definedName>
    <definedName name="七通一平" localSheetId="24">[1]修正!$A$8:$A$16</definedName>
    <definedName name="七通一平">修正!$A$8:$A$16</definedName>
    <definedName name="区域土地利用方向" localSheetId="24">[1]定义!$P$1:$P$6</definedName>
    <definedName name="区域土地利用方向">定义!$P$1:$P$6</definedName>
    <definedName name="三级" localSheetId="24">[1]区片价!$L$1:$L$26</definedName>
    <definedName name="三级">区片价!$K$1:$K$26</definedName>
    <definedName name="商业层高" localSheetId="24">'[1]不动产比较法-商业'!$B$116:$M$116</definedName>
    <definedName name="商业层高">'比较法-商业'!$B$116:$M$116</definedName>
    <definedName name="商业成新度" localSheetId="24">'[1]不动产比较法-商业'!$B$109:$M$109</definedName>
    <definedName name="商业成新度">'比较法-商业'!$B$109:$M$109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'比较法-商业'!$B$107:$M$107</definedName>
    <definedName name="商业基础设施水平" localSheetId="24">'[1]不动产比较法-商业'!$B$112:$M$112</definedName>
    <definedName name="商业基础设施水平">'比较法-商业'!$B$112:$M$112</definedName>
    <definedName name="商业建筑结构" localSheetId="24">'[1]不动产比较法-商业'!$B$105:$M$105</definedName>
    <definedName name="商业建筑结构">'比较法-商业'!$B$105:$M$105</definedName>
    <definedName name="商业交易情况" localSheetId="24">'[1]不动产比较法-商业'!$A$61:$M$61</definedName>
    <definedName name="商业交易情况">'比较法-商业'!$A$61:$M$61</definedName>
    <definedName name="商业街名称" localSheetId="24">[1]修正!$C$71:$C$139</definedName>
    <definedName name="商业街名称">修正!$C$71:$C$138</definedName>
    <definedName name="商业进深比" localSheetId="24">'[1]不动产比较法-商业'!$B$120:$M$120</definedName>
    <definedName name="商业进深比">'比较法-商业'!$B$120:$M$120</definedName>
    <definedName name="商业类型" localSheetId="24">'[1]不动产比较法-商业'!$B$100:$M$100</definedName>
    <definedName name="商业类型">'比较法-商业'!$B$100:$M$100</definedName>
    <definedName name="商业临街状况" localSheetId="24">'[1]不动产比较法-商业'!$B$86:$M$86</definedName>
    <definedName name="商业临街状况">'比较法-商业'!$B$86:$M$86</definedName>
    <definedName name="商业楼层" localSheetId="24">'[1]不动产比较法-商业'!$B$92:$M$92</definedName>
    <definedName name="商业楼层">'比较法-商业'!$B$92:$M$92</definedName>
    <definedName name="商业内部装修" localSheetId="24">'[1]不动产比较法-商业'!$B$122:$M$122</definedName>
    <definedName name="商业内部装修">'比较法-商业'!$B$122:$M$122</definedName>
    <definedName name="商业人流量" localSheetId="24">'[1]不动产比较法-商业'!$B$90:$M$90</definedName>
    <definedName name="商业人流量">'比较法-商业'!$B$90:$M$90</definedName>
    <definedName name="商业业态" localSheetId="24">'[1]不动产比较法-商业'!$B$114:$M$114</definedName>
    <definedName name="商业业态">'比较法-商业'!$B$114:$M$114</definedName>
    <definedName name="商业用途" localSheetId="24">'[1]不动产比较法-商业'!$B$63:$M$63</definedName>
    <definedName name="商业用途">'比较法-商业'!$B$63:$M$63</definedName>
    <definedName name="十二级" localSheetId="24">[1]区片价!$U$1:$U$8</definedName>
    <definedName name="十二级">区片价!$T$1:$T$8</definedName>
    <definedName name="十级" localSheetId="24">[1]区片价!$S$1:$S$32</definedName>
    <definedName name="十级">区片价!$R$1:$R$32</definedName>
    <definedName name="十一级" localSheetId="24">[1]区片价!$T$1:$T$21</definedName>
    <definedName name="十一级">区片价!$S$1:$S$21</definedName>
    <definedName name="是否封闭" localSheetId="24">'[1]不动产比较法-仓储废弃'!$B$89:$M$89</definedName>
    <definedName name="是否封闭">'比较法-仓储'!$B$89:$M$89</definedName>
    <definedName name="是否直接入户" localSheetId="24">'[1]不动产比较法-车位'!$B$95:$M$95</definedName>
    <definedName name="是否直接入户">'比较法-车位'!$B$95:$M$95</definedName>
    <definedName name="四级" localSheetId="24">[1]区片价!$M$1:$M$33</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4">'[1]比较法-工业'!$B$100:$M$100</definedName>
    <definedName name="套工土地级别">'土地比较法-工业'!$B$99:$M$99</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'土地比较法-工业'!$B$110:$M$110</definedName>
    <definedName name="套综道路等级" localSheetId="24">'[1]比较法-住宅、综合'!$B$107:$M$107</definedName>
    <definedName name="套综道路等级">'土地比较法-住宅、综合'!$B$105:$M$105</definedName>
    <definedName name="套综工程地质条件" localSheetId="24">'[1]比较法-住宅、综合'!$B$126:$M$126</definedName>
    <definedName name="套综工程地质条件">'土地比较法-住宅、综合'!$B$124:$M$124</definedName>
    <definedName name="套综交易情况" localSheetId="24">'[1]比较法-住宅、综合'!$A$74:$M$74</definedName>
    <definedName name="套综交易情况">'土地比较法-住宅、综合'!$A$72:$M$72</definedName>
    <definedName name="套综临街宽度及深度" localSheetId="24">'[1]比较法-住宅、综合'!$B$122:$M$122</definedName>
    <definedName name="套综临街宽度及深度">'土地比较法-住宅、综合'!$B$120:$M$120</definedName>
    <definedName name="套综土地级别" localSheetId="24">'[1]比较法-住宅、综合'!$B$109:$M$109</definedName>
    <definedName name="套综土地级别">'土地比较法-住宅、综合'!$B$107:$M$107</definedName>
    <definedName name="套综用途" localSheetId="24">'[1]比较法-住宅、综合'!$B$76:$M$76</definedName>
    <definedName name="套综用途">'土地比较法-住宅、综合'!$B$74:$M$74</definedName>
    <definedName name="套综宗地内开发程度" localSheetId="24">'[1]比较法-住宅、综合'!$B$124:$M$124</definedName>
    <definedName name="套综宗地内开发程度">'土地比较法-住宅、综合'!$B$122:$M$122</definedName>
    <definedName name="套综宗地形状" localSheetId="24">'[1]比较法-住宅、综合'!$B$120:$M$120</definedName>
    <definedName name="套综宗地形状">'土地比较法-住宅、综合'!$B$118:$M$118</definedName>
    <definedName name="土地估价师" localSheetId="24">[1]估价师及机构信息!$D$3:$D$17</definedName>
    <definedName name="土地估价师">估价师及机构信息!$D$3:$D$24</definedName>
    <definedName name="土地级别" localSheetId="24">[1]定义!$C$1:$C$14</definedName>
    <definedName name="土地级别">定义!$C$1:$C$14</definedName>
    <definedName name="土地利用方向" localSheetId="24">[1]定义!$P$1:$P$6</definedName>
    <definedName name="土地利用方向">定义!$P$1:$P$6</definedName>
    <definedName name="土地年限区间" localSheetId="24">[1]定义!$I$1:$I$16</definedName>
    <definedName name="土地年限区间">定义!$I$1:$I$16</definedName>
    <definedName name="位置" localSheetId="24">[1]定义!$E$2:$E$4</definedName>
    <definedName name="位置">定义!$E$2:$E$4</definedName>
    <definedName name="五等判定" localSheetId="24">[1]定义!$W$1:$W$6</definedName>
    <definedName name="五等判定">定义!$W$1:$W$6</definedName>
    <definedName name="五级" localSheetId="24">[1]区片价!$N$1:$N$41</definedName>
    <definedName name="五级">区片价!$M$1:$M$41</definedName>
    <definedName name="项目类型" localSheetId="27">'[3]数据-汇总表'!$C$17:$C$26</definedName>
    <definedName name="项目类型" localSheetId="24">'[1]数据-汇总表'!$C$17:$C$26</definedName>
    <definedName name="项目类型">'数据-汇总表'!$C$17:$C$26</definedName>
    <definedName name="写字楼等级" localSheetId="24">'[1]不动产比较法-办公'!$B$113:$M$113</definedName>
    <definedName name="写字楼等级">'比较法-办公'!$B$113:$M$113</definedName>
    <definedName name="一级" localSheetId="24">[1]区片价!$J$1:$J$6</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4">'[1]不动产比较法-仓储废弃'!$B$84:$M$84</definedName>
    <definedName name="有无电梯">'比较法-仓储'!$B$84:$M$84</definedName>
    <definedName name="主用途" localSheetId="24">[1]定义!$F$1:$F$12</definedName>
    <definedName name="主用途">定义!$F$1:$F$12</definedName>
    <definedName name="住宅朝向" localSheetId="24">'[1]不动产比较法-住宅废'!$B$88:$M$88</definedName>
    <definedName name="住宅朝向">'比较法-住宅'!$B$88:$M$88</definedName>
    <definedName name="住宅房型" localSheetId="24">'[1]不动产比较法-住宅废'!$B$118:$M$118</definedName>
    <definedName name="住宅房型">'比较法-住宅'!$B$118:$M$118</definedName>
    <definedName name="住宅公共部分装修" localSheetId="24">'[1]不动产比较法-住宅废'!$B$109:$M$109</definedName>
    <definedName name="住宅公共部分装修">'比较法-住宅'!$B$109:$M$109</definedName>
    <definedName name="住宅基础设施水平" localSheetId="24">'[1]不动产比较法-住宅废'!$B$116:$M$116</definedName>
    <definedName name="住宅基础设施水平">'比较法-住宅'!$B$116:$M$116</definedName>
    <definedName name="住宅建筑结构" localSheetId="24">'[1]不动产比较法-住宅废'!$B$105:$M$105</definedName>
    <definedName name="住宅建筑结构">'比较法-住宅'!$B$105:$M$105</definedName>
    <definedName name="住宅建筑类型" localSheetId="24">'[1]不动产比较法-住宅废'!$B$100:$M$100</definedName>
    <definedName name="住宅建筑类型">'比较法-住宅'!$B$100:$M$100</definedName>
    <definedName name="住宅建筑品质" localSheetId="24">'[1]不动产比较法-住宅废'!$B$107:$M$107</definedName>
    <definedName name="住宅建筑品质">'比较法-住宅'!$B$107:$M$107</definedName>
    <definedName name="住宅交易情况" localSheetId="24">'[1]不动产比较法-住宅废'!$A$61:$M$61</definedName>
    <definedName name="住宅交易情况">'比较法-住宅'!$A$61:$M$61</definedName>
    <definedName name="住宅楼层" localSheetId="24">'[1]不动产比较法-住宅废'!$B$86:$M$86</definedName>
    <definedName name="住宅楼层">'比较法-住宅'!$B$86:$M$86</definedName>
    <definedName name="住宅内部装修" localSheetId="24">'[1]不动产比较法-住宅废'!$B$122:$M$122</definedName>
    <definedName name="住宅内部装修">'比较法-住宅'!$B$122:$M$122</definedName>
    <definedName name="住宅物业管理" localSheetId="24">'[1]不动产比较法-住宅废'!$B$114:$M$114</definedName>
    <definedName name="住宅物业管理">'比较法-住宅'!$B$114:$M$114</definedName>
    <definedName name="住宅用途" localSheetId="24">'[1]不动产比较法-住宅废'!$B$63:$M$63</definedName>
    <definedName name="住宅用途">'比较法-住宅'!$B$63:$M$63</definedName>
    <definedName name="住宅主力户型面积" localSheetId="24">'[1]不动产比较法-住宅废'!$B$120:$M$120</definedName>
    <definedName name="住宅主力户型面积">'比较法-住宅'!$B$120:$M$120</definedName>
    <definedName name="注册房地产估价师" localSheetId="24">[1]估价师及机构信息!$A$3:$A$17</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<sst xmlns="http://schemas.openxmlformats.org/spreadsheetml/2006/main" count="8725" uniqueCount="3099">
  <si>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</si>
  <si>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</si>
  <si>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</si>
  <si>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</si>
  <si>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</si>
  <si>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</si>
  <si>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</si>
  <si>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</si>
  <si>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</si>
  <si>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</si>
  <si>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</si>
  <si>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</si>
  <si>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</si>
  <si>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</si>
  <si>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</si>
  <si>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</si>
  <si>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</si>
  <si>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</si>
  <si>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</si>
  <si>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</si>
  <si>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</si>
  <si>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</si>
  <si>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</si>
  <si>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</si>
  <si>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</si>
  <si>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</si>
  <si>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</si>
  <si>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</si>
  <si>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</si>
  <si>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</si>
  <si>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</si>
  <si>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</si>
  <si>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</si>
  <si>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</si>
  <si>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</si>
  <si>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</si>
  <si>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</si>
  <si>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</si>
  <si>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</si>
  <si>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</si>
  <si>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</si>
  <si>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</si>
  <si>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</si>
  <si>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</si>
  <si>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</si>
  <si>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</si>
  <si>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</si>
  <si>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</si>
  <si>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</si>
  <si>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</si>
  <si>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</si>
  <si>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</si>
  <si>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</si>
  <si>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</si>
  <si>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</si>
  <si>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</si>
  <si>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</si>
  <si>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</si>
  <si>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</si>
  <si>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</si>
  <si>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</si>
  <si>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</si>
  <si>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</si>
  <si>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</si>
  <si>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</si>
  <si>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</si>
  <si>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</si>
  <si>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</si>
  <si>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</si>
  <si>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</si>
  <si>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</si>
  <si>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</si>
  <si>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</si>
  <si>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</si>
  <si>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</si>
  <si>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</si>
  <si>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</si>
  <si>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</si>
  <si>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</si>
  <si>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</si>
  <si>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</si>
  <si>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</si>
  <si>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</si>
  <si>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</si>
  <si>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</si>
  <si>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</si>
  <si>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</si>
  <si>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</si>
  <si>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</si>
  <si>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</si>
  <si>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</si>
  <si>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</si>
  <si>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</si>
  <si>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</si>
  <si>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</si>
  <si>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</si>
  <si>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</si>
  <si>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</si>
  <si>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</si>
  <si>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</si>
  <si>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</si>
  <si>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</si>
  <si>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</si>
  <si>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</si>
  <si>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</si>
  <si>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</si>
  <si>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</si>
  <si>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</si>
  <si>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</si>
  <si>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</si>
  <si>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</si>
  <si>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</si>
  <si>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</si>
  <si>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</si>
  <si>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</si>
  <si>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</si>
  <si>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</si>
  <si>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</si>
  <si>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</si>
  <si>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</si>
  <si>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</si>
  <si>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</si>
  <si>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</si>
  <si>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</si>
  <si>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</si>
  <si>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</si>
  <si>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</si>
  <si>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</si>
  <si>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</si>
  <si>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</si>
  <si>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</si>
  <si>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</si>
  <si>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</si>
  <si>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</si>
  <si>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</si>
  <si>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</si>
  <si>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</si>
  <si>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</si>
  <si>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</si>
  <si>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</si>
  <si>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</si>
  <si>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</si>
  <si>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</si>
  <si>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</si>
  <si>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</si>
  <si>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</si>
  <si>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</si>
  <si>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</si>
  <si>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</si>
  <si>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</si>
  <si>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</si>
  <si>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</si>
  <si>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</si>
  <si>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</si>
  <si>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</si>
  <si>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</si>
  <si>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</si>
  <si>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</si>
  <si>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</si>
  <si>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</si>
  <si>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</si>
  <si>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</si>
  <si>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</si>
  <si>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</si>
  <si>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</si>
  <si>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</si>
  <si>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</si>
  <si>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</si>
  <si>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</si>
  <si>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</si>
  <si>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</si>
  <si>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</si>
  <si>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</si>
  <si>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</si>
  <si>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</si>
  <si>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</si>
  <si>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</si>
  <si>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</si>
  <si>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</si>
  <si>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</si>
  <si>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</si>
  <si>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</si>
  <si>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</si>
  <si>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</si>
  <si>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</si>
  <si>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</si>
  <si>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</si>
  <si>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</si>
  <si>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</si>
  <si>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</si>
  <si>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</si>
  <si>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</si>
  <si>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</si>
  <si>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</si>
  <si>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</si>
  <si>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</si>
  <si>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</si>
  <si>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</si>
  <si>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</si>
  <si>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</si>
  <si>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</si>
  <si>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</si>
  <si>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</si>
  <si>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</si>
  <si>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</si>
  <si>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</si>
  <si>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</si>
  <si>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</si>
  <si>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</si>
  <si>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</si>
  <si>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</si>
  <si>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</si>
  <si>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</si>
  <si>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</si>
  <si>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</si>
  <si>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</si>
  <si>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</si>
  <si>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</si>
  <si>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</si>
  <si>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</si>
  <si>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</si>
  <si>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</si>
  <si>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</si>
  <si>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</si>
  <si>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</si>
  <si>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</si>
  <si>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</si>
  <si>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</si>
  <si>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</si>
  <si>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</si>
  <si>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</si>
  <si>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</si>
  <si>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</si>
  <si>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</si>
  <si>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</si>
  <si>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</si>
  <si>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</si>
  <si>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</si>
  <si>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</si>
  <si>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</si>
  <si>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</si>
  <si>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</si>
  <si>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</si>
  <si>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</si>
  <si>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</si>
  <si>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</si>
  <si>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</si>
  <si>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</si>
  <si>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</si>
  <si>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</si>
  <si>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</si>
  <si>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</si>
  <si>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</si>
  <si>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</si>
  <si>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</si>
  <si>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</si>
  <si>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</si>
  <si>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</si>
  <si>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</si>
  <si>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</si>
  <si>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</si>
  <si>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</si>
  <si>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</si>
  <si>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</si>
  <si>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</si>
  <si>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</si>
  <si>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</si>
  <si>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</si>
  <si>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</si>
  <si>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</si>
  <si>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</si>
  <si>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</si>
  <si>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</si>
  <si>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</si>
  <si>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</si>
  <si>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</si>
  <si>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</si>
  <si>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</si>
  <si>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</si>
  <si>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</si>
  <si>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</si>
  <si>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</si>
  <si>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</si>
  <si>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</si>
  <si>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</si>
  <si>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</si>
  <si>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</si>
  <si>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</si>
  <si>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</si>
  <si>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</si>
  <si>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</si>
  <si>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</si>
  <si>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</si>
  <si>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</si>
  <si>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</si>
  <si>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</si>
  <si>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</si>
  <si>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</si>
  <si>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</si>
  <si>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</si>
  <si>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</si>
  <si>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</si>
  <si>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</si>
  <si>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</si>
  <si>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</si>
  <si>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</si>
  <si>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</si>
  <si>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</si>
  <si>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</si>
  <si>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</si>
  <si>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</si>
  <si>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</si>
  <si>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</si>
  <si>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</si>
  <si>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</si>
  <si>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</si>
  <si>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</si>
  <si>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</si>
  <si>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</si>
  <si>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</si>
  <si>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</si>
  <si>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</si>
  <si>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</si>
  <si>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</si>
  <si>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</si>
  <si>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</si>
  <si>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</si>
  <si>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</si>
  <si>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</si>
  <si>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</si>
  <si>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</si>
  <si>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</si>
  <si>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</si>
  <si>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</si>
  <si>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</si>
  <si>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</si>
  <si>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</si>
  <si>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</si>
  <si>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</si>
  <si>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</si>
  <si>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</si>
  <si>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</si>
  <si>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</si>
  <si>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</si>
  <si>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</si>
  <si>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</si>
  <si>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</si>
  <si>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</si>
  <si>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</si>
  <si>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</si>
  <si>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</si>
  <si>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</si>
  <si>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</si>
  <si>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</si>
  <si>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</si>
  <si>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</si>
  <si>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</si>
  <si>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</si>
  <si>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</si>
  <si>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</si>
  <si>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</si>
  <si>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</si>
  <si>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</si>
  <si>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</si>
  <si>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</si>
  <si>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</si>
  <si>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</si>
  <si>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</si>
  <si>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</si>
  <si>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</si>
  <si>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</si>
  <si>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</si>
  <si>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</si>
  <si>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</si>
  <si>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</si>
  <si>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</si>
  <si>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</si>
  <si>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</si>
  <si>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</si>
  <si>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</si>
  <si>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</si>
  <si>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</si>
  <si>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</si>
  <si>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</si>
  <si>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</si>
  <si>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</si>
  <si>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</si>
  <si>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</si>
  <si>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</si>
  <si>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</si>
  <si>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</si>
  <si>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</si>
  <si>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</si>
  <si>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</si>
  <si>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</si>
  <si>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</si>
  <si>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</si>
  <si>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</si>
  <si>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</si>
  <si>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</si>
  <si>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</si>
  <si>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</si>
  <si>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</si>
  <si>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</si>
  <si>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</si>
  <si>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</si>
  <si>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</si>
  <si>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</si>
  <si>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</si>
  <si>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</si>
  <si>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</si>
  <si>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</si>
  <si>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</si>
  <si>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</si>
  <si>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</si>
  <si>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</si>
  <si>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</si>
  <si>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</si>
  <si>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</si>
  <si>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</si>
  <si>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</si>
  <si>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</si>
  <si>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</si>
  <si>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</si>
  <si>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</si>
  <si>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</si>
  <si>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</si>
  <si>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</si>
  <si>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</si>
  <si>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</si>
  <si>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</si>
  <si>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</si>
  <si>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</si>
  <si>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</si>
  <si>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</si>
  <si>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</si>
  <si>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</si>
  <si>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</si>
  <si>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</si>
  <si>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</si>
  <si>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</si>
  <si>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</si>
  <si>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</si>
  <si>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</si>
  <si>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</si>
  <si>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</si>
  <si>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</si>
  <si>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</si>
  <si>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</si>
  <si>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</si>
  <si>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</si>
  <si>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</si>
  <si>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</si>
  <si>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</si>
  <si>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</si>
  <si>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</si>
  <si>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</si>
  <si>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</si>
  <si>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</si>
  <si>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</si>
  <si>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</si>
  <si>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</si>
  <si>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</si>
  <si>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</si>
  <si>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</si>
  <si>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</si>
  <si>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</si>
  <si>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</si>
  <si>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</si>
  <si>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</si>
  <si>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</si>
  <si>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</si>
  <si>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</si>
  <si>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</si>
  <si>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</si>
  <si>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</si>
  <si>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</si>
  <si>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</si>
  <si>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</si>
  <si>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</si>
  <si>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</si>
  <si>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</si>
  <si>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</si>
  <si>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</si>
  <si>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</si>
  <si>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</si>
  <si>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</si>
  <si>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</si>
  <si>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</si>
  <si>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</si>
  <si>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</si>
  <si>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</si>
  <si>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</si>
  <si>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</si>
  <si>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</si>
  <si>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</si>
  <si>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</si>
  <si>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</si>
  <si>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</si>
  <si>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</si>
  <si>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</si>
  <si>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</si>
  <si>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</si>
  <si>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</si>
  <si>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</si>
  <si>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</si>
  <si>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</si>
  <si>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</si>
  <si>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</si>
  <si>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</si>
  <si>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</si>
  <si>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</si>
  <si>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</si>
  <si>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</si>
  <si>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</si>
  <si>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</si>
  <si>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</si>
  <si>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</si>
  <si>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</si>
  <si>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</si>
  <si>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</si>
  <si>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</si>
  <si>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</si>
  <si>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</si>
  <si>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</si>
  <si>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</si>
  <si>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</si>
  <si>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</si>
  <si>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</si>
  <si>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</si>
  <si>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</si>
  <si>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</si>
  <si>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</si>
  <si>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</si>
  <si>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</si>
  <si>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</si>
  <si>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</si>
  <si>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</si>
  <si>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</si>
  <si>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</si>
  <si>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</si>
  <si>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</si>
  <si>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</si>
  <si>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</si>
  <si>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</si>
  <si>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</si>
  <si>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</si>
  <si>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</si>
  <si>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</si>
  <si>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</si>
  <si>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</si>
  <si>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</si>
  <si>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</si>
  <si>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</si>
  <si>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</si>
  <si>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</si>
  <si>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</si>
  <si>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</si>
  <si>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</si>
  <si>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</si>
  <si>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</si>
  <si>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</si>
  <si>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</si>
  <si>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</si>
  <si>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</si>
  <si>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</si>
  <si>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</si>
  <si>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</si>
  <si>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</si>
  <si>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</si>
  <si>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</si>
  <si>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</si>
  <si>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</si>
  <si>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</si>
  <si>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</si>
  <si>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</si>
  <si>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</si>
  <si>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</si>
  <si>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</si>
  <si>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</si>
  <si>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</si>
  <si>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</si>
  <si>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</si>
  <si>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</si>
  <si>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</si>
  <si>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</si>
  <si>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</si>
  <si>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</si>
  <si>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</si>
  <si>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</si>
  <si>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</si>
  <si>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</si>
  <si>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</si>
  <si>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</si>
  <si>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</si>
  <si>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</si>
  <si>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</si>
  <si>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</si>
  <si>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</si>
  <si>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</si>
  <si>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</si>
  <si>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</si>
  <si>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</si>
  <si>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</si>
  <si>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</si>
  <si>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</si>
  <si>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</si>
  <si>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</si>
  <si>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</si>
  <si>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</si>
  <si>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</si>
  <si>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</si>
  <si>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</si>
  <si>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</si>
  <si>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</si>
  <si>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</si>
  <si>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</si>
  <si>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</si>
  <si>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</si>
  <si>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</si>
  <si>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</si>
  <si>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</si>
  <si>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</si>
  <si>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</si>
  <si>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</si>
  <si>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</si>
  <si>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</si>
  <si>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</si>
  <si>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</si>
  <si>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</si>
  <si>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</si>
  <si>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</si>
  <si>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</si>
  <si>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</si>
  <si>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</si>
  <si>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</si>
  <si>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</si>
  <si>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</si>
  <si>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</si>
  <si>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</si>
  <si>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</si>
  <si>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</si>
  <si>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</si>
  <si>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</si>
  <si>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</si>
  <si>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</si>
  <si>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</si>
  <si>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</si>
  <si>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</si>
  <si>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</si>
  <si>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</si>
  <si>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</si>
  <si>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</si>
  <si>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</si>
  <si>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仅剩竣工验收工作，主体及装修均完成（因有设备房不符要求，所以一直未竣备）</t>
  </si>
  <si>
    <r>
      <rPr>
        <sz val="10"/>
        <color rgb="FF000000"/>
        <rFont val="Arial"/>
        <charset val="134"/>
      </rPr>
      <t>1</t>
    </r>
    <r>
      <rPr>
        <sz val="10"/>
        <color rgb="FF000000"/>
        <rFont val="宋体"/>
        <charset val="134"/>
      </rPr>
      <t>层已谈妥一家商铺，土特产售卖，一年</t>
    </r>
    <r>
      <rPr>
        <sz val="10"/>
        <color rgb="FF000000"/>
        <rFont val="Arial"/>
        <charset val="134"/>
      </rPr>
      <t>510</t>
    </r>
    <r>
      <rPr>
        <sz val="10"/>
        <color rgb="FF000000"/>
        <rFont val="宋体"/>
        <charset val="134"/>
      </rPr>
      <t>元</t>
    </r>
    <r>
      <rPr>
        <sz val="10"/>
        <color rgb="FF000000"/>
        <rFont val="Arial"/>
        <charset val="134"/>
      </rPr>
      <t>/</t>
    </r>
    <r>
      <rPr>
        <sz val="10"/>
        <color rgb="FF000000"/>
        <rFont val="宋体"/>
        <charset val="134"/>
      </rPr>
      <t>平米，未提供合同</t>
    </r>
  </si>
  <si>
    <r>
      <rPr>
        <sz val="10"/>
        <color rgb="FF000000"/>
        <rFont val="Arial"/>
        <charset val="134"/>
      </rPr>
      <t>1</t>
    </r>
    <r>
      <rPr>
        <sz val="10"/>
        <color rgb="FF000000"/>
        <rFont val="宋体"/>
        <charset val="134"/>
      </rPr>
      <t>层</t>
    </r>
  </si>
  <si>
    <r>
      <rPr>
        <b/>
        <sz val="11"/>
        <color indexed="8"/>
        <rFont val="宋体"/>
        <charset val="134"/>
      </rPr>
      <t>开发期</t>
    </r>
  </si>
  <si>
    <r>
      <rPr>
        <sz val="10"/>
        <color rgb="FF000000"/>
        <rFont val="Arial"/>
        <charset val="134"/>
      </rPr>
      <t>2</t>
    </r>
    <r>
      <rPr>
        <sz val="10"/>
        <color rgb="FF000000"/>
        <rFont val="宋体"/>
        <charset val="134"/>
      </rPr>
      <t>层</t>
    </r>
  </si>
  <si>
    <r>
      <rPr>
        <sz val="11"/>
        <rFont val="宋体"/>
        <charset val="134"/>
      </rPr>
      <t>土地开发期</t>
    </r>
  </si>
  <si>
    <t>★默认为已完成的土地开发期★</t>
  </si>
  <si>
    <r>
      <rPr>
        <sz val="10"/>
        <color rgb="FF000000"/>
        <rFont val="Arial"/>
        <charset val="134"/>
      </rPr>
      <t>3</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</si>
  <si>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</si>
  <si>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</si>
  <si>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4</t>
    </r>
    <r>
      <rPr>
        <sz val="10"/>
        <color rgb="FF000000"/>
        <rFont val="宋体"/>
        <charset val="134"/>
      </rPr>
      <t>层</t>
    </r>
  </si>
  <si>
    <r>
      <rPr>
        <sz val="11"/>
        <color indexed="8"/>
        <rFont val="宋体"/>
        <charset val="134"/>
      </rPr>
      <t>已建工期</t>
    </r>
  </si>
  <si>
    <t>其他楼层</t>
  </si>
  <si>
    <r>
      <rPr>
        <sz val="11"/>
        <rFont val="宋体"/>
        <charset val="134"/>
      </rPr>
      <t>项目开发期</t>
    </r>
  </si>
  <si>
    <t>地上合计</t>
  </si>
  <si>
    <r>
      <rPr>
        <sz val="11"/>
        <color indexed="8"/>
        <rFont val="宋体"/>
        <charset val="134"/>
      </rPr>
      <t>项目已运行</t>
    </r>
  </si>
  <si>
    <t>地下合计</t>
  </si>
  <si>
    <r>
      <rPr>
        <sz val="11"/>
        <rFont val="宋体"/>
        <charset val="134"/>
      </rPr>
      <t>续建工期</t>
    </r>
  </si>
  <si>
    <t>总计</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</si>
  <si>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</si>
  <si>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</si>
  <si>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</si>
  <si>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</si>
  <si>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</si>
  <si>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</si>
  <si>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https://xtm.taizhou.gov.cn/dwzw/dzqk/zfgb/2019nd9q/szfbgswj/art/2023/art_6e46f7c0a6cf478f96ea4e1c1ffd66c5.html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</si>
  <si>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</si>
  <si>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</si>
  <si>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</si>
  <si>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</si>
  <si>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</si>
  <si>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</si>
  <si>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</si>
  <si>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</si>
  <si>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</si>
  <si>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</si>
  <si>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</si>
  <si>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</si>
  <si>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</si>
  <si>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</si>
  <si>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</si>
  <si>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</si>
  <si>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</si>
  <si>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</si>
  <si>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</si>
  <si>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</si>
  <si>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</si>
  <si>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</si>
  <si>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</si>
  <si>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</si>
  <si>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</si>
  <si>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</si>
  <si>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</si>
  <si>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</si>
  <si>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</si>
  <si>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</si>
  <si>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</si>
  <si>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</si>
  <si>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</si>
  <si>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</si>
  <si>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</si>
  <si>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</si>
  <si>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</si>
  <si>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</si>
  <si>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</si>
  <si>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</si>
  <si>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https://jiangsu.chinatax.gov.cn/art/2019/3/26/art_8540_238244.html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</si>
  <si>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</si>
  <si>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</si>
  <si>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</si>
  <si>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</si>
  <si>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</si>
  <si>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</si>
  <si>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</si>
  <si>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</si>
  <si>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</si>
  <si>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</si>
  <si>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</si>
  <si>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</si>
  <si>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</si>
  <si>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</si>
  <si>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</si>
  <si>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</si>
  <si>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</si>
  <si>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</si>
  <si>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</si>
  <si>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</si>
  <si>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</si>
  <si>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</si>
  <si>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</si>
  <si>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</si>
  <si>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</si>
  <si>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</si>
  <si>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</si>
  <si>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</si>
  <si>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</si>
  <si>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</si>
  <si>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</si>
  <si>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</si>
  <si>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</si>
  <si>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</si>
  <si>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</si>
  <si>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</si>
  <si>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</si>
  <si>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</si>
  <si>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</si>
  <si>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</si>
  <si>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</si>
  <si>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</si>
  <si>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</si>
  <si>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</si>
  <si>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</si>
  <si>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</si>
  <si>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</si>
  <si>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</si>
  <si>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</si>
  <si>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</si>
  <si>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</si>
  <si>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</si>
  <si>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</si>
  <si>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</si>
  <si>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</si>
  <si>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</si>
  <si>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</si>
  <si>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</si>
  <si>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</si>
  <si>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</si>
  <si>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</si>
  <si>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</si>
  <si>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</si>
  <si>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</si>
  <si>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</si>
  <si>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</si>
  <si>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</si>
  <si>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</si>
  <si>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</si>
  <si>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</si>
  <si>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</si>
  <si>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</si>
  <si>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</si>
  <si>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</si>
  <si>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</si>
  <si>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</si>
  <si>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</si>
  <si>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</si>
  <si>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</si>
  <si>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</si>
  <si>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</si>
  <si>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</si>
  <si>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</si>
  <si>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</si>
  <si>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</si>
  <si>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</si>
  <si>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</si>
  <si>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</si>
  <si>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</si>
  <si>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</si>
  <si>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</si>
  <si>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</si>
  <si>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</si>
  <si>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</si>
  <si>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</si>
  <si>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</si>
  <si>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</si>
  <si>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</si>
  <si>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</si>
  <si>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</si>
  <si>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</si>
  <si>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</si>
  <si>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</si>
  <si>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</si>
  <si>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</si>
  <si>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</si>
  <si>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</si>
  <si>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</si>
  <si>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</si>
  <si>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</si>
  <si>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</si>
  <si>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</si>
  <si>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</si>
  <si>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</si>
  <si>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</si>
  <si>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</si>
  <si>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</si>
  <si>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</si>
  <si>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</si>
  <si>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</si>
  <si>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</si>
  <si>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</si>
  <si>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</si>
  <si>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</si>
  <si>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</si>
  <si>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</si>
  <si>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</si>
  <si>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</si>
  <si>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</si>
  <si>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</si>
  <si>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</si>
  <si>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</si>
  <si>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</si>
  <si>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</si>
  <si>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</si>
  <si>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</si>
  <si>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</si>
  <si>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</si>
  <si>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</si>
  <si>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</si>
  <si>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</si>
  <si>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</si>
  <si>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</si>
  <si>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</si>
  <si>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</si>
  <si>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</si>
  <si>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</si>
  <si>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</si>
  <si>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</si>
  <si>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</si>
  <si>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</si>
  <si>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</si>
  <si>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</si>
  <si>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</si>
  <si>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</si>
  <si>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</si>
  <si>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</si>
  <si>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</si>
  <si>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</si>
  <si>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</si>
  <si>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</si>
  <si>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</si>
  <si>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</si>
  <si>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</si>
  <si>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</si>
  <si>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</si>
  <si>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</si>
  <si>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</si>
  <si>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</si>
  <si>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</si>
  <si>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</si>
  <si>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</si>
  <si>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</si>
  <si>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</si>
  <si>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</si>
  <si>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</si>
  <si>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</si>
  <si>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</si>
  <si>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</si>
  <si>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</si>
  <si>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</si>
  <si>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</si>
  <si>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</si>
  <si>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</si>
  <si>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</si>
  <si>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</si>
  <si>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</si>
  <si>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</si>
  <si>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</si>
  <si>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</si>
  <si>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</si>
  <si>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</si>
  <si>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</si>
  <si>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</si>
  <si>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</si>
  <si>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</si>
  <si>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</si>
  <si>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</si>
  <si>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</si>
  <si>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</si>
  <si>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</si>
  <si>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</si>
  <si>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</si>
  <si>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</si>
  <si>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</si>
  <si>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</si>
  <si>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</si>
  <si>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</si>
  <si>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</si>
  <si>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</si>
  <si>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</si>
  <si>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</si>
  <si>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</si>
  <si>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</si>
  <si>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</si>
  <si>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</si>
  <si>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</si>
  <si>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</si>
  <si>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</si>
  <si>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</si>
  <si>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</si>
  <si>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</si>
  <si>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</si>
  <si>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</si>
  <si>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</si>
  <si>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</si>
  <si>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</si>
  <si>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</si>
  <si>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</si>
  <si>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</si>
  <si>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</si>
  <si>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</si>
  <si>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</si>
  <si>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</si>
  <si>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</si>
  <si>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</si>
  <si>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</si>
  <si>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</si>
  <si>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</si>
  <si>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</si>
  <si>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</si>
  <si>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</si>
  <si>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</si>
  <si>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</si>
  <si>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</si>
  <si>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</si>
  <si>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</si>
  <si>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</si>
  <si>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</si>
  <si>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</si>
  <si>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</si>
  <si>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</si>
  <si>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</si>
  <si>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</si>
  <si>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</si>
  <si>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</si>
  <si>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</si>
  <si>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</si>
  <si>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</si>
  <si>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</si>
  <si>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</si>
  <si>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</si>
  <si>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</si>
  <si>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</si>
  <si>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</si>
  <si>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</si>
  <si>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</si>
  <si>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</si>
  <si>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</si>
  <si>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</si>
  <si>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</si>
  <si>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</si>
  <si>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</si>
  <si>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</si>
  <si>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</si>
  <si>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</si>
  <si>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</si>
  <si>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</si>
  <si>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</si>
  <si>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</si>
  <si>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</si>
  <si>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</si>
  <si>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</si>
  <si>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</si>
  <si>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</si>
  <si>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</si>
  <si>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</si>
  <si>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</si>
  <si>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</si>
  <si>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</si>
  <si>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</si>
  <si>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</si>
  <si>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</si>
  <si>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</si>
  <si>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</si>
  <si>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</si>
  <si>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</si>
  <si>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</si>
  <si>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</si>
  <si>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</si>
  <si>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</si>
  <si>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</si>
  <si>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</si>
  <si>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</si>
  <si>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</si>
  <si>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</si>
  <si>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</si>
  <si>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</si>
  <si>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</si>
  <si>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</si>
  <si>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</si>
  <si>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</si>
  <si>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</si>
  <si>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</si>
  <si>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</si>
  <si>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</si>
  <si>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</si>
  <si>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</si>
  <si>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</si>
  <si>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</si>
  <si>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</si>
  <si>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</si>
  <si>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</si>
  <si>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</si>
  <si>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</si>
  <si>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</si>
  <si>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</si>
  <si>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</si>
  <si>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</si>
  <si>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</si>
  <si>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</si>
  <si>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</si>
  <si>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</si>
  <si>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</si>
  <si>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</si>
  <si>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</si>
  <si>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</si>
  <si>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</si>
  <si>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</si>
  <si>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</si>
  <si>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</si>
  <si>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</si>
  <si>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</si>
  <si>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</si>
  <si>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</si>
  <si>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</si>
  <si>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</si>
  <si>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</si>
  <si>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</si>
  <si>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</si>
  <si>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</si>
  <si>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</si>
  <si>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</si>
  <si>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</si>
  <si>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</si>
  <si>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</si>
  <si>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</si>
  <si>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</si>
  <si>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</si>
  <si>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</si>
  <si>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</si>
  <si>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</si>
  <si>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</si>
  <si>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</si>
  <si>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</si>
  <si>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</si>
  <si>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</si>
  <si>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</si>
  <si>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</si>
  <si>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</si>
  <si>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</si>
  <si>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</si>
  <si>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</si>
  <si>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</si>
  <si>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</si>
  <si>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</si>
  <si>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</si>
  <si>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</si>
  <si>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</si>
  <si>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</si>
  <si>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</si>
  <si>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</si>
  <si>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</si>
  <si>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</si>
  <si>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</si>
  <si>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</si>
  <si>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</si>
  <si>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</si>
  <si>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</si>
  <si>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</si>
  <si>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</si>
  <si>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</si>
  <si>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</si>
  <si>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</si>
  <si>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</si>
  <si>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</si>
  <si>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</si>
  <si>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</si>
  <si>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</si>
  <si>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</si>
  <si>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</si>
  <si>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</si>
  <si>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</si>
  <si>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</si>
  <si>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</si>
  <si>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</si>
  <si>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</si>
  <si>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</si>
  <si>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</si>
  <si>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</si>
  <si>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</si>
  <si>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</si>
  <si>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</si>
  <si>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</si>
  <si>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</si>
  <si>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</si>
  <si>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</si>
  <si>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</si>
  <si>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</si>
  <si>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</si>
  <si>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</si>
  <si>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</si>
  <si>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</si>
  <si>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</si>
  <si>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</si>
  <si>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</si>
  <si>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</si>
  <si>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</si>
  <si>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</si>
  <si>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</si>
  <si>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</si>
  <si>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</si>
  <si>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</si>
  <si>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</si>
  <si>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</si>
  <si>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</si>
  <si>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</si>
  <si>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</si>
  <si>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</si>
  <si>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</si>
  <si>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</si>
  <si>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</si>
  <si>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</si>
  <si>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</si>
  <si>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</si>
  <si>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</si>
  <si>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</si>
  <si>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</si>
  <si>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</si>
  <si>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</si>
  <si>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</si>
  <si>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</si>
  <si>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</si>
  <si>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</si>
  <si>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</si>
  <si>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</si>
  <si>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</si>
  <si>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</si>
  <si>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</si>
  <si>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</si>
  <si>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</si>
  <si>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</si>
  <si>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</si>
  <si>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</si>
  <si>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</si>
  <si>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</si>
  <si>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</si>
  <si>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</si>
  <si>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</si>
  <si>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</si>
  <si>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</si>
  <si>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</si>
  <si>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</si>
  <si>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</si>
  <si>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</si>
  <si>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</si>
  <si>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</si>
  <si>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</si>
  <si>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</si>
  <si>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</si>
  <si>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</si>
  <si>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</si>
  <si>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</si>
  <si>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</si>
  <si>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</si>
  <si>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</si>
  <si>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</si>
  <si>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</si>
  <si>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</si>
  <si>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</si>
  <si>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</si>
  <si>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</si>
  <si>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</si>
  <si>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</si>
  <si>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</si>
  <si>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</si>
  <si>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</si>
  <si>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</si>
  <si>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</si>
  <si>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</si>
  <si>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</si>
  <si>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</si>
  <si>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</si>
  <si>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</si>
  <si>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</si>
  <si>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</si>
  <si>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</si>
  <si>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</si>
  <si>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</si>
  <si>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</si>
  <si>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</si>
  <si>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</si>
  <si>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</si>
  <si>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</si>
  <si>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</si>
  <si>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</si>
  <si>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</si>
  <si>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</si>
  <si>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</si>
  <si>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</si>
  <si>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</si>
  <si>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</si>
  <si>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</si>
  <si>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</si>
  <si>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</si>
  <si>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</si>
  <si>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</si>
  <si>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</si>
  <si>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</si>
  <si>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</si>
  <si>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</si>
  <si>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</si>
  <si>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</si>
  <si>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</si>
  <si>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</si>
  <si>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</si>
  <si>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</si>
  <si>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</si>
  <si>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</si>
  <si>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</si>
  <si>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</si>
  <si>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</si>
  <si>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</si>
  <si>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</si>
  <si>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</si>
  <si>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</si>
  <si>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</si>
  <si>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</si>
  <si>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</si>
  <si>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</si>
  <si>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</si>
  <si>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</si>
  <si>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</si>
  <si>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</si>
  <si>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</si>
  <si>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</si>
  <si>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</si>
  <si>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</si>
  <si>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</si>
  <si>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</si>
  <si>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</si>
  <si>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</si>
  <si>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</si>
  <si>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</si>
  <si>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</si>
  <si>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</si>
  <si>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</si>
  <si>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</si>
  <si>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</si>
  <si>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</si>
  <si>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</si>
  <si>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</si>
  <si>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</si>
  <si>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</si>
  <si>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</si>
  <si>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</si>
  <si>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</si>
  <si>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</si>
  <si>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</si>
  <si>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</si>
  <si>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</si>
  <si>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</si>
  <si>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</si>
  <si>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</si>
  <si>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</si>
  <si>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</si>
  <si>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</si>
  <si>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</si>
  <si>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</si>
  <si>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</si>
  <si>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</si>
  <si>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</si>
  <si>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</si>
  <si>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</si>
  <si>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</si>
  <si>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</si>
  <si>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</si>
  <si>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</si>
  <si>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</si>
  <si>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</si>
  <si>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</si>
  <si>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</si>
  <si>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</si>
  <si>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</si>
  <si>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</si>
  <si>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</si>
  <si>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</si>
  <si>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</si>
  <si>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</si>
  <si>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</si>
  <si>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</si>
  <si>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</si>
  <si>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</si>
  <si>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</si>
  <si>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</si>
  <si>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</si>
  <si>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</si>
  <si>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</si>
  <si>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</si>
  <si>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</si>
  <si>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</si>
  <si>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</si>
  <si>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</si>
  <si>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</si>
  <si>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</si>
  <si>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</si>
  <si>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</si>
  <si>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</si>
  <si>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</si>
  <si>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</si>
  <si>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</si>
  <si>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</si>
  <si>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</si>
  <si>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</si>
  <si>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</si>
  <si>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</si>
  <si>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</si>
  <si>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</si>
  <si>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</si>
  <si>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</si>
  <si>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</si>
  <si>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</si>
  <si>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</si>
  <si>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</si>
  <si>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</si>
  <si>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</si>
  <si>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</si>
  <si>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</si>
  <si>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</si>
  <si>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</si>
  <si>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</si>
  <si>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</si>
  <si>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</si>
  <si>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</si>
  <si>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</si>
  <si>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</si>
  <si>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</si>
  <si>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</si>
  <si>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</si>
  <si>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</si>
  <si>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</si>
  <si>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</si>
  <si>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</si>
  <si>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</si>
  <si>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</si>
  <si>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</si>
  <si>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</si>
  <si>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</si>
  <si>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</si>
  <si>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</si>
  <si>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</si>
  <si>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</si>
  <si>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</si>
  <si>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</si>
  <si>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</si>
  <si>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</si>
  <si>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</si>
  <si>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</si>
  <si>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</si>
  <si>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</si>
  <si>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</si>
  <si>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溢价</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</si>
  <si>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</si>
  <si>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</si>
  <si>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</si>
  <si>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</si>
  <si>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</si>
  <si>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</si>
  <si>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</si>
  <si>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</si>
  <si>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</si>
  <si>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</si>
  <si>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</si>
  <si>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</si>
  <si>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</si>
  <si>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</si>
  <si>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</si>
  <si>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</si>
  <si>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</si>
  <si>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</si>
  <si>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</si>
  <si>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</si>
  <si>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</si>
  <si>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</si>
  <si>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</si>
  <si>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</si>
  <si>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</si>
  <si>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</si>
  <si>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</si>
  <si>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</si>
  <si>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</si>
  <si>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</si>
  <si>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</si>
  <si>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</si>
  <si>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</si>
  <si>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</si>
  <si>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</si>
  <si>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</si>
  <si>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</si>
  <si>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</si>
  <si>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</si>
  <si>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</si>
  <si>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</si>
  <si>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</si>
  <si>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</si>
  <si>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</si>
  <si>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</si>
  <si>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</si>
  <si>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</si>
  <si>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</si>
  <si>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</si>
  <si>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</si>
  <si>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</si>
  <si>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</si>
  <si>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</si>
  <si>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</si>
  <si>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</si>
  <si>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</si>
  <si>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</si>
  <si>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</si>
  <si>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B4</t>
  </si>
  <si>
    <r>
      <rPr>
        <sz val="11"/>
        <rFont val="Arial"/>
        <charset val="134"/>
      </rPr>
      <t>F3</t>
    </r>
    <r>
      <rPr>
        <sz val="11"/>
        <rFont val="宋体"/>
        <charset val="134"/>
      </rPr>
      <t>、</t>
    </r>
    <r>
      <rPr>
        <sz val="11"/>
        <rFont val="Arial"/>
        <charset val="134"/>
      </rPr>
      <t>S32</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</si>
  <si>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</si>
  <si>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</si>
  <si>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</si>
  <si>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</si>
  <si>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</si>
  <si>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</si>
  <si>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</si>
  <si>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</si>
  <si>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</si>
  <si>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</si>
  <si>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</si>
  <si>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临时三通</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</si>
  <si>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</si>
  <si>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</si>
  <si>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</si>
  <si>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</si>
  <si>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</si>
  <si>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</si>
  <si>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</si>
  <si>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</si>
  <si>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</si>
  <si>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</si>
  <si>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</si>
  <si>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</si>
  <si>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</si>
  <si>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</si>
  <si>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</si>
  <si>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</si>
  <si>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</si>
  <si>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</si>
  <si>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</si>
  <si>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</si>
  <si>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</si>
  <si>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</si>
  <si>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</si>
  <si>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</si>
  <si>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</si>
  <si>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</si>
  <si>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</si>
  <si>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</si>
  <si>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</si>
  <si>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</si>
  <si>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</si>
  <si>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</si>
  <si>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</si>
  <si>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</si>
  <si>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</si>
  <si>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</si>
  <si>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</si>
  <si>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</si>
  <si>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</si>
  <si>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</si>
  <si>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</si>
  <si>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</si>
  <si>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</si>
  <si>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</si>
  <si>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</si>
  <si>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</si>
  <si>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</si>
  <si>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</si>
  <si>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</si>
  <si>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</si>
  <si>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</si>
  <si>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</si>
  <si>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</si>
  <si>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</si>
  <si>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</si>
  <si>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</si>
  <si>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</si>
  <si>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</si>
  <si>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</si>
  <si>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</si>
  <si>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</si>
  <si>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</si>
  <si>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</si>
  <si>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</si>
  <si>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</si>
  <si>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</si>
  <si>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</si>
  <si>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</si>
  <si>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</si>
  <si>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</si>
  <si>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</si>
  <si>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</si>
  <si>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</si>
  <si>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</si>
  <si>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</si>
  <si>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</si>
  <si>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</si>
  <si>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</si>
  <si>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</si>
  <si>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</si>
  <si>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</si>
  <si>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</si>
  <si>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</si>
  <si>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</si>
  <si>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</si>
  <si>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</si>
  <si>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</si>
  <si>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</si>
  <si>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</si>
  <si>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</si>
  <si>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</si>
  <si>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</si>
  <si>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</si>
  <si>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</si>
  <si>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</si>
  <si>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</si>
  <si>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</si>
  <si>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</si>
  <si>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</si>
  <si>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</si>
  <si>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</si>
  <si>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</si>
  <si>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</si>
  <si>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</si>
  <si>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</si>
  <si>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</si>
  <si>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</si>
  <si>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</si>
  <si>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</si>
  <si>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</si>
  <si>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</si>
  <si>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</si>
  <si>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</si>
  <si>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</si>
  <si>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</si>
  <si>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</si>
  <si>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</si>
  <si>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</si>
  <si>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</si>
  <si>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</si>
  <si>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</si>
  <si>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</si>
  <si>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</si>
  <si>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</si>
  <si>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</si>
  <si>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</si>
  <si>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</si>
  <si>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</si>
  <si>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</si>
  <si>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</si>
  <si>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</si>
  <si>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</si>
  <si>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</si>
  <si>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</si>
  <si>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</si>
  <si>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</si>
  <si>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</si>
  <si>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</si>
  <si>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</si>
  <si>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</si>
  <si>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</si>
  <si>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</si>
  <si>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</si>
  <si>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</si>
  <si>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</si>
  <si>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</si>
  <si>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</si>
  <si>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</si>
  <si>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</si>
  <si>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</si>
  <si>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</si>
  <si>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</si>
  <si>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</si>
  <si>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</si>
  <si>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</si>
  <si>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</si>
  <si>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</si>
  <si>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</si>
  <si>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</si>
  <si>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</si>
  <si>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</si>
  <si>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</si>
  <si>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</si>
  <si>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</si>
  <si>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</si>
  <si>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</si>
  <si>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</si>
  <si>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</si>
  <si>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</si>
  <si>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</si>
  <si>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</si>
  <si>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</si>
  <si>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</si>
  <si>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</si>
  <si>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</si>
  <si>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</si>
  <si>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</si>
  <si>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</si>
  <si>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</si>
  <si>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</si>
  <si>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</si>
  <si>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</si>
  <si>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</si>
  <si>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</si>
  <si>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</si>
  <si>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</si>
  <si>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</si>
  <si>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</si>
  <si>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</si>
  <si>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</si>
  <si>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</si>
  <si>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</si>
  <si>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商办地块（综合含住宅）</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</si>
  <si>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</si>
  <si>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</si>
  <si>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</si>
  <si>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</si>
  <si>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</si>
  <si>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</si>
  <si>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</si>
  <si>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</si>
  <si>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</si>
  <si>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</si>
  <si>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</si>
  <si>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</si>
  <si>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</si>
  <si>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</si>
  <si>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</si>
  <si>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</si>
  <si>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</si>
  <si>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</si>
  <si>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</si>
  <si>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</si>
  <si>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</si>
  <si>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</si>
  <si>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</si>
  <si>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</si>
  <si>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</si>
  <si>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</si>
  <si>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</si>
  <si>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</si>
  <si>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</si>
  <si>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</si>
  <si>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</si>
  <si>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</si>
  <si>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</si>
  <si>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</si>
  <si>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</si>
  <si>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</si>
  <si>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</si>
  <si>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</si>
  <si>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</si>
  <si>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</si>
  <si>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</si>
  <si>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</si>
  <si>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</si>
  <si>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</si>
  <si>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</si>
  <si>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</si>
  <si>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</si>
  <si>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</si>
  <si>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</si>
  <si>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</si>
  <si>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</si>
  <si>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</si>
  <si>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</si>
  <si>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</si>
  <si>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</si>
  <si>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</si>
  <si>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</si>
  <si>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</si>
  <si>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</si>
  <si>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</si>
  <si>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</si>
  <si>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</si>
  <si>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</si>
  <si>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</si>
  <si>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</si>
  <si>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</si>
  <si>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</si>
  <si>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</si>
  <si>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</si>
  <si>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</si>
  <si>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</si>
  <si>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</si>
  <si>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</si>
  <si>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</si>
  <si>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</si>
  <si>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</si>
  <si>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</si>
  <si>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</si>
  <si>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</si>
  <si>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</si>
  <si>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</si>
  <si>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</si>
  <si>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</si>
  <si>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</si>
  <si>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</si>
  <si>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</si>
  <si>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</si>
  <si>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</si>
  <si>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</si>
  <si>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</si>
  <si>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</si>
  <si>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</si>
  <si>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</si>
  <si>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</si>
  <si>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</si>
  <si>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</si>
  <si>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</si>
  <si>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</si>
  <si>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</si>
  <si>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</si>
  <si>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</si>
  <si>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</si>
  <si>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</si>
  <si>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</si>
  <si>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</si>
  <si>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</si>
  <si>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</si>
  <si>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</si>
  <si>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</si>
  <si>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</si>
  <si>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</si>
  <si>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</si>
  <si>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</si>
  <si>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</si>
  <si>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</si>
  <si>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</si>
  <si>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</si>
  <si>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</si>
  <si>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</si>
  <si>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</si>
  <si>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</si>
  <si>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</si>
  <si>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</si>
  <si>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</si>
  <si>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</si>
  <si>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</si>
  <si>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</si>
  <si>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</si>
  <si>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</si>
  <si>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</si>
  <si>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</si>
  <si>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</si>
  <si>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</si>
  <si>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</si>
  <si>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</si>
  <si>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</si>
  <si>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</si>
  <si>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</si>
  <si>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</si>
  <si>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</si>
  <si>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</si>
  <si>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</si>
  <si>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</si>
  <si>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</si>
  <si>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</si>
  <si>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</si>
  <si>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</si>
  <si>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</si>
  <si>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</si>
  <si>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</si>
  <si>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</si>
  <si>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</si>
  <si>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</si>
  <si>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</si>
  <si>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</si>
  <si>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</si>
  <si>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</si>
  <si>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</si>
  <si>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</si>
  <si>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</si>
  <si>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</si>
  <si>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</si>
  <si>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</si>
  <si>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</si>
  <si>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</si>
  <si>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</si>
  <si>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</si>
  <si>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</si>
  <si>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</si>
  <si>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</si>
  <si>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</si>
  <si>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</si>
  <si>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</si>
  <si>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</si>
  <si>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</si>
  <si>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</si>
  <si>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</si>
  <si>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</si>
  <si>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</si>
  <si>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</si>
  <si>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</si>
  <si>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</si>
  <si>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</si>
  <si>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</si>
  <si>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</si>
  <si>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</si>
  <si>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</si>
  <si>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</si>
  <si>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</si>
  <si>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</si>
  <si>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</si>
  <si>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</si>
  <si>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</si>
  <si>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</si>
  <si>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</si>
  <si>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</si>
  <si>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</si>
  <si>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</si>
  <si>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</si>
  <si>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</si>
  <si>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</si>
  <si>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</si>
  <si>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</si>
  <si>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</si>
  <si>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</si>
  <si>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</si>
  <si>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</si>
  <si>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</si>
  <si>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</si>
  <si>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</si>
  <si>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</si>
  <si>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</si>
  <si>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</si>
  <si>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</si>
  <si>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</si>
  <si>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</si>
  <si>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</si>
  <si>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</si>
  <si>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</si>
  <si>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</si>
  <si>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</si>
  <si>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</si>
  <si>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</si>
  <si>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</si>
  <si>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</si>
  <si>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</si>
  <si>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</si>
  <si>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</si>
  <si>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</si>
  <si>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</si>
  <si>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</si>
  <si>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</si>
  <si>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</si>
  <si>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</si>
  <si>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</si>
  <si>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</si>
  <si>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</si>
  <si>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</si>
  <si>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</si>
  <si>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</si>
  <si>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</si>
  <si>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</si>
  <si>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</si>
  <si>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</si>
  <si>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</si>
  <si>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</si>
  <si>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</si>
  <si>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</si>
  <si>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</si>
  <si>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</si>
  <si>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</si>
  <si>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</si>
  <si>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</si>
  <si>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</si>
  <si>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</si>
  <si>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</si>
  <si>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</si>
  <si>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</si>
  <si>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</si>
  <si>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</si>
  <si>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</si>
  <si>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</si>
  <si>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</si>
  <si>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</si>
  <si>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</si>
  <si>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</si>
  <si>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</si>
  <si>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</si>
  <si>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</si>
  <si>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</si>
  <si>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</si>
  <si>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</si>
  <si>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</si>
  <si>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</si>
  <si>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</si>
  <si>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</si>
  <si>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</si>
  <si>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</si>
  <si>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</si>
  <si>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</si>
  <si>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</si>
  <si>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</si>
  <si>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</si>
  <si>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</si>
  <si>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</si>
  <si>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</si>
  <si>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</si>
  <si>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</si>
  <si>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办公</t>
  </si>
  <si>
    <t>2019年</t>
  </si>
  <si>
    <t>办公租金0.8-1元/平方米·天</t>
  </si>
  <si>
    <t>泰州明发国际广场</t>
  </si>
  <si>
    <t>办公、酒店式公寓</t>
  </si>
  <si>
    <t>高新区金融商务中心</t>
  </si>
  <si>
    <t>酒店式公寓</t>
  </si>
  <si>
    <t>13000-15000</t>
  </si>
  <si>
    <t>高港时代广场</t>
  </si>
  <si>
    <t>2021-2022</t>
  </si>
  <si>
    <t>办公租金0.8-1元左右</t>
  </si>
  <si>
    <t>公寓楼租金0.6-0.9之间</t>
  </si>
  <si>
    <t>二手住宅售价6000-7000元/平米以及10000-11000元/平米之间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</si>
  <si>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</si>
  <si>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</si>
  <si>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</si>
  <si>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</si>
  <si>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</si>
  <si>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</si>
  <si>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</si>
  <si>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</si>
  <si>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</si>
  <si>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</si>
  <si>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</si>
  <si>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</si>
  <si>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</si>
  <si>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</si>
  <si>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</si>
  <si>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</si>
  <si>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</si>
  <si>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</si>
  <si>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</si>
  <si>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</si>
  <si>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</si>
  <si>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</si>
  <si>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</si>
  <si>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</si>
  <si>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</si>
  <si>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</si>
  <si>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</si>
  <si>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</si>
  <si>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</si>
  <si>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</si>
  <si>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</si>
  <si>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</si>
  <si>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</si>
  <si>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</si>
  <si>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</si>
  <si>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</si>
  <si>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</si>
  <si>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</si>
  <si>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</si>
  <si>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</si>
  <si>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</si>
  <si>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</si>
  <si>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</si>
  <si>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</si>
  <si>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</si>
  <si>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</si>
  <si>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</si>
  <si>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</si>
  <si>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</si>
  <si>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</si>
  <si>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</si>
  <si>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</si>
  <si>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</si>
  <si>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</si>
  <si>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</si>
  <si>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</si>
  <si>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</si>
  <si>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</si>
  <si>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</si>
  <si>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</si>
  <si>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</si>
  <si>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</si>
  <si>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</si>
  <si>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</si>
  <si>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</si>
  <si>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</si>
  <si>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</si>
  <si>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</si>
  <si>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</si>
  <si>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</si>
  <si>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</si>
  <si>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</si>
  <si>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</si>
  <si>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</si>
  <si>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</si>
  <si>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</si>
  <si>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</si>
  <si>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</si>
  <si>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</si>
  <si>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</si>
  <si>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</si>
  <si>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</si>
  <si>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</si>
  <si>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</si>
  <si>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</si>
  <si>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</si>
  <si>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</si>
  <si>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</si>
  <si>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</si>
  <si>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</si>
  <si>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</si>
  <si>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</si>
  <si>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</si>
  <si>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</si>
  <si>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</si>
  <si>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</si>
  <si>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</si>
  <si>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</si>
  <si>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</si>
  <si>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</si>
  <si>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</si>
  <si>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</si>
  <si>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</si>
  <si>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</si>
  <si>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</si>
  <si>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</si>
  <si>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</si>
  <si>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</si>
  <si>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</si>
  <si>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</si>
  <si>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</si>
  <si>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</si>
  <si>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</si>
  <si>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</si>
  <si>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</si>
  <si>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</si>
  <si>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</si>
  <si>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</si>
  <si>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</si>
  <si>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</si>
  <si>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</si>
  <si>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</si>
  <si>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</si>
  <si>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</si>
  <si>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</si>
  <si>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</si>
  <si>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</si>
  <si>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</si>
  <si>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</si>
  <si>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</si>
  <si>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</si>
  <si>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</si>
  <si>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</si>
  <si>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</si>
  <si>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</si>
  <si>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</si>
  <si>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</si>
  <si>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</si>
  <si>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</si>
  <si>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sz val="11"/>
        <color theme="9" tint="-0.249977111117893"/>
        <rFont val="Arial"/>
        <charset val="134"/>
      </rPr>
      <t>K2</t>
    </r>
    <r>
      <rPr>
        <sz val="11"/>
        <color theme="9" tint="-0.249977111117893"/>
        <rFont val="宋体"/>
        <charset val="134"/>
      </rPr>
      <t>十里春风</t>
    </r>
  </si>
  <si>
    <t>泰晤士印象</t>
  </si>
  <si>
    <t>住总如院</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</si>
  <si>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</si>
  <si>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</si>
  <si>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</si>
  <si>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</si>
  <si>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</si>
  <si>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综合（含别墅、洋房、高层）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</si>
  <si>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</si>
  <si>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</si>
  <si>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</si>
  <si>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</si>
  <si>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</si>
  <si>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</si>
  <si>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</si>
  <si>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</si>
  <si>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</si>
  <si>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</si>
  <si>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</si>
  <si>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</si>
  <si>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</si>
  <si>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</si>
  <si>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</si>
  <si>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</si>
  <si>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</si>
  <si>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50-60</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</si>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</sst>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scheme val="minor"/>
    </font>
    <font>
      <sz val="9"/>
      <color rgb="FFFF000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u/>
      <sz val="11"/>
      <color rgb="FF0000FF"/>
      <name val="宋体"/>
      <charset val="134"/>
      <scheme val="minor"/>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4"/>
      <color rgb="FF000000"/>
      <name val="宋体"/>
      <charset val="134"/>
    </font>
    <font>
      <b/>
      <sz val="12"/>
      <color indexed="8"/>
      <name val="宋体"/>
      <charset val="134"/>
    </font>
    <font>
      <sz val="10"/>
      <color theme="9" tint="-0.249977111117893"/>
      <name val="宋体"/>
      <charset val="134"/>
    </font>
    <font>
      <b/>
      <vertAlign val="subscript"/>
      <sz val="10"/>
      <name val="楷体_GB2312"/>
      <charset val="134"/>
    </font>
    <font>
      <sz val="11"/>
      <color theme="1"/>
      <name val="宋体"/>
      <charset val="134"/>
    </font>
    <font>
      <sz val="12"/>
      <color theme="1"/>
      <name val="宋体"/>
      <charset val="134"/>
    </font>
    <font>
      <vertAlign val="subscript"/>
      <sz val="10"/>
      <color theme="1"/>
      <name val="Arial"/>
      <charset val="134"/>
    </font>
    <font>
      <b/>
      <sz val="10"/>
      <color indexed="8"/>
      <name val="宋体"/>
      <charset val="134"/>
    </font>
    <font>
      <b/>
      <sz val="16"/>
      <color indexed="10"/>
      <name val="楷体_GB2312"/>
      <charset val="134"/>
    </font>
    <font>
      <sz val="12"/>
      <color indexed="8"/>
      <name val="宋体"/>
      <charset val="134"/>
    </font>
    <font>
      <b/>
      <sz val="16"/>
      <color indexed="10"/>
      <name val="宋体"/>
      <charset val="134"/>
    </font>
    <font>
      <sz val="12"/>
      <color theme="9" tint="-0.249977111117893"/>
      <name val="宋体"/>
      <charset val="134"/>
    </font>
    <font>
      <b/>
      <sz val="14"/>
      <color rgb="FF000000"/>
      <name val="宋体"/>
      <charset val="134"/>
    </font>
    <font>
      <sz val="10"/>
      <color rgb="FF707070"/>
      <name val="宋体"/>
      <charset val="134"/>
    </font>
    <font>
      <b/>
      <sz val="11"/>
      <name val="宋体"/>
      <charset val="134"/>
    </font>
    <font>
      <b/>
      <i/>
      <sz val="14"/>
      <color theme="3" tint="0.399914548173467"/>
      <name val="宋体"/>
      <charset val="134"/>
    </font>
    <font>
      <b/>
      <sz val="10"/>
      <color indexed="10"/>
      <name val="宋体"/>
      <charset val="134"/>
    </font>
    <font>
      <b/>
      <sz val="10"/>
      <color indexed="10"/>
      <name val="楷体_GB2312"/>
      <charset val="134"/>
    </font>
    <font>
      <sz val="14"/>
      <color theme="1"/>
      <name val="宋体"/>
      <charset val="134"/>
    </font>
    <font>
      <b/>
      <sz val="14"/>
      <color theme="1"/>
      <name val="宋体"/>
      <charset val="134"/>
    </font>
    <font>
      <b/>
      <sz val="14"/>
      <color rgb="FFFF0000"/>
      <name val="宋体"/>
      <charset val="134"/>
    </font>
    <font>
      <i/>
      <sz val="14"/>
      <color theme="3" tint="0.399914548173467"/>
      <name val="宋体"/>
      <charset val="134"/>
    </font>
    <font>
      <b/>
      <vertAlign val="subscript"/>
      <sz val="10"/>
      <name val="宋体"/>
      <charset val="134"/>
    </font>
    <font>
      <b/>
      <vertAlign val="subscript"/>
      <sz val="10"/>
      <name val="Arial"/>
      <charset val="134"/>
    </font>
    <font>
      <b/>
      <sz val="11"/>
      <color theme="1"/>
      <name val="宋体"/>
      <charset val="134"/>
    </font>
    <font>
      <sz val="8"/>
      <color indexed="8"/>
      <name val="仿宋_GB2312"/>
      <charset val="134"/>
    </font>
    <font>
      <vertAlign val="subscript"/>
      <sz val="10"/>
      <color indexed="8"/>
      <name val="宋体"/>
      <charset val="134"/>
    </font>
    <font>
      <b/>
      <sz val="14"/>
      <color indexed="10"/>
      <name val="宋体"/>
      <charset val="134"/>
      <scheme val="minor"/>
    </font>
    <font>
      <vertAlign val="superscript"/>
      <sz val="10"/>
      <color indexed="8"/>
      <name val="Arial"/>
      <charset val="134"/>
    </font>
    <font>
      <vertAlign val="superscript"/>
      <sz val="10"/>
      <color theme="1"/>
      <name val="宋体"/>
      <charset val="134"/>
    </font>
    <font>
      <b/>
      <sz val="10"/>
      <color indexed="53"/>
      <name val="宋体"/>
      <charset val="134"/>
    </font>
    <font>
      <sz val="10"/>
      <color indexed="10"/>
      <name val="宋体"/>
      <charset val="134"/>
    </font>
    <font>
      <b/>
      <i/>
      <sz val="11"/>
      <color theme="3" tint="0.399914548173467"/>
      <name val="宋体"/>
      <charset val="134"/>
    </font>
    <font>
      <b/>
      <sz val="11"/>
      <color rgb="FFFF0000"/>
      <name val="宋体"/>
      <charset val="134"/>
    </font>
    <font>
      <sz val="9"/>
      <color indexed="8"/>
      <name val="仿宋_GB2312"/>
      <charset val="134"/>
    </font>
    <font>
      <b/>
      <sz val="11"/>
      <color indexed="10"/>
      <name val="宋体"/>
      <charset val="134"/>
    </font>
    <font>
      <b/>
      <vertAlign val="superscript"/>
      <sz val="8"/>
      <color rgb="FF666666"/>
      <name val="微软雅黑"/>
      <charset val="134"/>
    </font>
    <font>
      <b/>
      <sz val="11"/>
      <color rgb="FF666666"/>
      <name val="微软雅黑"/>
      <charset val="134"/>
    </font>
    <font>
      <i/>
      <sz val="10"/>
      <color indexed="8"/>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14548173467"/>
      <name val="宋体"/>
      <charset val="134"/>
    </font>
    <font>
      <i/>
      <sz val="10"/>
      <name val="楷体_GB2312"/>
      <charset val="134"/>
    </font>
    <font>
      <sz val="10"/>
      <color indexed="8"/>
      <name val="楷体_GB2312"/>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theme="1"/>
      <name val="Arial"/>
      <charset val="134"/>
    </font>
    <font>
      <b/>
      <sz val="12"/>
      <color rgb="FF000000"/>
      <name val="宋体"/>
      <charset val="134"/>
    </font>
    <font>
      <b/>
      <sz val="18"/>
      <color theme="1"/>
      <name val="宋体"/>
      <charset val="134"/>
    </font>
    <font>
      <b/>
      <i/>
      <sz val="10"/>
      <color rgb="FFFF0000"/>
      <name val="宋体"/>
      <charset val="134"/>
    </font>
    <font>
      <sz val="10"/>
      <color indexed="53"/>
      <name val="宋体"/>
      <charset val="134"/>
    </font>
    <font>
      <sz val="12"/>
      <color rgb="FF000000"/>
      <name val="宋体"/>
      <charset val="134"/>
    </font>
    <font>
      <b/>
      <sz val="18"/>
      <color indexed="10"/>
      <name val="΢ȭхڬˎ̥"/>
      <charset val="134"/>
    </font>
    <font>
      <sz val="8"/>
      <color indexed="8"/>
      <name val="宋体"/>
      <charset val="134"/>
    </font>
    <font>
      <sz val="14"/>
      <color theme="9" tint="-0.249977111117893"/>
      <name val="宋体"/>
      <charset val="134"/>
    </font>
    <font>
      <sz val="9"/>
      <color indexed="8"/>
      <name val="宋体"/>
      <charset val="134"/>
    </font>
    <font>
      <sz val="11"/>
      <color indexed="10"/>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b/>
      <sz val="12"/>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4" tint="0.599993896298105"/>
        <bgColor indexed="64"/>
      </patternFill>
    </fill>
    <fill>
      <patternFill patternType="solid">
        <fgColor rgb="FFFFC000"/>
        <bgColor indexed="64"/>
      </patternFill>
    </fill>
    <fill>
      <patternFill patternType="solid">
        <fgColor rgb="FF00B0F0"/>
        <bgColor indexed="64"/>
      </patternFill>
    </fill>
    <fill>
      <patternFill patternType="solid">
        <fgColor theme="4"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71" fillId="54" borderId="0" applyNumberFormat="0" applyBorder="0" applyAlignment="0" applyProtection="0">
      <alignment vertical="center"/>
    </xf>
    <xf numFmtId="0" fontId="171" fillId="55" borderId="0" applyNumberFormat="0" applyBorder="0" applyAlignment="0" applyProtection="0">
      <alignment vertical="center"/>
    </xf>
    <xf numFmtId="0" fontId="170" fillId="56" borderId="0" applyNumberFormat="0" applyBorder="0" applyAlignment="0" applyProtection="0">
      <alignment vertical="center"/>
    </xf>
    <xf numFmtId="9" fontId="95"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5" fillId="0" borderId="0"/>
    <xf numFmtId="0" fontId="119" fillId="0" borderId="0">
      <alignment vertical="center"/>
    </xf>
    <xf numFmtId="0" fontId="119" fillId="0" borderId="0"/>
    <xf numFmtId="0" fontId="172" fillId="0" borderId="0">
      <alignment vertical="center"/>
    </xf>
    <xf numFmtId="0" fontId="172" fillId="0" borderId="0">
      <alignment vertical="center"/>
    </xf>
    <xf numFmtId="0" fontId="172" fillId="0" borderId="0">
      <alignment vertical="center"/>
    </xf>
    <xf numFmtId="0" fontId="119" fillId="0" borderId="0">
      <alignment vertical="center"/>
    </xf>
    <xf numFmtId="0" fontId="172" fillId="0" borderId="0">
      <alignment vertical="center"/>
    </xf>
    <xf numFmtId="0" fontId="119"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40"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1"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3"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39"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4" fillId="0" borderId="0" xfId="0" applyNumberFormat="1" applyFont="1" applyFill="1" applyAlignment="1"/>
    <xf numFmtId="0" fontId="101" fillId="0" borderId="0" xfId="0" applyNumberFormat="1" applyFont="1" applyFill="1" applyAlignment="1"/>
    <xf numFmtId="0" fontId="59" fillId="0" borderId="0" xfId="0" applyNumberFormat="1" applyFont="1" applyFill="1" applyAlignment="1"/>
    <xf numFmtId="0" fontId="44" fillId="17" borderId="0" xfId="0" applyNumberFormat="1" applyFont="1" applyFill="1" applyAlignment="1"/>
    <xf numFmtId="0" fontId="44" fillId="0" borderId="0" xfId="0" applyFont="1">
      <alignment vertical="center"/>
    </xf>
    <xf numFmtId="0" fontId="44" fillId="18" borderId="0" xfId="0" applyNumberFormat="1" applyFont="1" applyFill="1" applyAlignment="1"/>
    <xf numFmtId="0" fontId="44" fillId="0" borderId="7" xfId="0" applyNumberFormat="1" applyFont="1" applyFill="1" applyBorder="1" applyAlignment="1">
      <alignment horizontal="left"/>
    </xf>
    <xf numFmtId="0" fontId="102" fillId="0" borderId="7" xfId="0" applyNumberFormat="1" applyFont="1" applyFill="1" applyBorder="1" applyAlignment="1">
      <alignment horizontal="left"/>
    </xf>
    <xf numFmtId="0" fontId="44" fillId="17" borderId="7" xfId="0" applyNumberFormat="1" applyFont="1" applyFill="1" applyBorder="1" applyAlignment="1">
      <alignment horizontal="left"/>
    </xf>
    <xf numFmtId="14" fontId="44" fillId="0" borderId="7" xfId="0" applyNumberFormat="1" applyFont="1" applyFill="1" applyBorder="1" applyAlignment="1">
      <alignment horizontal="left"/>
    </xf>
    <xf numFmtId="0" fontId="44" fillId="0" borderId="0" xfId="0" applyFont="1" applyFill="1">
      <alignment vertical="center"/>
    </xf>
    <xf numFmtId="0" fontId="44" fillId="17" borderId="0" xfId="0" applyFont="1" applyFill="1">
      <alignment vertical="center"/>
    </xf>
    <xf numFmtId="0" fontId="44" fillId="0" borderId="7" xfId="0" applyNumberFormat="1" applyFont="1" applyFill="1" applyBorder="1" applyAlignment="1">
      <alignment horizontal="right"/>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7" fillId="0" borderId="9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49" fontId="89" fillId="15" borderId="6"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2" borderId="95"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0"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8" fillId="2" borderId="153" xfId="0" applyNumberFormat="1" applyFont="1" applyFill="1" applyBorder="1" applyAlignment="1" applyProtection="1">
      <alignment horizontal="center" vertical="center"/>
    </xf>
    <xf numFmtId="0" fontId="109" fillId="2" borderId="0" xfId="0" applyFont="1" applyFill="1" applyProtection="1">
      <alignment vertical="center"/>
      <protection locked="0"/>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195" fontId="120" fillId="7" borderId="0" xfId="65" applyNumberFormat="1" applyFont="1" applyFill="1" applyBorder="1" applyAlignment="1" applyProtection="1">
      <alignment horizontal="left" vertical="center" wrapText="1"/>
      <protection locked="0"/>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pplyProtection="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10" borderId="7" xfId="0" applyNumberFormat="1" applyFont="1" applyFill="1" applyBorder="1" applyAlignment="1" applyProtection="1">
      <alignment horizontal="center" vertical="center"/>
      <protection locked="0"/>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22" fillId="7" borderId="0" xfId="6"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19"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10" borderId="11" xfId="0" applyNumberFormat="1" applyFont="1" applyFill="1" applyBorder="1" applyAlignment="1" applyProtection="1">
      <alignment horizontal="center" vertical="center"/>
      <protection locked="0"/>
    </xf>
    <xf numFmtId="181" fontId="54" fillId="10" borderId="85" xfId="0" applyNumberFormat="1" applyFont="1" applyFill="1" applyBorder="1" applyAlignment="1" applyProtection="1">
      <alignment horizontal="center" vertical="center"/>
      <protection locked="0"/>
    </xf>
    <xf numFmtId="181" fontId="54" fillId="10"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179" fontId="122" fillId="7" borderId="0" xfId="6" applyNumberFormat="1" applyFill="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109" fillId="7" borderId="0" xfId="3"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9" fontId="54" fillId="7" borderId="0" xfId="3" applyFont="1" applyFill="1" applyAlignment="1" applyProtection="1">
      <alignment vertical="center"/>
      <protection locked="0"/>
    </xf>
    <xf numFmtId="0" fontId="109"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0" borderId="6" xfId="0" applyNumberFormat="1" applyFont="1" applyFill="1" applyBorder="1" applyAlignment="1" applyProtection="1">
      <alignment horizontal="center" vertical="center"/>
      <protection locked="0"/>
    </xf>
    <xf numFmtId="181" fontId="68" fillId="2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0" fillId="7" borderId="0" xfId="0" applyFont="1" applyFill="1" applyAlignment="1" applyProtection="1">
      <alignment vertical="center"/>
      <protection locked="0"/>
    </xf>
    <xf numFmtId="0" fontId="109"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1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4"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43"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01" fillId="0" borderId="0" xfId="58" applyFont="1" applyFill="1" applyAlignment="1">
      <alignment horizontal="left" vertical="center"/>
    </xf>
    <xf numFmtId="0" fontId="127" fillId="0" borderId="0" xfId="58" applyFont="1" applyAlignment="1">
      <alignment horizontal="left" vertical="center"/>
    </xf>
    <xf numFmtId="0" fontId="10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7"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7"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7"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01" fillId="0" borderId="0" xfId="58" applyNumberFormat="1" applyFont="1" applyAlignment="1">
      <alignment horizontal="left" vertical="center"/>
    </xf>
    <xf numFmtId="14" fontId="101" fillId="0" borderId="175" xfId="58" applyNumberFormat="1" applyFont="1" applyBorder="1" applyAlignment="1">
      <alignment horizontal="left" vertical="center"/>
    </xf>
    <xf numFmtId="0" fontId="101"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7"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119"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01" fillId="0" borderId="1" xfId="0" applyFont="1" applyBorder="1" applyProtection="1">
      <alignment vertical="center"/>
    </xf>
    <xf numFmtId="0" fontId="101" fillId="0" borderId="145" xfId="0" applyFont="1" applyBorder="1" applyProtection="1">
      <alignment vertical="center"/>
    </xf>
    <xf numFmtId="0" fontId="101" fillId="0" borderId="0" xfId="0" applyFont="1" applyBorder="1" applyProtection="1">
      <alignment vertical="center"/>
    </xf>
    <xf numFmtId="0" fontId="101" fillId="0" borderId="0" xfId="64" applyFont="1" applyBorder="1" applyAlignment="1" applyProtection="1">
      <alignment vertical="center" wrapText="1"/>
    </xf>
    <xf numFmtId="0" fontId="101" fillId="0" borderId="0" xfId="0" applyFont="1" applyAlignment="1" applyProtection="1">
      <alignment horizontal="left" vertical="center"/>
    </xf>
    <xf numFmtId="0" fontId="101" fillId="0" borderId="0" xfId="0" applyFont="1" applyProtection="1">
      <alignment vertical="center"/>
    </xf>
    <xf numFmtId="0" fontId="10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01" fillId="0" borderId="134" xfId="64" applyFont="1" applyBorder="1" applyAlignment="1" applyProtection="1">
      <alignment vertical="center" wrapText="1"/>
    </xf>
    <xf numFmtId="0" fontId="101" fillId="0" borderId="134" xfId="0" applyFont="1" applyBorder="1" applyAlignment="1" applyProtection="1">
      <alignment horizontal="left" vertical="center"/>
    </xf>
    <xf numFmtId="0" fontId="101" fillId="0" borderId="7" xfId="64" applyFont="1" applyBorder="1" applyAlignment="1" applyProtection="1">
      <alignment vertical="center" wrapText="1"/>
    </xf>
    <xf numFmtId="0" fontId="101" fillId="0" borderId="7" xfId="0" applyFont="1" applyBorder="1" applyAlignment="1" applyProtection="1">
      <alignment horizontal="left" vertical="center"/>
    </xf>
    <xf numFmtId="0" fontId="101" fillId="0" borderId="2" xfId="64" applyFont="1" applyBorder="1" applyAlignment="1" applyProtection="1">
      <alignment vertical="center" wrapText="1"/>
    </xf>
    <xf numFmtId="0" fontId="101" fillId="0" borderId="2" xfId="0" applyFont="1" applyBorder="1" applyAlignment="1" applyProtection="1">
      <alignment horizontal="left" vertical="center"/>
    </xf>
    <xf numFmtId="176" fontId="101" fillId="0" borderId="2" xfId="0" applyNumberFormat="1" applyFont="1" applyBorder="1" applyAlignment="1" applyProtection="1">
      <alignment horizontal="left" vertical="center"/>
    </xf>
    <xf numFmtId="0" fontId="101" fillId="0" borderId="16" xfId="64" applyFont="1" applyBorder="1" applyAlignment="1" applyProtection="1">
      <alignment vertical="center" wrapText="1"/>
    </xf>
    <xf numFmtId="14" fontId="101" fillId="0" borderId="16" xfId="0" applyNumberFormat="1" applyFont="1" applyBorder="1" applyAlignment="1" applyProtection="1">
      <alignment horizontal="left" vertical="center"/>
    </xf>
    <xf numFmtId="14" fontId="10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2" name="图片 1"/>
        <xdr:cNvPicPr>
          <a:picLocks noChangeAspect="1"/>
        </xdr:cNvPicPr>
      </xdr:nvPicPr>
      <xdr:blipFill>
        <a:blip r:embed="rId1"/>
        <a:stretch>
          <a:fillRect/>
        </a:stretch>
      </xdr:blipFill>
      <xdr:spPr>
        <a:xfrm>
          <a:off x="2523490" y="14325600"/>
          <a:ext cx="14613255"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3" name="图片 2"/>
        <xdr:cNvPicPr>
          <a:picLocks noChangeAspect="1"/>
        </xdr:cNvPicPr>
      </xdr:nvPicPr>
      <xdr:blipFill>
        <a:blip r:embed="rId2"/>
        <a:stretch>
          <a:fillRect/>
        </a:stretch>
      </xdr:blipFill>
      <xdr:spPr>
        <a:xfrm>
          <a:off x="2523490" y="18897600"/>
          <a:ext cx="14564995"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4" name="图片 3"/>
        <xdr:cNvPicPr>
          <a:picLocks noChangeAspect="1"/>
        </xdr:cNvPicPr>
      </xdr:nvPicPr>
      <xdr:blipFill>
        <a:blip r:embed="rId3"/>
        <a:stretch>
          <a:fillRect/>
        </a:stretch>
      </xdr:blipFill>
      <xdr:spPr>
        <a:xfrm>
          <a:off x="2523490" y="26670000"/>
          <a:ext cx="14488795"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5" name="图片 4"/>
        <xdr:cNvPicPr>
          <a:picLocks noChangeAspect="1"/>
        </xdr:cNvPicPr>
      </xdr:nvPicPr>
      <xdr:blipFill>
        <a:blip r:embed="rId4"/>
        <a:stretch>
          <a:fillRect/>
        </a:stretch>
      </xdr:blipFill>
      <xdr:spPr>
        <a:xfrm>
          <a:off x="2523490" y="33375600"/>
          <a:ext cx="14613255"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6" name="图片 5"/>
        <xdr:cNvPicPr>
          <a:picLocks noChangeAspect="1"/>
        </xdr:cNvPicPr>
      </xdr:nvPicPr>
      <xdr:blipFill>
        <a:blip r:embed="rId5"/>
        <a:stretch>
          <a:fillRect/>
        </a:stretch>
      </xdr:blipFill>
      <xdr:spPr>
        <a:xfrm>
          <a:off x="2523490" y="40081200"/>
          <a:ext cx="919226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7" name="图片 6"/>
        <xdr:cNvPicPr>
          <a:picLocks noChangeAspect="1"/>
        </xdr:cNvPicPr>
      </xdr:nvPicPr>
      <xdr:blipFill>
        <a:blip r:embed="rId6"/>
        <a:stretch>
          <a:fillRect/>
        </a:stretch>
      </xdr:blipFill>
      <xdr:spPr>
        <a:xfrm>
          <a:off x="11762105" y="40081200"/>
          <a:ext cx="9580245"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8" name="图片 7"/>
        <xdr:cNvPicPr>
          <a:picLocks noChangeAspect="1"/>
        </xdr:cNvPicPr>
      </xdr:nvPicPr>
      <xdr:blipFill>
        <a:blip r:embed="rId7"/>
        <a:stretch>
          <a:fillRect/>
        </a:stretch>
      </xdr:blipFill>
      <xdr:spPr>
        <a:xfrm>
          <a:off x="11762105" y="44805600"/>
          <a:ext cx="9462135"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9" name="图片 8"/>
        <xdr:cNvPicPr>
          <a:picLocks noChangeAspect="1"/>
        </xdr:cNvPicPr>
      </xdr:nvPicPr>
      <xdr:blipFill>
        <a:blip r:embed="rId8"/>
        <a:stretch>
          <a:fillRect/>
        </a:stretch>
      </xdr:blipFill>
      <xdr:spPr>
        <a:xfrm>
          <a:off x="14051280" y="635"/>
          <a:ext cx="8682990" cy="55721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0" name="图片 9"/>
        <xdr:cNvPicPr>
          <a:picLocks noChangeAspect="1"/>
        </xdr:cNvPicPr>
      </xdr:nvPicPr>
      <xdr:blipFill>
        <a:blip r:embed="rId9"/>
        <a:stretch>
          <a:fillRect/>
        </a:stretch>
      </xdr:blipFill>
      <xdr:spPr>
        <a:xfrm>
          <a:off x="17452340" y="26682700"/>
          <a:ext cx="1465326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1" name="图片 10"/>
        <xdr:cNvPicPr>
          <a:picLocks noChangeAspect="1"/>
        </xdr:cNvPicPr>
      </xdr:nvPicPr>
      <xdr:blipFill>
        <a:blip r:embed="rId10"/>
        <a:stretch>
          <a:fillRect/>
        </a:stretch>
      </xdr:blipFill>
      <xdr:spPr>
        <a:xfrm>
          <a:off x="18475960" y="14325600"/>
          <a:ext cx="947928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2" name="图片 11"/>
        <xdr:cNvPicPr>
          <a:picLocks noChangeAspect="1"/>
        </xdr:cNvPicPr>
      </xdr:nvPicPr>
      <xdr:blipFill>
        <a:blip r:embed="rId11"/>
        <a:stretch>
          <a:fillRect/>
        </a:stretch>
      </xdr:blipFill>
      <xdr:spPr>
        <a:xfrm>
          <a:off x="18475960" y="15697200"/>
          <a:ext cx="953643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3" name="图片 12"/>
        <xdr:cNvPicPr>
          <a:picLocks noChangeAspect="1"/>
        </xdr:cNvPicPr>
      </xdr:nvPicPr>
      <xdr:blipFill>
        <a:blip r:embed="rId12"/>
        <a:stretch>
          <a:fillRect/>
        </a:stretch>
      </xdr:blipFill>
      <xdr:spPr>
        <a:xfrm>
          <a:off x="18489930" y="18735675"/>
          <a:ext cx="953643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4" name="图片 13"/>
        <xdr:cNvPicPr>
          <a:picLocks noChangeAspect="1"/>
        </xdr:cNvPicPr>
      </xdr:nvPicPr>
      <xdr:blipFill>
        <a:blip r:embed="rId13"/>
        <a:stretch>
          <a:fillRect/>
        </a:stretch>
      </xdr:blipFill>
      <xdr:spPr>
        <a:xfrm>
          <a:off x="18475960" y="20269200"/>
          <a:ext cx="944118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15" name="图片 14"/>
        <xdr:cNvPicPr>
          <a:picLocks noChangeAspect="1"/>
        </xdr:cNvPicPr>
      </xdr:nvPicPr>
      <xdr:blipFill>
        <a:blip r:embed="rId14"/>
        <a:stretch>
          <a:fillRect/>
        </a:stretch>
      </xdr:blipFill>
      <xdr:spPr>
        <a:xfrm>
          <a:off x="18475960" y="21793200"/>
          <a:ext cx="9441180" cy="1314450"/>
        </a:xfrm>
        <a:prstGeom prst="rect">
          <a:avLst/>
        </a:prstGeom>
        <a:noFill/>
        <a:ln w="9525">
          <a:noFill/>
        </a:ln>
      </xdr:spPr>
    </xdr:pic>
    <xdr:clientData/>
  </xdr:twoCellAnchor>
  <xdr:twoCellAnchor editAs="oneCell">
    <xdr:from>
      <xdr:col>16</xdr:col>
      <xdr:colOff>130810</xdr:colOff>
      <xdr:row>36</xdr:row>
      <xdr:rowOff>0</xdr:rowOff>
    </xdr:from>
    <xdr:to>
      <xdr:col>22</xdr:col>
      <xdr:colOff>530860</xdr:colOff>
      <xdr:row>57</xdr:row>
      <xdr:rowOff>57150</xdr:rowOff>
    </xdr:to>
    <xdr:pic>
      <xdr:nvPicPr>
        <xdr:cNvPr id="16" name="图片 15"/>
        <xdr:cNvPicPr>
          <a:picLocks noChangeAspect="1"/>
        </xdr:cNvPicPr>
      </xdr:nvPicPr>
      <xdr:blipFill>
        <a:blip r:embed="rId15"/>
        <a:stretch>
          <a:fillRect/>
        </a:stretch>
      </xdr:blipFill>
      <xdr:spPr>
        <a:xfrm>
          <a:off x="14032230" y="5638800"/>
          <a:ext cx="5664200" cy="3257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107950</xdr:colOff>
      <xdr:row>18</xdr:row>
      <xdr:rowOff>17145</xdr:rowOff>
    </xdr:to>
    <xdr:pic>
      <xdr:nvPicPr>
        <xdr:cNvPr id="2" name="图片 1"/>
        <xdr:cNvPicPr>
          <a:picLocks noChangeAspect="1"/>
        </xdr:cNvPicPr>
      </xdr:nvPicPr>
      <xdr:blipFill>
        <a:blip r:embed="rId1"/>
        <a:stretch>
          <a:fillRect/>
        </a:stretch>
      </xdr:blipFill>
      <xdr:spPr>
        <a:xfrm>
          <a:off x="6350" y="6350"/>
          <a:ext cx="6828155" cy="3211195"/>
        </a:xfrm>
        <a:prstGeom prst="rect">
          <a:avLst/>
        </a:prstGeom>
        <a:noFill/>
        <a:ln w="9525">
          <a:noFill/>
        </a:ln>
      </xdr:spPr>
    </xdr:pic>
    <xdr:clientData/>
  </xdr:twoCellAnchor>
  <xdr:twoCellAnchor editAs="oneCell">
    <xdr:from>
      <xdr:col>0</xdr:col>
      <xdr:colOff>6350</xdr:colOff>
      <xdr:row>19</xdr:row>
      <xdr:rowOff>67945</xdr:rowOff>
    </xdr:from>
    <xdr:to>
      <xdr:col>11</xdr:col>
      <xdr:colOff>67945</xdr:colOff>
      <xdr:row>37</xdr:row>
      <xdr:rowOff>63500</xdr:rowOff>
    </xdr:to>
    <xdr:pic>
      <xdr:nvPicPr>
        <xdr:cNvPr id="3" name="图片 2"/>
        <xdr:cNvPicPr>
          <a:picLocks noChangeAspect="1"/>
        </xdr:cNvPicPr>
      </xdr:nvPicPr>
      <xdr:blipFill>
        <a:blip r:embed="rId2"/>
        <a:stretch>
          <a:fillRect/>
        </a:stretch>
      </xdr:blipFill>
      <xdr:spPr>
        <a:xfrm>
          <a:off x="6350" y="3446145"/>
          <a:ext cx="6788150" cy="3195955"/>
        </a:xfrm>
        <a:prstGeom prst="rect">
          <a:avLst/>
        </a:prstGeom>
        <a:noFill/>
        <a:ln w="9525">
          <a:noFill/>
        </a:ln>
      </xdr:spPr>
    </xdr:pic>
    <xdr:clientData/>
  </xdr:twoCellAnchor>
  <xdr:twoCellAnchor editAs="oneCell">
    <xdr:from>
      <xdr:col>0</xdr:col>
      <xdr:colOff>635</xdr:colOff>
      <xdr:row>38</xdr:row>
      <xdr:rowOff>158750</xdr:rowOff>
    </xdr:from>
    <xdr:to>
      <xdr:col>10</xdr:col>
      <xdr:colOff>566420</xdr:colOff>
      <xdr:row>62</xdr:row>
      <xdr:rowOff>82550</xdr:rowOff>
    </xdr:to>
    <xdr:pic>
      <xdr:nvPicPr>
        <xdr:cNvPr id="4" name="图片 3"/>
        <xdr:cNvPicPr>
          <a:picLocks noChangeAspect="1"/>
        </xdr:cNvPicPr>
      </xdr:nvPicPr>
      <xdr:blipFill>
        <a:blip r:embed="rId3"/>
        <a:stretch>
          <a:fillRect/>
        </a:stretch>
      </xdr:blipFill>
      <xdr:spPr>
        <a:xfrm>
          <a:off x="635" y="6915150"/>
          <a:ext cx="6680835" cy="4191000"/>
        </a:xfrm>
        <a:prstGeom prst="rect">
          <a:avLst/>
        </a:prstGeom>
        <a:noFill/>
        <a:ln w="9525">
          <a:noFill/>
        </a:ln>
      </xdr:spPr>
    </xdr:pic>
    <xdr:clientData/>
  </xdr:twoCellAnchor>
  <xdr:twoCellAnchor editAs="oneCell">
    <xdr:from>
      <xdr:col>0</xdr:col>
      <xdr:colOff>635</xdr:colOff>
      <xdr:row>63</xdr:row>
      <xdr:rowOff>108585</xdr:rowOff>
    </xdr:from>
    <xdr:to>
      <xdr:col>10</xdr:col>
      <xdr:colOff>533400</xdr:colOff>
      <xdr:row>81</xdr:row>
      <xdr:rowOff>69850</xdr:rowOff>
    </xdr:to>
    <xdr:pic>
      <xdr:nvPicPr>
        <xdr:cNvPr id="5" name="图片 4"/>
        <xdr:cNvPicPr>
          <a:picLocks noChangeAspect="1"/>
        </xdr:cNvPicPr>
      </xdr:nvPicPr>
      <xdr:blipFill>
        <a:blip r:embed="rId4"/>
        <a:stretch>
          <a:fillRect/>
        </a:stretch>
      </xdr:blipFill>
      <xdr:spPr>
        <a:xfrm>
          <a:off x="635" y="11309985"/>
          <a:ext cx="6647815" cy="3161665"/>
        </a:xfrm>
        <a:prstGeom prst="rect">
          <a:avLst/>
        </a:prstGeom>
        <a:noFill/>
        <a:ln w="9525">
          <a:noFill/>
        </a:ln>
      </xdr:spPr>
    </xdr:pic>
    <xdr:clientData/>
  </xdr:twoCellAnchor>
  <xdr:twoCellAnchor editAs="oneCell">
    <xdr:from>
      <xdr:col>0</xdr:col>
      <xdr:colOff>0</xdr:colOff>
      <xdr:row>83</xdr:row>
      <xdr:rowOff>0</xdr:rowOff>
    </xdr:from>
    <xdr:to>
      <xdr:col>17</xdr:col>
      <xdr:colOff>304800</xdr:colOff>
      <xdr:row>119</xdr:row>
      <xdr:rowOff>152400</xdr:rowOff>
    </xdr:to>
    <xdr:pic>
      <xdr:nvPicPr>
        <xdr:cNvPr id="6" name="图片 5"/>
        <xdr:cNvPicPr>
          <a:picLocks noChangeAspect="1"/>
        </xdr:cNvPicPr>
      </xdr:nvPicPr>
      <xdr:blipFill>
        <a:blip r:embed="rId5"/>
        <a:stretch>
          <a:fillRect/>
        </a:stretch>
      </xdr:blipFill>
      <xdr:spPr>
        <a:xfrm>
          <a:off x="0" y="14757400"/>
          <a:ext cx="10988040" cy="6553200"/>
        </a:xfrm>
        <a:prstGeom prst="rect">
          <a:avLst/>
        </a:prstGeom>
        <a:noFill/>
        <a:ln w="9525">
          <a:noFill/>
        </a:ln>
      </xdr:spPr>
    </xdr:pic>
    <xdr:clientData/>
  </xdr:twoCellAnchor>
  <xdr:twoCellAnchor editAs="oneCell">
    <xdr:from>
      <xdr:col>23</xdr:col>
      <xdr:colOff>177800</xdr:colOff>
      <xdr:row>0</xdr:row>
      <xdr:rowOff>635</xdr:rowOff>
    </xdr:from>
    <xdr:to>
      <xdr:col>41</xdr:col>
      <xdr:colOff>158750</xdr:colOff>
      <xdr:row>36</xdr:row>
      <xdr:rowOff>153035</xdr:rowOff>
    </xdr:to>
    <xdr:pic>
      <xdr:nvPicPr>
        <xdr:cNvPr id="7" name="图片 6"/>
        <xdr:cNvPicPr>
          <a:picLocks noChangeAspect="1"/>
        </xdr:cNvPicPr>
      </xdr:nvPicPr>
      <xdr:blipFill>
        <a:blip r:embed="rId5"/>
        <a:stretch>
          <a:fillRect/>
        </a:stretch>
      </xdr:blipFill>
      <xdr:spPr>
        <a:xfrm>
          <a:off x="14530070" y="635"/>
          <a:ext cx="10988040" cy="6553200"/>
        </a:xfrm>
        <a:prstGeom prst="rect">
          <a:avLst/>
        </a:prstGeom>
        <a:noFill/>
        <a:ln w="9525">
          <a:noFill/>
        </a:ln>
      </xdr:spPr>
    </xdr:pic>
    <xdr:clientData/>
  </xdr:twoCellAnchor>
  <xdr:twoCellAnchor editAs="oneCell">
    <xdr:from>
      <xdr:col>11</xdr:col>
      <xdr:colOff>598170</xdr:colOff>
      <xdr:row>4</xdr:row>
      <xdr:rowOff>44450</xdr:rowOff>
    </xdr:from>
    <xdr:to>
      <xdr:col>22</xdr:col>
      <xdr:colOff>196850</xdr:colOff>
      <xdr:row>27</xdr:row>
      <xdr:rowOff>165100</xdr:rowOff>
    </xdr:to>
    <xdr:pic>
      <xdr:nvPicPr>
        <xdr:cNvPr id="8" name="图片 7"/>
        <xdr:cNvPicPr>
          <a:picLocks noChangeAspect="1"/>
        </xdr:cNvPicPr>
      </xdr:nvPicPr>
      <xdr:blipFill>
        <a:blip r:embed="rId6"/>
        <a:stretch>
          <a:fillRect/>
        </a:stretch>
      </xdr:blipFill>
      <xdr:spPr>
        <a:xfrm>
          <a:off x="7324725" y="755650"/>
          <a:ext cx="6612890" cy="4210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56796e02-0957-4abe-8b56-cb8ad384c654\2024-1-1014&#27888;&#24030;&#22303;&#22320;-&#2555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废"/>
      <sheetName val="不动产比较法-住宅 (2)"/>
      <sheetName val="中指案例"/>
      <sheetName val="不动产收益法"/>
      <sheetName val="土地案例"/>
      <sheetName val="Sheet2"/>
      <sheetName val="Sheet3"/>
      <sheetName val="Sheet1"/>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仓储废弃"/>
      <sheetName val="总指标(004、006、013)"/>
      <sheetName val="0004地块"/>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商业</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jiangsu.chinatax.gov.cn/art/2019/3/26/art_8540_238244.html" TargetMode="External"/><Relationship Id="rId3" Type="http://schemas.openxmlformats.org/officeDocument/2006/relationships/hyperlink" Target="https://xtm.taizhou.gov.cn/dwzw/dzqk/zfgb/2019nd9q/szfbgswj/art/2023/art_6e46f7c0a6cf478f96ea4e1c1ffd66c5.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估价对象为北京市房地产，为所有。根据《国有土地使用证》[]，估价对象（分摊）出让国有建设用地使用权面积为11645.87平方米，建筑面积为68156.19平方米。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估价对象为北京市房地产,属开发建设的商业项目，该项目尚在开发建设中。根据《国有土地使用证》[]，估价对象（分摊）出让国有建设用地使用权面积为11645.87平方米，规划建筑面积为68156.19平方米。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2024年12月18日（评估专业人员实地查勘之日）</v>
      </c>
    </row>
    <row r="13" s="3725" customFormat="1" spans="1:2">
      <c r="A13" s="3733" t="s">
        <v>13</v>
      </c>
      <c r="B13" s="3734" t="str">
        <f>'预评函-1'!A18</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50065</v>
      </c>
    </row>
    <row r="21" s="3725" customFormat="1" spans="1:2">
      <c r="A21" s="3733" t="s">
        <v>21</v>
      </c>
      <c r="B21" s="3734">
        <f ca="1">'预评函-2'!D7</f>
        <v>7346</v>
      </c>
    </row>
    <row r="22" s="3725" customFormat="1" spans="1:2">
      <c r="A22" s="3733" t="s">
        <v>22</v>
      </c>
      <c r="B22" s="3734" t="str">
        <f ca="1">'预评函-2'!D6</f>
        <v>伍亿零陆拾伍万元整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50065</v>
      </c>
    </row>
    <row r="31" s="3725" customFormat="1" spans="1:2">
      <c r="A31" s="3733" t="s">
        <v>31</v>
      </c>
      <c r="B31" s="3734">
        <f ca="1">'预评函-2'!D15</f>
        <v>7346</v>
      </c>
    </row>
    <row r="32" s="3725" customFormat="1" spans="1:2">
      <c r="A32" s="3733" t="s">
        <v>32</v>
      </c>
      <c r="B32" s="3734" t="str">
        <f ca="1">'预评函-2'!D14</f>
        <v>伍亿零陆拾伍万元整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68156.19</v>
      </c>
    </row>
    <row r="44" s="3725" customFormat="1" ht="30" spans="1:2">
      <c r="A44" s="3733" t="s">
        <v>44</v>
      </c>
      <c r="B44" s="3734" t="str">
        <f>'预评函-3'!C2</f>
        <v>(分摊)土地面积</v>
      </c>
    </row>
    <row r="45" s="3725" customFormat="1" spans="1:2">
      <c r="A45" s="3733" t="s">
        <v>45</v>
      </c>
      <c r="B45" s="3734">
        <f>'预评函-3'!C4</f>
        <v>11645.87</v>
      </c>
    </row>
    <row r="46" s="3725" customFormat="1" spans="1:2">
      <c r="A46" s="3733" t="s">
        <v>46</v>
      </c>
      <c r="B46" s="3734" t="str">
        <f>'预评函-3'!D2</f>
        <v>出让国有建设用地使用权价值</v>
      </c>
    </row>
    <row r="47" s="3725" customFormat="1" spans="1:2">
      <c r="A47" s="3733" t="s">
        <v>47</v>
      </c>
      <c r="B47" s="3734">
        <f ca="1">'预评函-3'!D4</f>
        <v>13968</v>
      </c>
    </row>
    <row r="48" s="3725" customFormat="1" spans="1:2">
      <c r="A48" s="3733" t="s">
        <v>48</v>
      </c>
      <c r="B48" s="3734">
        <f ca="1">'预评函-3'!E4</f>
        <v>2050</v>
      </c>
    </row>
    <row r="49" s="3725" customFormat="1" spans="1:2">
      <c r="A49" s="3733" t="s">
        <v>49</v>
      </c>
      <c r="B49" s="3734" t="str">
        <f ca="1">'预评函-3'!D5</f>
        <v>壹亿叁仟玖佰陆拾捌万元整</v>
      </c>
    </row>
    <row r="50" s="3725" customFormat="1" spans="1:2">
      <c r="A50" s="3733" t="s">
        <v>50</v>
      </c>
      <c r="B50" s="3734" t="str">
        <f>'预评函-3'!F2</f>
        <v>在建建筑物价值</v>
      </c>
    </row>
    <row r="51" s="3725" customFormat="1" spans="1:2">
      <c r="A51" s="3733" t="s">
        <v>51</v>
      </c>
      <c r="B51" s="3734">
        <f ca="1">'预评函-3'!F4</f>
        <v>36097</v>
      </c>
    </row>
    <row r="52" s="3725" customFormat="1" spans="1:2">
      <c r="A52" s="3733" t="s">
        <v>52</v>
      </c>
      <c r="B52" s="3734">
        <f ca="1">'预评函-3'!G4</f>
        <v>5296</v>
      </c>
    </row>
    <row r="53" s="3725" customFormat="1" spans="1:2">
      <c r="A53" s="3733" t="s">
        <v>53</v>
      </c>
      <c r="B53" s="3734" t="str">
        <f ca="1">'预评函-3'!F5</f>
        <v>叁亿陆仟零玖拾柒万元整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估价师知悉的法定优先受偿款</v>
      </c>
    </row>
    <row r="58" s="3724" customFormat="1" ht="15.7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6" customWidth="1"/>
    <col min="2" max="2" width="23.2545454545455" style="3567" customWidth="1"/>
    <col min="3" max="3" width="13" style="3568" customWidth="1"/>
    <col min="4" max="4" width="5.75454545454545" style="3569" customWidth="1"/>
    <col min="5" max="5" width="7.12727272727273" style="3569" customWidth="1"/>
    <col min="6" max="6" width="10.6272727272727" style="3569" customWidth="1"/>
    <col min="7" max="7" width="7.5" style="3569" customWidth="1"/>
    <col min="8" max="8" width="11.8727272727273" style="3568" customWidth="1"/>
    <col min="9" max="9" width="11.6272727272727" style="3568" customWidth="1"/>
    <col min="10" max="10" width="9" style="3568" customWidth="1"/>
    <col min="11" max="19" width="9" style="3569" customWidth="1"/>
    <col min="20" max="23" width="9" style="3568" customWidth="1"/>
    <col min="24" max="24" width="21.1272727272727"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315</v>
      </c>
      <c r="C20" s="3576"/>
    </row>
    <row r="21" spans="1:3">
      <c r="A21" s="3575" t="s">
        <v>260</v>
      </c>
      <c r="B21" s="3575" t="s">
        <v>315</v>
      </c>
      <c r="C21" s="3576"/>
    </row>
    <row r="22" spans="1:3">
      <c r="A22" s="3575" t="s">
        <v>317</v>
      </c>
      <c r="B22" s="3575" t="s">
        <v>315</v>
      </c>
      <c r="C22" s="3576"/>
    </row>
    <row r="23" spans="1:3">
      <c r="A23" s="3575" t="s">
        <v>318</v>
      </c>
      <c r="B23" s="3575" t="s">
        <v>315</v>
      </c>
      <c r="C23" s="3576"/>
    </row>
    <row r="24" spans="1:3">
      <c r="A24" s="3575" t="s">
        <v>319</v>
      </c>
      <c r="B24" s="3575" t="s">
        <v>315</v>
      </c>
      <c r="C24" s="3576"/>
    </row>
    <row r="25" spans="1:3">
      <c r="A25" s="3575" t="s">
        <v>320</v>
      </c>
      <c r="B25" s="3575" t="s">
        <v>315</v>
      </c>
      <c r="C25" s="3576"/>
    </row>
    <row r="26" spans="1:3">
      <c r="A26" s="3575" t="s">
        <v>321</v>
      </c>
      <c r="B26" s="3575" t="s">
        <v>315</v>
      </c>
      <c r="C26" s="3576"/>
    </row>
    <row r="27" spans="1:3">
      <c r="A27" s="3575" t="s">
        <v>315</v>
      </c>
      <c r="B27" s="3575" t="s">
        <v>315</v>
      </c>
      <c r="C27" s="3576"/>
    </row>
    <row r="28" spans="1:3">
      <c r="A28" s="3575" t="s">
        <v>315</v>
      </c>
      <c r="B28" s="3575" t="s">
        <v>315</v>
      </c>
      <c r="C28" s="3576"/>
    </row>
    <row r="29" spans="1:3">
      <c r="A29" s="3575" t="s">
        <v>315</v>
      </c>
      <c r="B29" s="3575" t="s">
        <v>315</v>
      </c>
      <c r="C29" s="3576"/>
    </row>
    <row r="30" spans="1:3">
      <c r="A30" s="3575" t="s">
        <v>315</v>
      </c>
      <c r="B30" s="3575" t="s">
        <v>315</v>
      </c>
      <c r="C30" s="3576"/>
    </row>
    <row r="31" spans="1:3">
      <c r="A31" s="3575" t="s">
        <v>315</v>
      </c>
      <c r="B31" s="3575" t="s">
        <v>315</v>
      </c>
      <c r="C31" s="3576"/>
    </row>
    <row r="32" spans="1:3">
      <c r="A32" s="3575" t="s">
        <v>315</v>
      </c>
      <c r="B32" s="3575" t="s">
        <v>315</v>
      </c>
      <c r="C32" s="3576"/>
    </row>
    <row r="33" spans="1:3">
      <c r="A33" s="3575" t="s">
        <v>315</v>
      </c>
      <c r="B33" s="3575" t="s">
        <v>315</v>
      </c>
      <c r="C33" s="3576"/>
    </row>
    <row r="34" spans="1:3">
      <c r="A34" s="3575" t="s">
        <v>315</v>
      </c>
      <c r="B34" s="3575" t="s">
        <v>315</v>
      </c>
      <c r="C34" s="3576"/>
    </row>
    <row r="35" spans="1:3">
      <c r="A35" s="3575" t="s">
        <v>315</v>
      </c>
      <c r="B35" s="3575" t="s">
        <v>315</v>
      </c>
      <c r="C35" s="3576"/>
    </row>
    <row r="36" spans="1:3">
      <c r="A36" s="3575" t="s">
        <v>315</v>
      </c>
      <c r="B36" s="3575" t="s">
        <v>315</v>
      </c>
      <c r="C36" s="3576"/>
    </row>
    <row r="37" spans="1:3">
      <c r="A37" s="3575" t="s">
        <v>315</v>
      </c>
      <c r="B37" s="3575" t="s">
        <v>315</v>
      </c>
      <c r="C37" s="3576"/>
    </row>
    <row r="38" spans="1:3">
      <c r="A38" s="3575" t="s">
        <v>315</v>
      </c>
      <c r="B38" s="3575" t="s">
        <v>315</v>
      </c>
      <c r="C38" s="3576"/>
    </row>
    <row r="39" spans="1:3">
      <c r="A39" s="3575" t="s">
        <v>315</v>
      </c>
      <c r="B39" s="3575" t="s">
        <v>315</v>
      </c>
      <c r="C39" s="3576"/>
    </row>
    <row r="40" spans="1:3">
      <c r="A40" s="3575" t="s">
        <v>315</v>
      </c>
      <c r="B40" s="3575" t="s">
        <v>315</v>
      </c>
      <c r="C40" s="3576"/>
    </row>
    <row r="41" spans="1:3">
      <c r="A41" s="3575" t="s">
        <v>315</v>
      </c>
      <c r="B41" s="3575" t="s">
        <v>315</v>
      </c>
      <c r="C41" s="3576"/>
    </row>
    <row r="42" spans="1:3">
      <c r="A42" s="3575" t="s">
        <v>315</v>
      </c>
      <c r="B42" s="3575" t="s">
        <v>315</v>
      </c>
      <c r="C42" s="3576"/>
    </row>
    <row r="43" spans="1:3">
      <c r="A43" s="3575" t="s">
        <v>315</v>
      </c>
      <c r="B43" s="3575" t="s">
        <v>315</v>
      </c>
      <c r="C43" s="3576"/>
    </row>
    <row r="44" spans="1:3">
      <c r="A44" s="3575" t="s">
        <v>315</v>
      </c>
      <c r="B44" s="3575" t="s">
        <v>315</v>
      </c>
      <c r="C44" s="3576"/>
    </row>
    <row r="45" spans="1:3">
      <c r="A45" s="3575" t="s">
        <v>315</v>
      </c>
      <c r="B45" s="3575" t="s">
        <v>315</v>
      </c>
      <c r="C45" s="3576"/>
    </row>
    <row r="46" spans="1:3">
      <c r="A46" s="3575" t="s">
        <v>315</v>
      </c>
      <c r="B46" s="3575" t="s">
        <v>315</v>
      </c>
      <c r="C46" s="3576"/>
    </row>
    <row r="47" spans="1:3">
      <c r="A47" s="3575" t="s">
        <v>315</v>
      </c>
      <c r="B47" s="3575" t="s">
        <v>315</v>
      </c>
      <c r="C47" s="3576"/>
    </row>
    <row r="48" spans="1:3">
      <c r="A48" s="3575" t="s">
        <v>315</v>
      </c>
      <c r="B48" s="3575" t="s">
        <v>315</v>
      </c>
      <c r="C48" s="3576"/>
    </row>
    <row r="49" spans="1:3">
      <c r="A49" s="3575" t="s">
        <v>315</v>
      </c>
      <c r="B49" s="3575" t="s">
        <v>315</v>
      </c>
      <c r="C49" s="3576"/>
    </row>
    <row r="50" spans="1:3">
      <c r="A50" s="3575" t="s">
        <v>315</v>
      </c>
      <c r="B50" s="3575" t="s">
        <v>315</v>
      </c>
      <c r="C50" s="3576"/>
    </row>
    <row r="51" spans="1:4">
      <c r="A51" s="3580" t="s">
        <v>322</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323</v>
      </c>
    </row>
    <row r="52" spans="1:4">
      <c r="A52" s="3580" t="s">
        <v>324</v>
      </c>
      <c r="B52" s="3580" t="s">
        <v>325</v>
      </c>
      <c r="C52" s="3568" t="s">
        <v>326</v>
      </c>
      <c r="D52" s="3568" t="s">
        <v>327</v>
      </c>
    </row>
    <row r="53" spans="1:3">
      <c r="A53" s="3572" t="s">
        <v>328</v>
      </c>
      <c r="B53" s="3581" t="s">
        <v>329</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330</v>
      </c>
      <c r="C54" s="3568" t="s">
        <v>331</v>
      </c>
    </row>
    <row r="55" spans="1:3">
      <c r="A55" s="3572"/>
      <c r="B55" s="3581" t="s">
        <v>332</v>
      </c>
      <c r="C55" s="3568" t="s">
        <v>333</v>
      </c>
    </row>
    <row r="56" spans="1:3">
      <c r="A56" s="3572"/>
      <c r="B56" s="3581" t="s">
        <v>334</v>
      </c>
      <c r="C56" s="3568" t="s">
        <v>335</v>
      </c>
    </row>
    <row r="57" spans="1:3">
      <c r="A57" s="3572"/>
      <c r="B57" s="3581" t="s">
        <v>336</v>
      </c>
      <c r="C57" s="3568" t="s">
        <v>337</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 sqref="B3"/>
    </sheetView>
  </sheetViews>
  <sheetFormatPr defaultColWidth="15.2545454545455" defaultRowHeight="14"/>
  <cols>
    <col min="1" max="7" width="15.2545454545455" style="3514"/>
    <col min="8" max="8" width="5.5" style="3514" customWidth="1"/>
    <col min="9" max="13" width="9.5" style="3515" customWidth="1"/>
    <col min="14" max="18" width="9.5" style="3514" customWidth="1"/>
    <col min="19" max="16384" width="15.2545454545455" style="3514"/>
  </cols>
  <sheetData>
    <row r="1" spans="1:18">
      <c r="A1" s="3516" t="s">
        <v>338</v>
      </c>
      <c r="B1" s="3517"/>
      <c r="C1" s="3517"/>
      <c r="D1" s="3517"/>
      <c r="E1" s="3517"/>
      <c r="F1" s="3518"/>
      <c r="I1" s="3559" t="s">
        <v>339</v>
      </c>
      <c r="J1" s="348"/>
      <c r="K1" s="348"/>
      <c r="L1" s="348"/>
      <c r="M1" s="348"/>
      <c r="N1" s="3560"/>
      <c r="O1" s="3560"/>
      <c r="P1" s="3560"/>
      <c r="Q1" s="3560"/>
      <c r="R1" s="3560"/>
    </row>
    <row r="2" spans="1:18">
      <c r="A2" s="3519"/>
      <c r="B2" s="3520"/>
      <c r="C2" s="3520"/>
      <c r="D2" s="3520"/>
      <c r="E2" s="3520"/>
      <c r="F2" s="3521"/>
      <c r="I2" s="3561" t="s">
        <v>340</v>
      </c>
      <c r="J2" s="3561"/>
      <c r="K2" s="3561"/>
      <c r="L2" s="3561"/>
      <c r="M2" s="3561"/>
      <c r="N2" s="3561"/>
      <c r="O2" s="3561"/>
      <c r="P2" s="3561"/>
      <c r="Q2" s="3561"/>
      <c r="R2" s="3561"/>
    </row>
    <row r="3" spans="1:18">
      <c r="A3" s="503" t="s">
        <v>341</v>
      </c>
      <c r="B3" s="3522">
        <f>项目基本情况!D3</f>
        <v>45644</v>
      </c>
      <c r="C3" s="504"/>
      <c r="D3" s="504"/>
      <c r="E3" s="504"/>
      <c r="F3" s="3521"/>
      <c r="I3" s="3562"/>
      <c r="J3" s="3562" t="s">
        <v>342</v>
      </c>
      <c r="K3" s="3562" t="s">
        <v>343</v>
      </c>
      <c r="L3" s="3562" t="s">
        <v>344</v>
      </c>
      <c r="M3" s="3562" t="s">
        <v>345</v>
      </c>
      <c r="N3" s="3563" t="s">
        <v>346</v>
      </c>
      <c r="O3" s="3563" t="s">
        <v>347</v>
      </c>
      <c r="P3" s="3563" t="s">
        <v>348</v>
      </c>
      <c r="Q3" s="3563" t="s">
        <v>349</v>
      </c>
      <c r="R3" s="3563" t="s">
        <v>350</v>
      </c>
    </row>
    <row r="4" spans="1:18">
      <c r="A4" s="503" t="s">
        <v>351</v>
      </c>
      <c r="B4" s="504" t="s">
        <v>352</v>
      </c>
      <c r="C4" s="504" t="s">
        <v>353</v>
      </c>
      <c r="D4" s="504" t="s">
        <v>354</v>
      </c>
      <c r="E4" s="504" t="s">
        <v>355</v>
      </c>
      <c r="F4" s="3521"/>
      <c r="I4" s="3562" t="s">
        <v>356</v>
      </c>
      <c r="J4" s="3562">
        <v>80</v>
      </c>
      <c r="K4" s="3562">
        <v>70</v>
      </c>
      <c r="L4" s="3562">
        <v>20</v>
      </c>
      <c r="M4" s="3562">
        <v>30</v>
      </c>
      <c r="N4" s="504">
        <v>45</v>
      </c>
      <c r="O4" s="504">
        <v>60</v>
      </c>
      <c r="P4" s="504">
        <v>50</v>
      </c>
      <c r="Q4" s="504">
        <v>20</v>
      </c>
      <c r="R4" s="504">
        <v>375</v>
      </c>
    </row>
    <row r="5" spans="1:18">
      <c r="A5" s="3523">
        <v>40</v>
      </c>
      <c r="B5" s="3522">
        <v>46375</v>
      </c>
      <c r="C5" s="504">
        <f>ROUNDDOWN(MIN((B5-B3)/365,A5),2)</f>
        <v>2</v>
      </c>
      <c r="D5" s="3524">
        <f>IF(ISERROR(ROUND(POWER(1+E5,A5-C5)*(POWER(1+E5,C5)-1)/(POWER(1+E5,A5)-1),3)),0,ROUND(POWER(1+E5,A5-C5)*(POWER(1+E5,C5)-1)/(POWER(1+E5,A5)-1),4))</f>
        <v>0.0953</v>
      </c>
      <c r="E5" s="3525">
        <v>0.04</v>
      </c>
      <c r="F5" s="3521"/>
      <c r="I5" s="3562" t="s">
        <v>357</v>
      </c>
      <c r="J5" s="3562">
        <v>70</v>
      </c>
      <c r="K5" s="3562">
        <v>60</v>
      </c>
      <c r="L5" s="3562">
        <v>15</v>
      </c>
      <c r="M5" s="3562">
        <v>25</v>
      </c>
      <c r="N5" s="504">
        <v>40</v>
      </c>
      <c r="O5" s="504">
        <v>50</v>
      </c>
      <c r="P5" s="504">
        <v>40</v>
      </c>
      <c r="Q5" s="504">
        <v>15</v>
      </c>
      <c r="R5" s="504">
        <v>315</v>
      </c>
    </row>
    <row r="6" spans="1:18">
      <c r="A6" s="3523">
        <v>50</v>
      </c>
      <c r="B6" s="3522">
        <v>50028</v>
      </c>
      <c r="C6" s="504">
        <f>ROUNDDOWN(MIN((B6-B3)/365,A6),2)</f>
        <v>12.01</v>
      </c>
      <c r="D6" s="3524">
        <f>IF(ISERROR(ROUND(POWER(1+E6,A6-C6)*(POWER(1+E6,C6)-1)/(POWER(1+E6,A6)-1),3)),0,ROUND(POWER(1+E6,A6-C6)*(POWER(1+E6,C6)-1)/(POWER(1+E6,A6)-1),4))</f>
        <v>0.4372</v>
      </c>
      <c r="E6" s="3525">
        <v>0.04</v>
      </c>
      <c r="F6" s="3521"/>
      <c r="I6" s="3562" t="s">
        <v>358</v>
      </c>
      <c r="J6" s="3562">
        <v>60</v>
      </c>
      <c r="K6" s="3562">
        <v>50</v>
      </c>
      <c r="L6" s="3562">
        <v>10</v>
      </c>
      <c r="M6" s="3562">
        <v>20</v>
      </c>
      <c r="N6" s="504">
        <v>35</v>
      </c>
      <c r="O6" s="504">
        <v>40</v>
      </c>
      <c r="P6" s="504">
        <v>30</v>
      </c>
      <c r="Q6" s="504">
        <v>10</v>
      </c>
      <c r="R6" s="504">
        <v>255</v>
      </c>
    </row>
    <row r="7" spans="1:6">
      <c r="A7" s="3523">
        <v>70</v>
      </c>
      <c r="B7" s="3522">
        <v>57333</v>
      </c>
      <c r="C7" s="504">
        <f>ROUNDDOWN(MIN((B7-B3)/365,A7),2)</f>
        <v>32.02</v>
      </c>
      <c r="D7" s="3524">
        <f>IF(ISERROR(ROUND(POWER(1+E7,A7-C7)*(POWER(1+E7,C7)-1)/(POWER(1+E7,A7)-1),3)),0,ROUND(POWER(1+E7,A7-C7)*(POWER(1+E7,C7)-1)/(POWER(1+E7,A7)-1),4))</f>
        <v>0.7642</v>
      </c>
      <c r="E7" s="3525">
        <v>0.04</v>
      </c>
      <c r="F7" s="3521"/>
    </row>
    <row r="8" spans="1:6">
      <c r="A8" s="3519"/>
      <c r="B8" s="3520"/>
      <c r="C8" s="3520"/>
      <c r="D8" s="3520"/>
      <c r="E8" s="3520"/>
      <c r="F8" s="3521"/>
    </row>
    <row r="9" spans="1:6">
      <c r="A9" s="503" t="s">
        <v>359</v>
      </c>
      <c r="B9" s="504"/>
      <c r="C9" s="504"/>
      <c r="D9" s="504"/>
      <c r="E9" s="504"/>
      <c r="F9" s="556"/>
    </row>
    <row r="10" spans="1:6">
      <c r="A10" s="503" t="s">
        <v>360</v>
      </c>
      <c r="B10" s="504"/>
      <c r="C10" s="504"/>
      <c r="D10" s="504" t="s">
        <v>355</v>
      </c>
      <c r="E10" s="504"/>
      <c r="F10" s="556" t="s">
        <v>354</v>
      </c>
    </row>
    <row r="11" spans="1:6">
      <c r="A11" s="503" t="s">
        <v>361</v>
      </c>
      <c r="B11" s="3526">
        <v>70</v>
      </c>
      <c r="C11" s="504" t="s">
        <v>362</v>
      </c>
      <c r="D11" s="3527">
        <v>0.045</v>
      </c>
      <c r="E11" s="504" t="s">
        <v>363</v>
      </c>
      <c r="F11" s="3528">
        <f>ROUND(1-(1/(POWER(1+D11,B11))),4)</f>
        <v>0.9541</v>
      </c>
    </row>
    <row r="12" spans="1:6">
      <c r="A12" s="503" t="s">
        <v>364</v>
      </c>
      <c r="B12" s="3526">
        <v>40</v>
      </c>
      <c r="C12" s="504" t="s">
        <v>365</v>
      </c>
      <c r="D12" s="3527">
        <v>0.045</v>
      </c>
      <c r="E12" s="504" t="s">
        <v>366</v>
      </c>
      <c r="F12" s="3528">
        <f>ROUND(1-(1/(POWER(1+D12,B12))),4)</f>
        <v>0.8281</v>
      </c>
    </row>
    <row r="13" spans="1:6">
      <c r="A13" s="503" t="s">
        <v>367</v>
      </c>
      <c r="B13" s="504"/>
      <c r="C13" s="504"/>
      <c r="D13" s="3520"/>
      <c r="E13" s="3520"/>
      <c r="F13" s="3521"/>
    </row>
    <row r="14" spans="1:6">
      <c r="A14" s="503" t="s">
        <v>368</v>
      </c>
      <c r="B14" s="3526">
        <v>5000</v>
      </c>
      <c r="C14" s="3529"/>
      <c r="D14" s="3520"/>
      <c r="E14" s="3520"/>
      <c r="F14" s="3521"/>
    </row>
    <row r="15" spans="1:6">
      <c r="A15" s="503" t="s">
        <v>369</v>
      </c>
      <c r="B15" s="504">
        <f>ROUND(B14*F12/F11,2)</f>
        <v>4339.69</v>
      </c>
      <c r="C15" s="504">
        <f>ROUND(F12/F11,4)</f>
        <v>0.8679</v>
      </c>
      <c r="D15" s="3520"/>
      <c r="E15" s="3520"/>
      <c r="F15" s="3521"/>
    </row>
    <row r="16" spans="1:6">
      <c r="A16" s="503" t="s">
        <v>370</v>
      </c>
      <c r="B16" s="504"/>
      <c r="C16" s="504"/>
      <c r="D16" s="3520"/>
      <c r="E16" s="3520"/>
      <c r="F16" s="3521"/>
    </row>
    <row r="17" spans="1:6">
      <c r="A17" s="503" t="s">
        <v>369</v>
      </c>
      <c r="B17" s="3527">
        <v>4810</v>
      </c>
      <c r="C17" s="3529"/>
      <c r="D17" s="3520"/>
      <c r="E17" s="3520"/>
      <c r="F17" s="3521"/>
    </row>
    <row r="18" ht="14.75" spans="1:6">
      <c r="A18" s="3530" t="s">
        <v>368</v>
      </c>
      <c r="B18" s="559">
        <f>ROUND(B17*F11/F12,2)</f>
        <v>5541.87</v>
      </c>
      <c r="C18" s="559">
        <f>ROUND(F11/F12,4)</f>
        <v>1.1522</v>
      </c>
      <c r="D18" s="3531"/>
      <c r="E18" s="3531"/>
      <c r="F18" s="3532"/>
    </row>
    <row r="19" ht="14.75"/>
    <row r="20" s="3513" customFormat="1" ht="14.75" spans="1:13">
      <c r="A20" s="3533" t="s">
        <v>371</v>
      </c>
      <c r="B20" s="3534"/>
      <c r="C20" s="3534"/>
      <c r="D20" s="3534"/>
      <c r="E20" s="3534"/>
      <c r="F20" s="3534"/>
      <c r="G20" s="3535"/>
      <c r="I20" s="3564" t="s">
        <v>372</v>
      </c>
      <c r="J20" s="3564" t="s">
        <v>373</v>
      </c>
      <c r="K20" s="3564"/>
      <c r="L20" s="3564"/>
      <c r="M20" s="3564"/>
    </row>
    <row r="21" spans="1:10">
      <c r="A21" s="3536"/>
      <c r="B21" s="3537" t="s">
        <v>374</v>
      </c>
      <c r="C21" s="3537" t="s">
        <v>353</v>
      </c>
      <c r="D21" s="3537" t="s">
        <v>375</v>
      </c>
      <c r="E21" s="3537" t="s">
        <v>354</v>
      </c>
      <c r="F21" s="3537" t="s">
        <v>376</v>
      </c>
      <c r="G21" s="3538" t="s">
        <v>377</v>
      </c>
      <c r="I21" s="3515">
        <v>5</v>
      </c>
      <c r="J21" s="3515">
        <v>54.2</v>
      </c>
    </row>
    <row r="22" spans="1:11">
      <c r="A22" s="3536" t="s">
        <v>378</v>
      </c>
      <c r="B22" s="3539">
        <v>70</v>
      </c>
      <c r="C22" s="3539">
        <v>30</v>
      </c>
      <c r="D22" s="3540">
        <v>0.04</v>
      </c>
      <c r="E22" s="3537">
        <f>ROUND(POWER(1+D22,B22-C22)*(POWER(1+D22,C22)-1)/(POWER(1+D22,B22)-1),3)</f>
        <v>0.739</v>
      </c>
      <c r="F22" s="3540">
        <v>0.7</v>
      </c>
      <c r="G22" s="3538">
        <f>ROUND(100*(1-(1-E22)*F22),1)</f>
        <v>81.7</v>
      </c>
      <c r="I22" s="3515">
        <v>10</v>
      </c>
      <c r="J22" s="3515">
        <v>65.4</v>
      </c>
      <c r="K22" s="3515">
        <f>J22-J21</f>
        <v>11.2</v>
      </c>
    </row>
    <row r="23" spans="1:13">
      <c r="A23" s="3536" t="s">
        <v>379</v>
      </c>
      <c r="B23" s="3539">
        <v>70</v>
      </c>
      <c r="C23" s="3539">
        <v>40</v>
      </c>
      <c r="D23" s="3540">
        <v>0.04</v>
      </c>
      <c r="E23" s="3537">
        <f t="shared" ref="E23:E25" si="0">ROUND(POWER(1+D23,B23-C23)*(POWER(1+D23,C23)-1)/(POWER(1+D23,B23)-1),3)</f>
        <v>0.846</v>
      </c>
      <c r="F23" s="3540">
        <f>F22</f>
        <v>0.7</v>
      </c>
      <c r="G23" s="3538">
        <f t="shared" ref="G23:G25" si="1">ROUND(100*(1-(1-E23)*F23),1)</f>
        <v>89.2</v>
      </c>
      <c r="I23" s="3515">
        <v>15</v>
      </c>
      <c r="J23" s="3515">
        <v>74.1</v>
      </c>
      <c r="K23" s="3515">
        <f t="shared" ref="K23:K30" si="2">J23-J22</f>
        <v>8.69999999999999</v>
      </c>
      <c r="L23" s="3515" t="s">
        <v>380</v>
      </c>
      <c r="M23" s="3515" t="s">
        <v>381</v>
      </c>
    </row>
    <row r="24" spans="1:13">
      <c r="A24" s="3536" t="s">
        <v>382</v>
      </c>
      <c r="B24" s="3539">
        <v>70</v>
      </c>
      <c r="C24" s="3539">
        <v>50</v>
      </c>
      <c r="D24" s="3540">
        <v>0.04</v>
      </c>
      <c r="E24" s="3537">
        <f t="shared" si="0"/>
        <v>0.918</v>
      </c>
      <c r="F24" s="3540">
        <f>F23</f>
        <v>0.7</v>
      </c>
      <c r="G24" s="3538">
        <f t="shared" si="1"/>
        <v>94.3</v>
      </c>
      <c r="I24" s="3515">
        <v>20</v>
      </c>
      <c r="J24" s="3515">
        <v>81</v>
      </c>
      <c r="K24" s="3515">
        <f t="shared" si="2"/>
        <v>6.90000000000001</v>
      </c>
      <c r="L24" s="3515" t="s">
        <v>383</v>
      </c>
      <c r="M24" s="3515">
        <v>10</v>
      </c>
    </row>
    <row r="25" spans="1:13">
      <c r="A25" s="3536" t="s">
        <v>384</v>
      </c>
      <c r="B25" s="3539">
        <v>70</v>
      </c>
      <c r="C25" s="3539">
        <v>60</v>
      </c>
      <c r="D25" s="3540">
        <v>0.04</v>
      </c>
      <c r="E25" s="3537">
        <f t="shared" si="0"/>
        <v>0.967</v>
      </c>
      <c r="F25" s="3540">
        <f>F24</f>
        <v>0.7</v>
      </c>
      <c r="G25" s="3538">
        <f t="shared" si="1"/>
        <v>97.7</v>
      </c>
      <c r="I25" s="3515">
        <v>25</v>
      </c>
      <c r="J25" s="3515">
        <v>86.3</v>
      </c>
      <c r="K25" s="3515">
        <f t="shared" si="2"/>
        <v>5.3</v>
      </c>
      <c r="L25" s="3515" t="s">
        <v>385</v>
      </c>
      <c r="M25" s="3515">
        <v>8</v>
      </c>
    </row>
    <row r="26" spans="1:13">
      <c r="A26" s="3541"/>
      <c r="B26" s="3542"/>
      <c r="C26" s="3542"/>
      <c r="D26" s="3542"/>
      <c r="E26" s="3542"/>
      <c r="F26" s="3542"/>
      <c r="G26" s="3543"/>
      <c r="I26" s="3515">
        <v>30</v>
      </c>
      <c r="J26" s="3515">
        <v>90.5</v>
      </c>
      <c r="K26" s="3515">
        <f t="shared" si="2"/>
        <v>4.2</v>
      </c>
      <c r="L26" s="3515" t="s">
        <v>386</v>
      </c>
      <c r="M26" s="3515">
        <v>5</v>
      </c>
    </row>
    <row r="27" spans="1:13">
      <c r="A27" s="3541" t="s">
        <v>387</v>
      </c>
      <c r="B27" s="3542"/>
      <c r="C27" s="3542"/>
      <c r="D27" s="3542"/>
      <c r="E27" s="3542"/>
      <c r="F27" s="3542"/>
      <c r="G27" s="3543"/>
      <c r="I27" s="3515">
        <v>35</v>
      </c>
      <c r="J27" s="3515">
        <v>93.8</v>
      </c>
      <c r="K27" s="3515">
        <f t="shared" si="2"/>
        <v>3.3</v>
      </c>
      <c r="L27" s="3515" t="s">
        <v>388</v>
      </c>
      <c r="M27" s="3515">
        <v>3</v>
      </c>
    </row>
    <row r="28" spans="1:13">
      <c r="A28" s="3541" t="s">
        <v>389</v>
      </c>
      <c r="B28" s="3542"/>
      <c r="C28" s="3542"/>
      <c r="D28" s="3542"/>
      <c r="E28" s="3542"/>
      <c r="F28" s="3542"/>
      <c r="G28" s="3543"/>
      <c r="I28" s="3515">
        <v>40</v>
      </c>
      <c r="J28" s="3515">
        <v>96.4</v>
      </c>
      <c r="K28" s="3515">
        <f t="shared" si="2"/>
        <v>2.60000000000001</v>
      </c>
      <c r="L28" s="3515" t="s">
        <v>390</v>
      </c>
      <c r="M28" s="3515">
        <v>2</v>
      </c>
    </row>
    <row r="29" spans="1:11">
      <c r="A29" s="3541" t="s">
        <v>391</v>
      </c>
      <c r="B29" s="3542"/>
      <c r="C29" s="3542"/>
      <c r="D29" s="3542"/>
      <c r="E29" s="3542"/>
      <c r="F29" s="3542"/>
      <c r="G29" s="3543"/>
      <c r="I29" s="3515">
        <v>45</v>
      </c>
      <c r="J29" s="3515">
        <v>98.4</v>
      </c>
      <c r="K29" s="3515">
        <f t="shared" si="2"/>
        <v>2</v>
      </c>
    </row>
    <row r="30" spans="1:11">
      <c r="A30" s="3541" t="s">
        <v>392</v>
      </c>
      <c r="B30" s="3542"/>
      <c r="C30" s="3542"/>
      <c r="D30" s="3542"/>
      <c r="E30" s="3542"/>
      <c r="F30" s="3542"/>
      <c r="G30" s="3543"/>
      <c r="I30" s="3515">
        <v>50</v>
      </c>
      <c r="J30" s="3515">
        <v>100</v>
      </c>
      <c r="K30" s="3515">
        <f t="shared" si="2"/>
        <v>1.59999999999999</v>
      </c>
    </row>
    <row r="31" spans="1:9">
      <c r="A31" s="3541" t="s">
        <v>393</v>
      </c>
      <c r="B31" s="3542"/>
      <c r="C31" s="3542"/>
      <c r="D31" s="3542"/>
      <c r="E31" s="3542"/>
      <c r="F31" s="3542"/>
      <c r="G31" s="3543"/>
      <c r="I31" s="3515" t="s">
        <v>394</v>
      </c>
    </row>
    <row r="32" spans="1:7">
      <c r="A32" s="3541" t="s">
        <v>395</v>
      </c>
      <c r="B32" s="3542"/>
      <c r="C32" s="3542"/>
      <c r="D32" s="3542"/>
      <c r="E32" s="3542"/>
      <c r="F32" s="3542"/>
      <c r="G32" s="3543"/>
    </row>
    <row r="33" spans="1:10">
      <c r="A33" s="3541" t="s">
        <v>396</v>
      </c>
      <c r="B33" s="3542"/>
      <c r="C33" s="3542"/>
      <c r="D33" s="3542"/>
      <c r="E33" s="3542"/>
      <c r="F33" s="3542"/>
      <c r="G33" s="3543"/>
      <c r="I33" s="3515" t="s">
        <v>372</v>
      </c>
      <c r="J33" s="3515" t="s">
        <v>397</v>
      </c>
    </row>
    <row r="34" spans="1:10">
      <c r="A34" s="3541" t="s">
        <v>398</v>
      </c>
      <c r="B34" s="3542"/>
      <c r="C34" s="3542"/>
      <c r="D34" s="3542"/>
      <c r="E34" s="3542"/>
      <c r="F34" s="3542"/>
      <c r="G34" s="3543"/>
      <c r="I34" s="3515">
        <v>5</v>
      </c>
      <c r="J34" s="3515">
        <v>55.1</v>
      </c>
    </row>
    <row r="35" spans="1:11">
      <c r="A35" s="3541" t="s">
        <v>399</v>
      </c>
      <c r="B35" s="3542"/>
      <c r="C35" s="3542"/>
      <c r="D35" s="3542"/>
      <c r="E35" s="3542"/>
      <c r="F35" s="3542"/>
      <c r="G35" s="3543"/>
      <c r="I35" s="3515">
        <v>10</v>
      </c>
      <c r="J35" s="3515">
        <v>67</v>
      </c>
      <c r="K35" s="3515">
        <f>J35-J34</f>
        <v>11.9</v>
      </c>
    </row>
    <row r="36" spans="1:13">
      <c r="A36" s="3541" t="s">
        <v>400</v>
      </c>
      <c r="B36" s="3542"/>
      <c r="C36" s="3542"/>
      <c r="D36" s="3542"/>
      <c r="E36" s="3542"/>
      <c r="F36" s="3542"/>
      <c r="G36" s="3543"/>
      <c r="I36" s="3515">
        <v>15</v>
      </c>
      <c r="J36" s="3515">
        <v>76.3</v>
      </c>
      <c r="K36" s="3515">
        <f t="shared" ref="K36:K41" si="3">J36-J35</f>
        <v>9.3</v>
      </c>
      <c r="L36" s="3515" t="s">
        <v>380</v>
      </c>
      <c r="M36" s="3515" t="s">
        <v>381</v>
      </c>
    </row>
    <row r="37" spans="1:13">
      <c r="A37" s="3541" t="s">
        <v>401</v>
      </c>
      <c r="B37" s="3542"/>
      <c r="C37" s="3542"/>
      <c r="D37" s="3542"/>
      <c r="E37" s="3542"/>
      <c r="F37" s="3542"/>
      <c r="G37" s="3543"/>
      <c r="I37" s="3515">
        <v>20</v>
      </c>
      <c r="J37" s="3515">
        <v>83.6</v>
      </c>
      <c r="K37" s="3515">
        <f t="shared" si="3"/>
        <v>7.3</v>
      </c>
      <c r="L37" s="3515" t="s">
        <v>383</v>
      </c>
      <c r="M37" s="3515">
        <v>10</v>
      </c>
    </row>
    <row r="38" spans="1:13">
      <c r="A38" s="3541" t="s">
        <v>402</v>
      </c>
      <c r="B38" s="3542"/>
      <c r="C38" s="3542"/>
      <c r="D38" s="3542"/>
      <c r="E38" s="3542"/>
      <c r="F38" s="3542"/>
      <c r="G38" s="3543"/>
      <c r="I38" s="3515">
        <v>25</v>
      </c>
      <c r="J38" s="3515">
        <v>89.3</v>
      </c>
      <c r="K38" s="3515">
        <f t="shared" si="3"/>
        <v>5.7</v>
      </c>
      <c r="L38" s="3515" t="s">
        <v>385</v>
      </c>
      <c r="M38" s="3515">
        <v>8</v>
      </c>
    </row>
    <row r="39" spans="1:13">
      <c r="A39" s="3541"/>
      <c r="B39" s="3542"/>
      <c r="C39" s="3542"/>
      <c r="D39" s="3542"/>
      <c r="E39" s="3542"/>
      <c r="F39" s="3542"/>
      <c r="G39" s="3543"/>
      <c r="I39" s="3515">
        <v>30</v>
      </c>
      <c r="J39" s="3515">
        <v>93.8</v>
      </c>
      <c r="K39" s="3515">
        <f t="shared" si="3"/>
        <v>4.5</v>
      </c>
      <c r="L39" s="3515" t="s">
        <v>386</v>
      </c>
      <c r="M39" s="3515">
        <v>6</v>
      </c>
    </row>
    <row r="40" spans="1:13">
      <c r="A40" s="3544" t="s">
        <v>403</v>
      </c>
      <c r="B40" s="3545"/>
      <c r="C40" s="3545"/>
      <c r="D40" s="3545"/>
      <c r="E40" s="3545"/>
      <c r="F40" s="3545"/>
      <c r="G40" s="3546"/>
      <c r="I40" s="3515">
        <v>35</v>
      </c>
      <c r="J40" s="3515">
        <v>97.2</v>
      </c>
      <c r="K40" s="3515">
        <f t="shared" si="3"/>
        <v>3.40000000000001</v>
      </c>
      <c r="L40" s="3515" t="s">
        <v>388</v>
      </c>
      <c r="M40" s="3515">
        <v>3</v>
      </c>
    </row>
    <row r="41" spans="1:11">
      <c r="A41" s="3547" t="s">
        <v>404</v>
      </c>
      <c r="B41" s="3548" t="s">
        <v>405</v>
      </c>
      <c r="C41" s="3549" t="s">
        <v>406</v>
      </c>
      <c r="D41" s="3549" t="s">
        <v>407</v>
      </c>
      <c r="E41" s="3550"/>
      <c r="F41" s="3551"/>
      <c r="G41" s="3552"/>
      <c r="I41" s="3515">
        <v>40</v>
      </c>
      <c r="J41" s="3515">
        <v>100</v>
      </c>
      <c r="K41" s="3515">
        <f t="shared" si="3"/>
        <v>2.8</v>
      </c>
    </row>
    <row r="42" spans="1:7">
      <c r="A42" s="3547" t="s">
        <v>408</v>
      </c>
      <c r="B42" s="3548" t="s">
        <v>409</v>
      </c>
      <c r="C42" s="3549" t="s">
        <v>409</v>
      </c>
      <c r="D42" s="3553" t="s">
        <v>410</v>
      </c>
      <c r="E42" s="3545" t="s">
        <v>411</v>
      </c>
      <c r="F42" s="3545"/>
      <c r="G42" s="3546"/>
    </row>
    <row r="43" spans="1:10">
      <c r="A43" s="3547" t="s">
        <v>412</v>
      </c>
      <c r="B43" s="3548" t="s">
        <v>413</v>
      </c>
      <c r="C43" s="3549" t="s">
        <v>414</v>
      </c>
      <c r="D43" s="3549" t="s">
        <v>415</v>
      </c>
      <c r="E43" s="3550" t="s">
        <v>416</v>
      </c>
      <c r="F43" s="3551"/>
      <c r="G43" s="3552"/>
      <c r="I43" s="3515" t="s">
        <v>372</v>
      </c>
      <c r="J43" s="3515" t="s">
        <v>417</v>
      </c>
    </row>
    <row r="44" spans="1:10">
      <c r="A44" s="3547" t="s">
        <v>418</v>
      </c>
      <c r="B44" s="3548" t="s">
        <v>419</v>
      </c>
      <c r="C44" s="3549" t="s">
        <v>420</v>
      </c>
      <c r="D44" s="3553">
        <v>0.5</v>
      </c>
      <c r="E44" s="3550" t="s">
        <v>421</v>
      </c>
      <c r="F44" s="3551"/>
      <c r="G44" s="3552"/>
      <c r="I44" s="3515">
        <v>30</v>
      </c>
      <c r="J44" s="3515">
        <v>81.7</v>
      </c>
    </row>
    <row r="45" ht="14.75" spans="1:11">
      <c r="A45" s="3554" t="s">
        <v>422</v>
      </c>
      <c r="B45" s="3555" t="s">
        <v>409</v>
      </c>
      <c r="C45" s="3556" t="s">
        <v>409</v>
      </c>
      <c r="D45" s="3556" t="s">
        <v>423</v>
      </c>
      <c r="E45" s="3557" t="s">
        <v>424</v>
      </c>
      <c r="F45" s="3557"/>
      <c r="G45" s="3558"/>
      <c r="I45" s="3515">
        <v>40</v>
      </c>
      <c r="J45" s="3515">
        <v>89.2</v>
      </c>
      <c r="K45" s="3515">
        <f>J45-J44</f>
        <v>7.5</v>
      </c>
    </row>
    <row r="46" spans="9:11">
      <c r="I46" s="3515">
        <v>50</v>
      </c>
      <c r="J46" s="3515">
        <v>94.3</v>
      </c>
      <c r="K46" s="3515">
        <f t="shared" ref="K46:K47" si="4">J46-J45</f>
        <v>5.09999999999999</v>
      </c>
    </row>
    <row r="47" spans="9:11">
      <c r="I47" s="3515">
        <v>60</v>
      </c>
      <c r="J47" s="3515">
        <v>97.7</v>
      </c>
      <c r="K47" s="351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14" sqref="O14"/>
    </sheetView>
  </sheetViews>
  <sheetFormatPr defaultColWidth="10" defaultRowHeight="12.5"/>
  <cols>
    <col min="1" max="1" width="16.8727272727273" style="2954" customWidth="1"/>
    <col min="2" max="2" width="10" style="2954" customWidth="1"/>
    <col min="3" max="3" width="11.5" style="2954" customWidth="1"/>
    <col min="4" max="4" width="10" style="2954" customWidth="1"/>
    <col min="5" max="5" width="12.6272727272727" style="2954" customWidth="1"/>
    <col min="6" max="6" width="10" style="2954" customWidth="1"/>
    <col min="7" max="7" width="10.7545454545455" style="2954" customWidth="1"/>
    <col min="8" max="8" width="10" style="2954" customWidth="1"/>
    <col min="9" max="9" width="11.1272727272727" style="3262" customWidth="1"/>
    <col min="10" max="10" width="10" style="3165" customWidth="1"/>
    <col min="11" max="11" width="10" style="3358" customWidth="1"/>
    <col min="12" max="13" width="10" style="3359" customWidth="1"/>
    <col min="14" max="14" width="10" style="3165" customWidth="1"/>
    <col min="15" max="15" width="10" style="582" customWidth="1"/>
    <col min="16" max="17" width="10" style="3165"/>
    <col min="18" max="18" width="10" style="3165" customWidth="1"/>
    <col min="19" max="30" width="10" style="3165"/>
    <col min="31" max="16384" width="10" style="2954"/>
  </cols>
  <sheetData>
    <row r="1" ht="13.75" spans="1:28">
      <c r="A1" s="3360" t="s">
        <v>425</v>
      </c>
      <c r="B1" s="3361" t="str">
        <f>IF(B10="北京市","北京市",C10)&amp;F10&amp;IF(结果表!G1="在建","出让国有建设用地使用权及在建建筑物",IF(结果表!G1="土地","出让国有建设用地使用权",))&amp;B9&amp;"预评估"</f>
        <v>北京市房地产抵押价值预评估</v>
      </c>
      <c r="C1" s="3362"/>
      <c r="D1" s="3362"/>
      <c r="E1" s="3362"/>
      <c r="F1" s="3362"/>
      <c r="G1" s="3362"/>
      <c r="H1" s="3362"/>
      <c r="I1" s="3477"/>
      <c r="J1" s="2904"/>
      <c r="K1" s="3478"/>
      <c r="L1" s="3479"/>
      <c r="M1" s="3479"/>
      <c r="N1" s="3406"/>
      <c r="O1" s="3270"/>
      <c r="P1" s="3406"/>
      <c r="Q1" s="3406"/>
      <c r="R1" s="3406"/>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ht="13" spans="1:28">
      <c r="A2" s="3363" t="s">
        <v>426</v>
      </c>
      <c r="B2" s="3364"/>
      <c r="C2" s="3365"/>
      <c r="D2" s="3366"/>
      <c r="E2" s="3367"/>
      <c r="F2" s="3367"/>
      <c r="G2" s="3368"/>
      <c r="H2" s="3368"/>
      <c r="I2" s="3368"/>
      <c r="J2" s="2904"/>
      <c r="K2" s="3478"/>
      <c r="L2" s="3479"/>
      <c r="M2" s="3479"/>
      <c r="N2" s="3406"/>
      <c r="O2" s="3270"/>
      <c r="P2" s="3406"/>
      <c r="Q2" s="3406"/>
      <c r="R2" s="3406"/>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ht="13" spans="1:28">
      <c r="A3" s="1708" t="s">
        <v>427</v>
      </c>
      <c r="B3" s="3369">
        <f>D3</f>
        <v>45644</v>
      </c>
      <c r="C3" s="3370" t="s">
        <v>428</v>
      </c>
      <c r="D3" s="3369">
        <v>45644</v>
      </c>
      <c r="E3" s="3368"/>
      <c r="F3" s="3368"/>
      <c r="G3" s="3368"/>
      <c r="H3" s="3368"/>
      <c r="I3" s="3368"/>
      <c r="J3" s="2904"/>
      <c r="K3" s="3478"/>
      <c r="L3" s="3479"/>
      <c r="M3" s="3479"/>
      <c r="N3" s="3406"/>
      <c r="O3" s="3270"/>
      <c r="P3" s="3406"/>
      <c r="Q3" s="3406"/>
      <c r="R3" s="3406"/>
      <c r="S3" s="2955"/>
      <c r="T3" s="2954"/>
      <c r="U3" s="2954"/>
      <c r="V3" s="2954"/>
      <c r="W3" s="2954"/>
      <c r="X3" s="2954"/>
      <c r="Y3" s="2954"/>
      <c r="Z3" s="2954"/>
      <c r="AA3" s="2954"/>
      <c r="AB3" s="2954"/>
    </row>
    <row r="4" ht="13.75" spans="1:28">
      <c r="A4" s="1732" t="s">
        <v>429</v>
      </c>
      <c r="B4" s="3371"/>
      <c r="C4" s="3372">
        <f ca="1">SUMIF(注册房地产估价师,B4,估价师及机构信息!B3:B24)</f>
        <v>0</v>
      </c>
      <c r="D4" s="3371"/>
      <c r="E4" s="3373">
        <f ca="1">SUMIF(注册房地产估价师,D4,估价师及机构信息!B3:B24)</f>
        <v>0</v>
      </c>
      <c r="F4" s="3371"/>
      <c r="G4" s="3373">
        <f ca="1">SUMIF(注册房地产估价师,F4,估价师及机构信息!B3:B24)</f>
        <v>0</v>
      </c>
      <c r="H4" s="3371"/>
      <c r="I4" s="3373">
        <f ca="1">SUMIF(注册房地产估价师,H4,估价师及机构信息!B3:B24)</f>
        <v>0</v>
      </c>
      <c r="J4" s="2938"/>
      <c r="K4" s="3480" t="str">
        <f ca="1">CONCATENATE(B4,"（注册号：",C4,")、",D4,"（注册号：",E4,")")</f>
        <v>（注册号：0)、（注册号：0)</v>
      </c>
      <c r="L4" s="3479"/>
      <c r="M4" s="3479"/>
      <c r="N4" s="3406"/>
      <c r="O4" s="3270"/>
      <c r="P4" s="3406"/>
      <c r="Q4" s="3406"/>
      <c r="R4" s="3406"/>
      <c r="S4" s="2955"/>
      <c r="T4" s="2954"/>
      <c r="U4" s="2954"/>
      <c r="V4" s="2954"/>
      <c r="W4" s="2954"/>
      <c r="X4" s="2954"/>
      <c r="Y4" s="2954"/>
      <c r="Z4" s="2954"/>
      <c r="AA4" s="2954"/>
      <c r="AB4" s="2954"/>
    </row>
    <row r="5" ht="13.75" spans="1:28">
      <c r="A5" s="3374" t="s">
        <v>430</v>
      </c>
      <c r="B5" s="3375"/>
      <c r="C5" s="3376"/>
      <c r="D5" s="3377"/>
      <c r="E5" s="3063"/>
      <c r="F5" s="3063"/>
      <c r="G5" s="3063"/>
      <c r="H5" s="3063"/>
      <c r="I5" s="3063"/>
      <c r="J5" s="2938"/>
      <c r="K5" s="3480" t="str">
        <f ca="1">IF(F4="——","",IF(H4="——",F4&amp;"（注册号："&amp;G4&amp;")",CONCATENATE(F4,"（注册号：",G4,")、",H4,"（注册号：",I4,")")))</f>
        <v>（注册号：0)、（注册号：0)</v>
      </c>
      <c r="L5" s="3479"/>
      <c r="M5" s="3479"/>
      <c r="N5" s="3406"/>
      <c r="O5" s="3270"/>
      <c r="P5" s="3406"/>
      <c r="Q5" s="3406"/>
      <c r="R5" s="3406"/>
      <c r="S5" s="2954"/>
      <c r="T5" s="2954"/>
      <c r="U5" s="2954"/>
      <c r="V5" s="2954"/>
      <c r="W5" s="2954"/>
      <c r="X5" s="2954"/>
      <c r="Y5" s="2954"/>
      <c r="Z5" s="2954"/>
      <c r="AA5" s="2954"/>
      <c r="AB5" s="2954"/>
    </row>
    <row r="6" ht="13" spans="1:18">
      <c r="A6" s="3378" t="s">
        <v>431</v>
      </c>
      <c r="B6" s="3379"/>
      <c r="C6" s="3380"/>
      <c r="D6" s="3381"/>
      <c r="E6" s="3367"/>
      <c r="F6" s="3063"/>
      <c r="G6" s="3063"/>
      <c r="H6" s="3063"/>
      <c r="I6" s="3063"/>
      <c r="J6" s="2938"/>
      <c r="K6" s="3481" t="str">
        <f>IF(COUNTIF(B6,"*上海银行*"),"上海银行","")</f>
        <v/>
      </c>
      <c r="L6" s="3482"/>
      <c r="M6" s="3482"/>
      <c r="N6" s="2938"/>
      <c r="O6" s="3483"/>
      <c r="P6" s="2938"/>
      <c r="Q6" s="2938"/>
      <c r="R6" s="2938"/>
    </row>
    <row r="7" ht="13" spans="1:18">
      <c r="A7" s="3378" t="s">
        <v>432</v>
      </c>
      <c r="B7" s="3382"/>
      <c r="C7" s="3380"/>
      <c r="D7" s="3381"/>
      <c r="E7" s="3367"/>
      <c r="F7" s="3063"/>
      <c r="G7" s="3063"/>
      <c r="H7" s="3063"/>
      <c r="I7" s="3063"/>
      <c r="J7" s="2938"/>
      <c r="K7" s="3484"/>
      <c r="L7" s="3482"/>
      <c r="M7" s="3482"/>
      <c r="N7" s="2938"/>
      <c r="O7" s="3483"/>
      <c r="P7" s="2938"/>
      <c r="Q7" s="2938"/>
      <c r="R7" s="2938"/>
    </row>
    <row r="8" ht="13" spans="1:18">
      <c r="A8" s="3383" t="s">
        <v>433</v>
      </c>
      <c r="B8" s="3384" t="s">
        <v>325</v>
      </c>
      <c r="C8" s="3385"/>
      <c r="D8" s="3386" t="s">
        <v>434</v>
      </c>
      <c r="E8" s="3387" t="s">
        <v>330</v>
      </c>
      <c r="F8" s="3388"/>
      <c r="G8" s="3368"/>
      <c r="H8" s="3368"/>
      <c r="I8" s="3368"/>
      <c r="J8" s="2938"/>
      <c r="K8" s="3485"/>
      <c r="L8" s="3482"/>
      <c r="M8" s="3482"/>
      <c r="N8" s="2938"/>
      <c r="O8" s="3483"/>
      <c r="P8" s="2938"/>
      <c r="Q8" s="2938"/>
      <c r="R8" s="2938"/>
    </row>
    <row r="9" ht="13.75" spans="1:18">
      <c r="A9" s="3389" t="s">
        <v>435</v>
      </c>
      <c r="B9" s="3390" t="s">
        <v>330</v>
      </c>
      <c r="C9" s="3391"/>
      <c r="D9" s="3392"/>
      <c r="E9" s="3390" t="s">
        <v>124</v>
      </c>
      <c r="F9" s="3393"/>
      <c r="G9" s="3394"/>
      <c r="H9" s="3394"/>
      <c r="I9" s="3394"/>
      <c r="J9" s="2938"/>
      <c r="K9" s="3484"/>
      <c r="L9" s="3482"/>
      <c r="M9" s="3482"/>
      <c r="N9" s="2938"/>
      <c r="O9" s="3483"/>
      <c r="P9" s="2938"/>
      <c r="Q9" s="2938"/>
      <c r="R9" s="2938"/>
    </row>
    <row r="10" ht="13.75" spans="1:18">
      <c r="A10" s="3395" t="s">
        <v>436</v>
      </c>
      <c r="B10" s="3396" t="s">
        <v>437</v>
      </c>
      <c r="C10" s="3397"/>
      <c r="D10" s="3377"/>
      <c r="E10" s="3398" t="s">
        <v>438</v>
      </c>
      <c r="F10" s="3399"/>
      <c r="G10" s="3400"/>
      <c r="H10" s="3401"/>
      <c r="I10" s="3486"/>
      <c r="J10" s="2938"/>
      <c r="K10" s="3484"/>
      <c r="L10" s="3482"/>
      <c r="M10" s="3482"/>
      <c r="N10" s="2938"/>
      <c r="O10" s="3483"/>
      <c r="P10" s="2938"/>
      <c r="Q10" s="2938"/>
      <c r="R10" s="2938"/>
    </row>
    <row r="11" ht="13" spans="1:18">
      <c r="A11" s="3402" t="s">
        <v>439</v>
      </c>
      <c r="B11" s="3403" t="s">
        <v>440</v>
      </c>
      <c r="C11" s="3404"/>
      <c r="D11" s="3405"/>
      <c r="E11" s="3406"/>
      <c r="F11" s="3406"/>
      <c r="G11" s="3406"/>
      <c r="H11" s="3406"/>
      <c r="I11" s="3406"/>
      <c r="J11" s="3487"/>
      <c r="K11" s="3488"/>
      <c r="L11" s="3482"/>
      <c r="M11" s="3482"/>
      <c r="N11" s="2938"/>
      <c r="O11" s="3483"/>
      <c r="P11" s="2938"/>
      <c r="Q11" s="2938"/>
      <c r="R11" s="2938"/>
    </row>
    <row r="12" ht="13" spans="1:30">
      <c r="A12" s="3407" t="s">
        <v>441</v>
      </c>
      <c r="B12" s="1751" t="s">
        <v>442</v>
      </c>
      <c r="C12" s="3408" t="s">
        <v>443</v>
      </c>
      <c r="D12" s="3408" t="s">
        <v>444</v>
      </c>
      <c r="E12" s="3408" t="s">
        <v>445</v>
      </c>
      <c r="F12" s="3408" t="s">
        <v>446</v>
      </c>
      <c r="G12" s="3408" t="s">
        <v>447</v>
      </c>
      <c r="H12" s="3408" t="s">
        <v>448</v>
      </c>
      <c r="I12" s="3489" t="s">
        <v>280</v>
      </c>
      <c r="J12" s="3490"/>
      <c r="K12" s="3482"/>
      <c r="L12" s="3482"/>
      <c r="M12" s="2938"/>
      <c r="N12" s="3483"/>
      <c r="O12" s="2938"/>
      <c r="P12" s="2938"/>
      <c r="Q12" s="2938"/>
      <c r="AD12" s="2954"/>
    </row>
    <row r="13" ht="13" spans="1:30">
      <c r="A13" s="3409" t="s">
        <v>449</v>
      </c>
      <c r="B13" s="3410" t="s">
        <v>450</v>
      </c>
      <c r="C13" s="3411"/>
      <c r="D13" s="3411">
        <v>55146</v>
      </c>
      <c r="E13" s="3411">
        <v>55149</v>
      </c>
      <c r="F13" s="3411">
        <f>E13</f>
        <v>55149</v>
      </c>
      <c r="G13" s="3411"/>
      <c r="H13" s="3411"/>
      <c r="I13" s="3411"/>
      <c r="J13" s="3490"/>
      <c r="K13" s="3482"/>
      <c r="L13" s="3482"/>
      <c r="M13" s="2938"/>
      <c r="N13" s="3483"/>
      <c r="O13" s="2938"/>
      <c r="P13" s="2938"/>
      <c r="Q13" s="2938"/>
      <c r="AD13" s="2954"/>
    </row>
    <row r="14" ht="13" spans="1:30">
      <c r="A14" s="1737"/>
      <c r="B14" s="3410" t="s">
        <v>451</v>
      </c>
      <c r="C14" s="3412"/>
      <c r="D14" s="3412">
        <v>40</v>
      </c>
      <c r="E14" s="3412">
        <v>40</v>
      </c>
      <c r="F14" s="3412">
        <v>40</v>
      </c>
      <c r="G14" s="3412"/>
      <c r="H14" s="3412"/>
      <c r="I14" s="3412"/>
      <c r="J14" s="3491"/>
      <c r="K14" s="3482"/>
      <c r="L14" s="3482"/>
      <c r="M14" s="2938"/>
      <c r="N14" s="3483"/>
      <c r="O14" s="2938"/>
      <c r="P14" s="2938"/>
      <c r="Q14" s="2938"/>
      <c r="AD14" s="2954"/>
    </row>
    <row r="15" ht="13" spans="1:30">
      <c r="A15" s="1744"/>
      <c r="B15" s="3413" t="s">
        <v>452</v>
      </c>
      <c r="C15" s="3414" t="str">
        <f>IF(A13="出让",IF(C13="","",ROUNDDOWN(MIN((C13-$D$3)/365,C14),2)),C14)</f>
        <v/>
      </c>
      <c r="D15" s="3414">
        <f>IF(A13="出让",IF(D13="","",ROUNDDOWN(MIN((D13-$D$3)/365,D14),2)),D14)</f>
        <v>26.03</v>
      </c>
      <c r="E15" s="3414">
        <f>IF(A13="出让",IF(E13="","",ROUNDDOWN(MIN((E13-$D$3)/365,E14),2)),E14)</f>
        <v>26.04</v>
      </c>
      <c r="F15" s="3414">
        <f>IF(A13="出让",IF(F13="","",ROUNDDOWN(MIN((F13-$D$3)/365,F14),2)),F14)</f>
        <v>26.04</v>
      </c>
      <c r="G15" s="3414" t="str">
        <f>IF(A13="出让",IF(G13="","",ROUNDDOWN(MIN((G13-$D$3)/365,G14),2)),G14)</f>
        <v/>
      </c>
      <c r="H15" s="3414" t="str">
        <f>IF(A13="出让",IF(H13="","",ROUNDDOWN(MIN((H13-$D$3)/365,H14),2)),H14)</f>
        <v/>
      </c>
      <c r="I15" s="3414" t="str">
        <f>IF(A13="出让",IF(I13="","",ROUNDDOWN(MIN((I13-$D$3)/365,I14),2)),I14)</f>
        <v/>
      </c>
      <c r="J15" s="3492"/>
      <c r="K15" s="3493"/>
      <c r="L15" s="3493"/>
      <c r="M15" s="2939"/>
      <c r="N15" s="3493"/>
      <c r="O15" s="2939"/>
      <c r="P15" s="2938"/>
      <c r="Q15" s="2938"/>
      <c r="AD15" s="2954"/>
    </row>
    <row r="16" ht="13" spans="1:18">
      <c r="A16" s="3398" t="s">
        <v>453</v>
      </c>
      <c r="B16" s="3415"/>
      <c r="C16" s="3416"/>
      <c r="D16" s="3417"/>
      <c r="E16" s="3418" t="s">
        <v>454</v>
      </c>
      <c r="F16" s="3419"/>
      <c r="G16" s="3420"/>
      <c r="H16" s="3420"/>
      <c r="I16" s="3494"/>
      <c r="J16" s="2938"/>
      <c r="K16" s="3495"/>
      <c r="L16" s="3493"/>
      <c r="M16" s="3493"/>
      <c r="N16" s="2939"/>
      <c r="O16" s="3493"/>
      <c r="P16" s="2939"/>
      <c r="Q16" s="2938"/>
      <c r="R16" s="2938"/>
    </row>
    <row r="17" ht="13" spans="1:22">
      <c r="A17" s="1721" t="s">
        <v>455</v>
      </c>
      <c r="B17" s="1708" t="s">
        <v>456</v>
      </c>
      <c r="C17" s="646">
        <f>'数据-汇总表'!E3</f>
        <v>68156.19</v>
      </c>
      <c r="D17" s="1764" t="s">
        <v>457</v>
      </c>
      <c r="E17" s="3421" t="s">
        <v>458</v>
      </c>
      <c r="F17" s="3422"/>
      <c r="G17" s="3422"/>
      <c r="H17" s="3422"/>
      <c r="I17" s="3496"/>
      <c r="J17" s="2938"/>
      <c r="K17" s="3497"/>
      <c r="L17" s="3493"/>
      <c r="M17" s="3493"/>
      <c r="N17" s="2939"/>
      <c r="O17" s="3493"/>
      <c r="P17" s="2939"/>
      <c r="Q17" s="2938"/>
      <c r="R17" s="2938"/>
      <c r="S17" s="2938"/>
      <c r="T17" s="2938"/>
      <c r="U17" s="2938"/>
      <c r="V17" s="2938"/>
    </row>
    <row r="18" ht="26.75" spans="1:22">
      <c r="A18" s="3423" t="s">
        <v>459</v>
      </c>
      <c r="B18" s="1732" t="s">
        <v>460</v>
      </c>
      <c r="C18" s="3424">
        <f>'数据-汇总表'!D3</f>
        <v>11645.87</v>
      </c>
      <c r="D18" s="1757" t="s">
        <v>457</v>
      </c>
      <c r="E18" s="3425" t="s">
        <v>461</v>
      </c>
      <c r="F18" s="3426"/>
      <c r="G18" s="3426"/>
      <c r="H18" s="3426"/>
      <c r="I18" s="3498"/>
      <c r="J18" s="2938"/>
      <c r="K18" s="3497"/>
      <c r="L18" s="3493"/>
      <c r="M18" s="3493"/>
      <c r="N18" s="2939"/>
      <c r="O18" s="3493"/>
      <c r="P18" s="2939"/>
      <c r="Q18" s="2938"/>
      <c r="R18" s="2938"/>
      <c r="S18" s="2938"/>
      <c r="T18" s="2938"/>
      <c r="U18" s="2938"/>
      <c r="V18" s="2938"/>
    </row>
    <row r="19" ht="40.5" spans="1:22">
      <c r="A19" s="1774" t="s">
        <v>462</v>
      </c>
      <c r="B19" s="1713" t="s">
        <v>463</v>
      </c>
      <c r="C19" s="3427"/>
      <c r="D19" s="3428" t="s">
        <v>464</v>
      </c>
      <c r="E19" s="3429"/>
      <c r="F19" s="3430" t="str">
        <f>IF(AND(C19="是",E19="否"),"是否提供他项权证或相关说明","")</f>
        <v/>
      </c>
      <c r="G19" s="3431"/>
      <c r="H19" s="3063"/>
      <c r="I19" s="3063"/>
      <c r="J19" s="2938"/>
      <c r="K19" s="3484"/>
      <c r="L19" s="3482"/>
      <c r="M19" s="3482"/>
      <c r="N19" s="2939"/>
      <c r="O19" s="3493"/>
      <c r="P19" s="2939"/>
      <c r="Q19" s="2938"/>
      <c r="R19" s="2938"/>
      <c r="S19" s="2938"/>
      <c r="T19" s="2938"/>
      <c r="U19" s="2938"/>
      <c r="V19" s="2938"/>
    </row>
    <row r="20" ht="13" spans="1:28">
      <c r="A20" s="3432" t="s">
        <v>465</v>
      </c>
      <c r="B20" s="3433" t="s">
        <v>466</v>
      </c>
      <c r="C20" s="3434"/>
      <c r="D20" s="3435" t="s">
        <v>467</v>
      </c>
      <c r="E20" s="3436"/>
      <c r="F20" s="3437" t="s">
        <v>468</v>
      </c>
      <c r="G20" s="3063"/>
      <c r="H20" s="3063"/>
      <c r="I20" s="3063"/>
      <c r="J20" s="2938"/>
      <c r="K20" s="3281" t="s">
        <v>469</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9"/>
      <c r="N20" s="3499"/>
      <c r="O20" s="3500"/>
      <c r="P20" s="3499"/>
      <c r="Q20" s="3406"/>
      <c r="R20" s="3406"/>
      <c r="S20" s="3406"/>
      <c r="T20" s="3406"/>
      <c r="U20" s="3406"/>
      <c r="V20" s="3406"/>
      <c r="W20" s="2954"/>
      <c r="X20" s="2954"/>
      <c r="Y20" s="2954"/>
      <c r="Z20" s="2954"/>
      <c r="AA20" s="2954"/>
      <c r="AB20" s="2954"/>
    </row>
    <row r="21" ht="26.75" spans="1:28">
      <c r="A21" s="3432"/>
      <c r="B21" s="3438" t="s">
        <v>470</v>
      </c>
      <c r="C21" s="3439" t="s">
        <v>471</v>
      </c>
      <c r="D21" s="3440" t="s">
        <v>472</v>
      </c>
      <c r="E21" s="3441" t="s">
        <v>471</v>
      </c>
      <c r="F21" s="3442"/>
      <c r="G21" s="3063"/>
      <c r="H21" s="3063"/>
      <c r="I21" s="3063"/>
      <c r="J21" s="2938"/>
      <c r="K21" s="3281"/>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9"/>
      <c r="N21" s="3499"/>
      <c r="O21" s="3500"/>
      <c r="P21" s="3499"/>
      <c r="Q21" s="3406"/>
      <c r="R21" s="3406"/>
      <c r="S21" s="3406"/>
      <c r="T21" s="3406"/>
      <c r="U21" s="3406"/>
      <c r="V21" s="3406"/>
      <c r="W21" s="2954"/>
      <c r="X21" s="2954"/>
      <c r="Y21" s="2954"/>
      <c r="Z21" s="2954"/>
      <c r="AA21" s="2954"/>
      <c r="AB21" s="2954"/>
    </row>
    <row r="22" ht="26.75" spans="1:28">
      <c r="A22" s="3432"/>
      <c r="B22" s="3443" t="s">
        <v>473</v>
      </c>
      <c r="C22" s="3439" t="s">
        <v>474</v>
      </c>
      <c r="D22" s="3368"/>
      <c r="E22" s="3368"/>
      <c r="F22" s="3368"/>
      <c r="G22" s="3063"/>
      <c r="H22" s="3063"/>
      <c r="I22" s="3063"/>
      <c r="J22" s="2938"/>
      <c r="K22" s="3281"/>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9"/>
      <c r="N22" s="3499"/>
      <c r="O22" s="3500"/>
      <c r="P22" s="3499"/>
      <c r="Q22" s="3406"/>
      <c r="R22" s="3406"/>
      <c r="S22" s="3406"/>
      <c r="T22" s="3406"/>
      <c r="U22" s="3406"/>
      <c r="V22" s="3406"/>
      <c r="W22" s="2954"/>
      <c r="X22" s="2954"/>
      <c r="Y22" s="2954"/>
      <c r="Z22" s="2954"/>
      <c r="AA22" s="2954"/>
      <c r="AB22" s="2954"/>
    </row>
    <row r="23" ht="13" spans="1:22">
      <c r="A23" s="3444" t="s">
        <v>475</v>
      </c>
      <c r="B23" s="2929" t="s">
        <v>476</v>
      </c>
      <c r="C23" s="3445"/>
      <c r="D23" s="3446" t="s">
        <v>476</v>
      </c>
      <c r="E23" s="3447"/>
      <c r="F23" s="3368"/>
      <c r="G23" s="3063"/>
      <c r="H23" s="3063"/>
      <c r="I23" s="3063"/>
      <c r="J23" s="2938"/>
      <c r="K23" s="3501"/>
      <c r="L23" s="1873"/>
      <c r="M23" s="3482"/>
      <c r="N23" s="2939"/>
      <c r="O23" s="3493"/>
      <c r="P23" s="2939"/>
      <c r="Q23" s="2938"/>
      <c r="R23" s="2938"/>
      <c r="S23" s="2938"/>
      <c r="T23" s="2938"/>
      <c r="U23" s="2938"/>
      <c r="V23" s="2938"/>
    </row>
    <row r="24" ht="13" spans="1:22">
      <c r="A24" s="3444"/>
      <c r="B24" s="2929" t="s">
        <v>477</v>
      </c>
      <c r="C24" s="3448"/>
      <c r="D24" s="3444" t="s">
        <v>477</v>
      </c>
      <c r="E24" s="3449"/>
      <c r="F24" s="3368"/>
      <c r="G24" s="3063"/>
      <c r="H24" s="3063"/>
      <c r="I24" s="3063"/>
      <c r="J24" s="2938"/>
      <c r="K24" s="3501"/>
      <c r="L24" s="1873"/>
      <c r="M24" s="3482"/>
      <c r="N24" s="2939"/>
      <c r="O24" s="3493"/>
      <c r="P24" s="2939"/>
      <c r="Q24" s="2938"/>
      <c r="R24" s="2938"/>
      <c r="S24" s="2938"/>
      <c r="T24" s="2938"/>
      <c r="U24" s="2938"/>
      <c r="V24" s="2938"/>
    </row>
    <row r="25" ht="13" spans="1:22">
      <c r="A25" s="3444"/>
      <c r="B25" s="2929" t="s">
        <v>478</v>
      </c>
      <c r="C25" s="3448"/>
      <c r="D25" s="3444" t="s">
        <v>478</v>
      </c>
      <c r="E25" s="3449"/>
      <c r="F25" s="3368"/>
      <c r="G25" s="3063"/>
      <c r="H25" s="3063"/>
      <c r="I25" s="3063"/>
      <c r="J25" s="2938"/>
      <c r="K25" s="3484"/>
      <c r="L25" s="3482"/>
      <c r="M25" s="3482"/>
      <c r="N25" s="2939"/>
      <c r="O25" s="3493"/>
      <c r="P25" s="2939"/>
      <c r="Q25" s="2938"/>
      <c r="R25" s="2938"/>
      <c r="S25" s="2938"/>
      <c r="T25" s="2938"/>
      <c r="U25" s="2938"/>
      <c r="V25" s="2938"/>
    </row>
    <row r="26" ht="13.75" spans="1:22">
      <c r="A26" s="3450"/>
      <c r="B26" s="3451" t="s">
        <v>479</v>
      </c>
      <c r="C26" s="3452"/>
      <c r="D26" s="3450" t="s">
        <v>479</v>
      </c>
      <c r="E26" s="3453"/>
      <c r="F26" s="3394"/>
      <c r="G26" s="3394"/>
      <c r="H26" s="3394"/>
      <c r="I26" s="3394"/>
      <c r="J26" s="2938"/>
      <c r="K26" s="3484"/>
      <c r="L26" s="3482"/>
      <c r="M26" s="3482"/>
      <c r="N26" s="2939"/>
      <c r="O26" s="3493"/>
      <c r="P26" s="2939"/>
      <c r="Q26" s="2938"/>
      <c r="R26" s="2938"/>
      <c r="S26" s="2938"/>
      <c r="T26" s="2938"/>
      <c r="U26" s="2938"/>
      <c r="V26" s="2938"/>
    </row>
    <row r="27" ht="13.75" spans="1:22">
      <c r="A27" s="1737" t="s">
        <v>480</v>
      </c>
      <c r="B27" s="1744" t="s">
        <v>481</v>
      </c>
      <c r="C27" s="3454" t="s">
        <v>482</v>
      </c>
      <c r="D27" s="3455"/>
      <c r="E27" s="3063"/>
      <c r="F27" s="3063"/>
      <c r="G27" s="3063"/>
      <c r="H27" s="3063"/>
      <c r="I27" s="3063"/>
      <c r="J27" s="2938"/>
      <c r="K27" s="3495"/>
      <c r="L27" s="3493"/>
      <c r="M27" s="3493"/>
      <c r="N27" s="2939"/>
      <c r="O27" s="3493"/>
      <c r="P27" s="2939"/>
      <c r="Q27" s="2938"/>
      <c r="R27" s="2938"/>
      <c r="S27" s="2938"/>
      <c r="T27" s="2938"/>
      <c r="U27" s="2938"/>
      <c r="V27" s="2938"/>
    </row>
    <row r="28" ht="13" spans="1:22">
      <c r="A28" s="1737"/>
      <c r="B28" s="1708" t="s">
        <v>483</v>
      </c>
      <c r="C28" s="3456"/>
      <c r="D28" s="3457"/>
      <c r="E28" s="3063"/>
      <c r="F28" s="3063"/>
      <c r="G28" s="3063"/>
      <c r="H28" s="3063"/>
      <c r="I28" s="3063"/>
      <c r="J28" s="2938"/>
      <c r="K28" s="3484"/>
      <c r="L28" s="3482"/>
      <c r="M28" s="3482"/>
      <c r="N28" s="2938"/>
      <c r="O28" s="3483"/>
      <c r="P28" s="2938"/>
      <c r="Q28" s="2938"/>
      <c r="R28" s="2938"/>
      <c r="S28" s="2938"/>
      <c r="T28" s="2938"/>
      <c r="U28" s="2938"/>
      <c r="V28" s="2938"/>
    </row>
    <row r="29" ht="13" spans="1:22">
      <c r="A29" s="1737"/>
      <c r="B29" s="1708" t="s">
        <v>484</v>
      </c>
      <c r="C29" s="3458"/>
      <c r="D29" s="3459"/>
      <c r="E29" s="3063"/>
      <c r="F29" s="3063"/>
      <c r="G29" s="3063"/>
      <c r="H29" s="3063"/>
      <c r="I29" s="3063"/>
      <c r="J29" s="2938"/>
      <c r="K29" s="3484"/>
      <c r="L29" s="3482"/>
      <c r="M29" s="3482"/>
      <c r="N29" s="2938"/>
      <c r="O29" s="3483"/>
      <c r="P29" s="2938"/>
      <c r="Q29" s="2938"/>
      <c r="R29" s="2938"/>
      <c r="S29" s="2938"/>
      <c r="T29" s="2938"/>
      <c r="U29" s="2938"/>
      <c r="V29" s="2938"/>
    </row>
    <row r="30" ht="13" spans="1:22">
      <c r="A30" s="1744"/>
      <c r="B30" s="1708" t="s">
        <v>485</v>
      </c>
      <c r="C30" s="3460"/>
      <c r="D30" s="3461"/>
      <c r="E30" s="3063"/>
      <c r="F30" s="3063"/>
      <c r="G30" s="3063"/>
      <c r="H30" s="3063"/>
      <c r="I30" s="3063"/>
      <c r="J30" s="2938"/>
      <c r="K30" s="3484"/>
      <c r="L30" s="3482"/>
      <c r="M30" s="3482"/>
      <c r="N30" s="2938"/>
      <c r="O30" s="3483"/>
      <c r="P30" s="2938"/>
      <c r="Q30" s="2938"/>
      <c r="R30" s="2938"/>
      <c r="S30" s="2938"/>
      <c r="T30" s="2938"/>
      <c r="U30" s="2938"/>
      <c r="V30" s="2938"/>
    </row>
    <row r="31" ht="13" spans="1:22">
      <c r="A31" s="3462" t="s">
        <v>486</v>
      </c>
      <c r="B31" s="3463" t="s">
        <v>487</v>
      </c>
      <c r="C31" s="1864" t="str">
        <f>IF(B31="现房","成新及维护状况正常否",IF(B31="在建","工程状态是否正常",IF(B31="土地","是否闲置","-")))</f>
        <v>成新及维护状况正常否</v>
      </c>
      <c r="D31" s="1980"/>
      <c r="E31" s="3464"/>
      <c r="F31" s="3063"/>
      <c r="G31" s="3063"/>
      <c r="H31" s="3063"/>
      <c r="I31" s="3063"/>
      <c r="J31" s="2938"/>
      <c r="K31" s="3481"/>
      <c r="L31" s="3482"/>
      <c r="M31" s="3482"/>
      <c r="N31" s="2938"/>
      <c r="O31" s="3483"/>
      <c r="P31" s="2938"/>
      <c r="Q31" s="2938"/>
      <c r="R31" s="2938"/>
      <c r="S31" s="2938"/>
      <c r="T31" s="2938"/>
      <c r="U31" s="2938"/>
      <c r="V31" s="2938"/>
    </row>
    <row r="32" spans="1:22">
      <c r="A32" s="2639"/>
      <c r="B32" s="3463"/>
      <c r="C32" s="1864" t="str">
        <f>IF(B32="现房","成新及维护状况是否正常",IF(B32="在建","工程状态是否正常",IF(B32="土地","是否闲置","-")))</f>
        <v>-</v>
      </c>
      <c r="D32" s="1980"/>
      <c r="E32" s="3464"/>
      <c r="F32" s="3063"/>
      <c r="G32" s="3063"/>
      <c r="H32" s="3063"/>
      <c r="I32" s="3063"/>
      <c r="J32" s="2938"/>
      <c r="K32" s="3484"/>
      <c r="L32" s="3482"/>
      <c r="M32" s="3482"/>
      <c r="N32" s="2938"/>
      <c r="O32" s="3483"/>
      <c r="P32" s="2938"/>
      <c r="Q32" s="2938"/>
      <c r="R32" s="2938"/>
      <c r="S32" s="2938"/>
      <c r="T32" s="2938"/>
      <c r="U32" s="2938"/>
      <c r="V32" s="2938"/>
    </row>
    <row r="33" spans="1:22">
      <c r="A33" s="2639"/>
      <c r="B33" s="3465"/>
      <c r="C33" s="2638" t="str">
        <f>IF(B33="现房","成新及维护状况是否正常",IF(B33="在建","工程状态是否正常",IF(B33="土地","是否闲置","-")))</f>
        <v>-</v>
      </c>
      <c r="D33" s="1719"/>
      <c r="E33" s="3466"/>
      <c r="F33" s="3063"/>
      <c r="G33" s="3063"/>
      <c r="H33" s="3063"/>
      <c r="I33" s="3063"/>
      <c r="J33" s="2938"/>
      <c r="K33" s="3484"/>
      <c r="L33" s="3482"/>
      <c r="M33" s="3482"/>
      <c r="N33" s="2938"/>
      <c r="O33" s="3483"/>
      <c r="P33" s="2938"/>
      <c r="Q33" s="2938"/>
      <c r="R33" s="2938"/>
      <c r="S33" s="2938"/>
      <c r="T33" s="2938"/>
      <c r="U33" s="2938"/>
      <c r="V33" s="2938"/>
    </row>
    <row r="34" ht="13" spans="1:22">
      <c r="A34" s="1708" t="s">
        <v>488</v>
      </c>
      <c r="B34" s="2137"/>
      <c r="C34" s="2137"/>
      <c r="D34" s="2137"/>
      <c r="E34" s="2137"/>
      <c r="F34" s="2137"/>
      <c r="G34" s="2137"/>
      <c r="H34" s="2137"/>
      <c r="I34" s="3063"/>
      <c r="J34" s="2938"/>
      <c r="K34" s="646">
        <f>COUNTIF(B34:H34,"——")</f>
        <v>0</v>
      </c>
      <c r="L34" s="1751" t="s">
        <v>489</v>
      </c>
      <c r="M34" s="1751" t="s">
        <v>490</v>
      </c>
      <c r="N34" s="1751" t="s">
        <v>491</v>
      </c>
      <c r="O34" s="1751" t="s">
        <v>492</v>
      </c>
      <c r="P34" s="1751" t="s">
        <v>493</v>
      </c>
      <c r="Q34" s="1751" t="s">
        <v>494</v>
      </c>
      <c r="R34" s="1751" t="s">
        <v>495</v>
      </c>
      <c r="S34" s="646" t="s">
        <v>496</v>
      </c>
      <c r="T34" s="1751" t="str">
        <f>NUMBERSTRING(7-K34,1)&amp;"通"</f>
        <v>七通</v>
      </c>
      <c r="U34" s="2938"/>
      <c r="V34" s="2938"/>
    </row>
    <row r="35" spans="1:22">
      <c r="A35" s="3467"/>
      <c r="B35" s="705" t="s">
        <v>497</v>
      </c>
      <c r="C35" s="705"/>
      <c r="D35" s="705"/>
      <c r="E35" s="705"/>
      <c r="F35" s="705">
        <f>C10</f>
        <v>0</v>
      </c>
      <c r="G35" s="3063"/>
      <c r="H35" s="3063"/>
      <c r="I35" s="3063"/>
      <c r="J35" s="2938"/>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646"/>
      <c r="T35" s="1753" t="str">
        <f>IF(T34="一通",L35,IF(T34="二通",M35,IF(T34="三通",N35,IF(T34="四通",O35,IF(T34="五通",P35,IF(T34="六通",Q35,R35))))))</f>
        <v>、、、、、、</v>
      </c>
      <c r="U35" s="2938"/>
      <c r="V35" s="2938"/>
    </row>
    <row r="36" ht="13" spans="1:22">
      <c r="A36" s="3468"/>
      <c r="B36" s="705" t="s">
        <v>444</v>
      </c>
      <c r="C36" s="705" t="s">
        <v>445</v>
      </c>
      <c r="D36" s="705" t="s">
        <v>443</v>
      </c>
      <c r="E36" s="705" t="s">
        <v>448</v>
      </c>
      <c r="F36" s="3469" t="s">
        <v>280</v>
      </c>
      <c r="G36" s="3063"/>
      <c r="H36" s="3063"/>
      <c r="I36" s="3063"/>
      <c r="J36" s="2938"/>
      <c r="K36" s="3484"/>
      <c r="L36" s="3482"/>
      <c r="M36" s="3482"/>
      <c r="N36" s="2938"/>
      <c r="O36" s="3483"/>
      <c r="P36" s="2938"/>
      <c r="Q36" s="2938"/>
      <c r="R36" s="2938"/>
      <c r="S36" s="2938"/>
      <c r="T36" s="2938"/>
      <c r="U36" s="2938"/>
      <c r="V36" s="2938"/>
    </row>
    <row r="37" ht="13" spans="1:22">
      <c r="A37" s="3470" t="s">
        <v>498</v>
      </c>
      <c r="B37" s="3471"/>
      <c r="C37" s="3471"/>
      <c r="D37" s="3471"/>
      <c r="E37" s="3471"/>
      <c r="F37" s="3471"/>
      <c r="G37" s="3063"/>
      <c r="H37" s="3063"/>
      <c r="I37" s="3063"/>
      <c r="J37" s="2938"/>
      <c r="K37" s="3484"/>
      <c r="L37" s="3482"/>
      <c r="M37" s="3482"/>
      <c r="N37" s="2938"/>
      <c r="O37" s="3483"/>
      <c r="P37" s="2938"/>
      <c r="Q37" s="2938"/>
      <c r="R37" s="2938"/>
      <c r="S37" s="2938"/>
      <c r="T37" s="2938"/>
      <c r="U37" s="2938"/>
      <c r="V37" s="2938"/>
    </row>
    <row r="38" ht="13.75" spans="1:22">
      <c r="A38" s="3472" t="s">
        <v>499</v>
      </c>
      <c r="B38" s="3473"/>
      <c r="C38" s="3473"/>
      <c r="D38" s="3473"/>
      <c r="E38" s="3473"/>
      <c r="F38" s="3473"/>
      <c r="G38" s="3394"/>
      <c r="H38" s="3394"/>
      <c r="I38" s="3394"/>
      <c r="J38" s="2938"/>
      <c r="K38" s="3484"/>
      <c r="L38" s="3482"/>
      <c r="M38" s="3482"/>
      <c r="N38" s="2938"/>
      <c r="O38" s="3483"/>
      <c r="P38" s="2938"/>
      <c r="Q38" s="2938"/>
      <c r="R38" s="2938"/>
      <c r="S38" s="2938"/>
      <c r="T38" s="2938"/>
      <c r="U38" s="2938"/>
      <c r="V38" s="2938"/>
    </row>
    <row r="39" s="3357" customFormat="1" ht="14.5" spans="1:30">
      <c r="A39" s="3474" t="s">
        <v>500</v>
      </c>
      <c r="B39" s="3475"/>
      <c r="C39" s="3475"/>
      <c r="D39" s="3475"/>
      <c r="E39" s="3475"/>
      <c r="F39" s="3475"/>
      <c r="G39" s="3475"/>
      <c r="H39" s="3475"/>
      <c r="I39" s="3475"/>
      <c r="J39" s="3502"/>
      <c r="K39" s="3503"/>
      <c r="L39" s="3502"/>
      <c r="M39" s="3502"/>
      <c r="N39" s="3502"/>
      <c r="O39" s="3504"/>
      <c r="P39" s="3502"/>
      <c r="Q39" s="3502"/>
      <c r="R39" s="3502"/>
      <c r="S39" s="3502"/>
      <c r="T39" s="3502"/>
      <c r="U39" s="3502"/>
      <c r="V39" s="3502"/>
      <c r="W39" s="3511"/>
      <c r="X39" s="3511"/>
      <c r="Y39" s="3511"/>
      <c r="Z39" s="3511"/>
      <c r="AA39" s="3511"/>
      <c r="AB39" s="3511"/>
      <c r="AC39" s="3511"/>
      <c r="AD39" s="3511"/>
    </row>
    <row r="40" spans="1:22">
      <c r="A40" s="3406"/>
      <c r="B40" s="3406"/>
      <c r="C40" s="3406"/>
      <c r="D40" s="3406"/>
      <c r="E40" s="3406"/>
      <c r="F40" s="3406"/>
      <c r="G40" s="3406"/>
      <c r="H40" s="3406"/>
      <c r="I40" s="2664"/>
      <c r="J40" s="2939"/>
      <c r="K40" s="3481"/>
      <c r="L40" s="3493"/>
      <c r="M40" s="3493"/>
      <c r="N40" s="2939"/>
      <c r="O40" s="3493"/>
      <c r="P40" s="2938"/>
      <c r="Q40" s="2938"/>
      <c r="R40" s="2938"/>
      <c r="S40" s="2938"/>
      <c r="T40" s="2938"/>
      <c r="U40" s="2938"/>
      <c r="V40" s="2938"/>
    </row>
    <row r="41" ht="13" spans="1:22">
      <c r="A41" s="3476" t="s">
        <v>501</v>
      </c>
      <c r="B41" s="2527"/>
      <c r="C41" s="1980"/>
      <c r="D41" s="3406"/>
      <c r="E41" s="3406"/>
      <c r="F41" s="3406"/>
      <c r="G41" s="3406"/>
      <c r="H41" s="3406"/>
      <c r="I41" s="3270"/>
      <c r="J41" s="2938"/>
      <c r="K41" s="3484"/>
      <c r="L41" s="3482"/>
      <c r="M41" s="3482"/>
      <c r="N41" s="2938"/>
      <c r="O41" s="3483"/>
      <c r="P41" s="2938"/>
      <c r="Q41" s="2938"/>
      <c r="R41" s="2938"/>
      <c r="S41" s="2938"/>
      <c r="T41" s="2938"/>
      <c r="U41" s="2938"/>
      <c r="V41" s="2938"/>
    </row>
    <row r="42" ht="26" spans="1:22">
      <c r="A42" s="1751" t="s">
        <v>502</v>
      </c>
      <c r="B42" s="646" t="s">
        <v>503</v>
      </c>
      <c r="C42" s="646" t="s">
        <v>504</v>
      </c>
      <c r="D42" s="646" t="s">
        <v>505</v>
      </c>
      <c r="E42" s="646" t="s">
        <v>506</v>
      </c>
      <c r="F42" s="646" t="s">
        <v>507</v>
      </c>
      <c r="G42" s="646" t="s">
        <v>508</v>
      </c>
      <c r="H42" s="646" t="s">
        <v>509</v>
      </c>
      <c r="I42" s="646" t="s">
        <v>510</v>
      </c>
      <c r="J42" s="3505" t="s">
        <v>511</v>
      </c>
      <c r="K42" s="3506" t="s">
        <v>512</v>
      </c>
      <c r="L42" s="3506" t="s">
        <v>513</v>
      </c>
      <c r="M42" s="3506" t="s">
        <v>514</v>
      </c>
      <c r="N42" s="3507" t="s">
        <v>515</v>
      </c>
      <c r="O42" s="3507" t="s">
        <v>516</v>
      </c>
      <c r="P42" s="3507" t="s">
        <v>517</v>
      </c>
      <c r="Q42" s="3512" t="s">
        <v>518</v>
      </c>
      <c r="R42" s="3512" t="s">
        <v>519</v>
      </c>
      <c r="S42" s="2938"/>
      <c r="T42" s="2938"/>
      <c r="U42" s="2938"/>
      <c r="V42" s="2938"/>
    </row>
    <row r="43" s="3165" customFormat="1" spans="1:22">
      <c r="A43" s="3295"/>
      <c r="B43" s="3291"/>
      <c r="C43" s="3291"/>
      <c r="D43" s="3291"/>
      <c r="E43" s="3291"/>
      <c r="F43" s="3291"/>
      <c r="G43" s="3291"/>
      <c r="H43" s="3291"/>
      <c r="I43" s="3291"/>
      <c r="J43" s="3508"/>
      <c r="K43" s="3509"/>
      <c r="L43" s="3509"/>
      <c r="M43" s="3291"/>
      <c r="N43" s="3291"/>
      <c r="O43" s="3291"/>
      <c r="P43" s="3291"/>
      <c r="Q43" s="3291"/>
      <c r="R43" s="3291"/>
      <c r="S43" s="2938"/>
      <c r="T43" s="2938"/>
      <c r="U43" s="2938"/>
      <c r="V43" s="2938"/>
    </row>
    <row r="44" s="3165" customFormat="1" spans="1:22">
      <c r="A44" s="3295"/>
      <c r="B44" s="3295"/>
      <c r="C44" s="3291"/>
      <c r="D44" s="3291"/>
      <c r="E44" s="3291"/>
      <c r="F44" s="3291"/>
      <c r="G44" s="3291"/>
      <c r="H44" s="3291"/>
      <c r="I44" s="3291"/>
      <c r="J44" s="3508"/>
      <c r="K44" s="3509"/>
      <c r="L44" s="3509"/>
      <c r="M44" s="3291"/>
      <c r="N44" s="3291"/>
      <c r="O44" s="3291"/>
      <c r="P44" s="3291"/>
      <c r="Q44" s="3291"/>
      <c r="R44" s="3291"/>
      <c r="S44" s="2938"/>
      <c r="T44" s="2938"/>
      <c r="U44" s="2938"/>
      <c r="V44" s="2938"/>
    </row>
    <row r="45" s="3165" customFormat="1" spans="1:22">
      <c r="A45" s="3295"/>
      <c r="B45" s="3295"/>
      <c r="C45" s="3291"/>
      <c r="D45" s="3291"/>
      <c r="E45" s="3291"/>
      <c r="F45" s="3291"/>
      <c r="G45" s="3291"/>
      <c r="H45" s="3291"/>
      <c r="I45" s="3291"/>
      <c r="J45" s="3508"/>
      <c r="K45" s="3509"/>
      <c r="L45" s="3509"/>
      <c r="M45" s="3291"/>
      <c r="N45" s="3291"/>
      <c r="O45" s="3291"/>
      <c r="P45" s="3291"/>
      <c r="Q45" s="3291"/>
      <c r="R45" s="3291"/>
      <c r="S45" s="2938"/>
      <c r="T45" s="2938"/>
      <c r="U45" s="2938"/>
      <c r="V45" s="2938"/>
    </row>
    <row r="46" s="3165" customFormat="1" spans="1:22">
      <c r="A46" s="3295"/>
      <c r="B46" s="3295"/>
      <c r="C46" s="3291"/>
      <c r="D46" s="3291"/>
      <c r="E46" s="3291"/>
      <c r="F46" s="3291"/>
      <c r="G46" s="3291"/>
      <c r="H46" s="3291"/>
      <c r="I46" s="3291"/>
      <c r="J46" s="3508"/>
      <c r="K46" s="3509"/>
      <c r="L46" s="3509"/>
      <c r="M46" s="3291"/>
      <c r="N46" s="3291"/>
      <c r="O46" s="3291"/>
      <c r="P46" s="3291"/>
      <c r="Q46" s="3291"/>
      <c r="R46" s="3291"/>
      <c r="S46" s="2938"/>
      <c r="T46" s="2938"/>
      <c r="U46" s="2938"/>
      <c r="V46" s="2938"/>
    </row>
    <row r="47" s="3165" customFormat="1" spans="1:22">
      <c r="A47" s="3295"/>
      <c r="B47" s="3295"/>
      <c r="C47" s="3291"/>
      <c r="D47" s="3291"/>
      <c r="E47" s="3291"/>
      <c r="F47" s="3291"/>
      <c r="G47" s="3291"/>
      <c r="H47" s="3291"/>
      <c r="I47" s="3291"/>
      <c r="J47" s="3508"/>
      <c r="K47" s="3509"/>
      <c r="L47" s="3509"/>
      <c r="M47" s="3291"/>
      <c r="N47" s="3291"/>
      <c r="O47" s="3291"/>
      <c r="P47" s="3291"/>
      <c r="Q47" s="3291"/>
      <c r="R47" s="3291"/>
      <c r="S47" s="2938"/>
      <c r="T47" s="2938"/>
      <c r="U47" s="2938"/>
      <c r="V47" s="2938"/>
    </row>
    <row r="48" s="3165" customFormat="1" spans="1:22">
      <c r="A48" s="3295"/>
      <c r="B48" s="3295"/>
      <c r="C48" s="3291"/>
      <c r="D48" s="3291"/>
      <c r="E48" s="3291"/>
      <c r="F48" s="3291"/>
      <c r="G48" s="3291"/>
      <c r="H48" s="3291"/>
      <c r="I48" s="3291"/>
      <c r="J48" s="3508"/>
      <c r="K48" s="3509"/>
      <c r="L48" s="3509"/>
      <c r="M48" s="3291"/>
      <c r="N48" s="3291"/>
      <c r="O48" s="3291"/>
      <c r="P48" s="3291"/>
      <c r="Q48" s="3291"/>
      <c r="R48" s="3291"/>
      <c r="S48" s="2938"/>
      <c r="T48" s="2938"/>
      <c r="U48" s="2938"/>
      <c r="V48" s="2938"/>
    </row>
    <row r="49" s="3165" customFormat="1" spans="1:22">
      <c r="A49" s="3295"/>
      <c r="B49" s="3295"/>
      <c r="C49" s="3291"/>
      <c r="D49" s="3291"/>
      <c r="E49" s="3291"/>
      <c r="F49" s="3291"/>
      <c r="G49" s="3291"/>
      <c r="H49" s="3291"/>
      <c r="I49" s="3291"/>
      <c r="J49" s="3508"/>
      <c r="K49" s="3509"/>
      <c r="L49" s="3509"/>
      <c r="M49" s="3291"/>
      <c r="N49" s="3291"/>
      <c r="O49" s="3291"/>
      <c r="P49" s="3291"/>
      <c r="Q49" s="3291"/>
      <c r="R49" s="3291"/>
      <c r="S49" s="2938"/>
      <c r="T49" s="2938"/>
      <c r="U49" s="2938"/>
      <c r="V49" s="2938"/>
    </row>
    <row r="50" s="3165" customFormat="1" spans="1:22">
      <c r="A50" s="3295"/>
      <c r="B50" s="3295"/>
      <c r="C50" s="3291"/>
      <c r="D50" s="3291"/>
      <c r="E50" s="3291"/>
      <c r="F50" s="3291"/>
      <c r="G50" s="3291"/>
      <c r="H50" s="3291"/>
      <c r="I50" s="3291"/>
      <c r="J50" s="3508"/>
      <c r="K50" s="3509"/>
      <c r="L50" s="3509"/>
      <c r="M50" s="3291"/>
      <c r="N50" s="3291"/>
      <c r="O50" s="3291"/>
      <c r="P50" s="3291"/>
      <c r="Q50" s="3291"/>
      <c r="R50" s="3291"/>
      <c r="S50" s="2938"/>
      <c r="T50" s="2938"/>
      <c r="U50" s="2938"/>
      <c r="V50" s="2938"/>
    </row>
    <row r="51" s="3165" customFormat="1" spans="1:18">
      <c r="A51" s="3295"/>
      <c r="B51" s="3295"/>
      <c r="C51" s="3291"/>
      <c r="D51" s="3291"/>
      <c r="E51" s="3291"/>
      <c r="F51" s="3291"/>
      <c r="G51" s="3291"/>
      <c r="H51" s="3291"/>
      <c r="I51" s="3291"/>
      <c r="J51" s="3508"/>
      <c r="K51" s="3509"/>
      <c r="L51" s="3509"/>
      <c r="M51" s="3291"/>
      <c r="N51" s="3291"/>
      <c r="O51" s="3291"/>
      <c r="P51" s="3291"/>
      <c r="Q51" s="3291"/>
      <c r="R51" s="3291"/>
    </row>
    <row r="52" s="3165" customFormat="1" spans="1:18">
      <c r="A52" s="3295"/>
      <c r="B52" s="3295"/>
      <c r="C52" s="3295"/>
      <c r="D52" s="3295"/>
      <c r="E52" s="3295"/>
      <c r="F52" s="3291"/>
      <c r="G52" s="3295"/>
      <c r="H52" s="3295"/>
      <c r="I52" s="3295"/>
      <c r="J52" s="3510"/>
      <c r="K52" s="3509"/>
      <c r="L52" s="3509"/>
      <c r="M52" s="3509"/>
      <c r="N52" s="3295"/>
      <c r="O52" s="3295"/>
      <c r="P52" s="3295"/>
      <c r="Q52" s="3295"/>
      <c r="R52" s="3295"/>
    </row>
    <row r="53" s="3165" customFormat="1" spans="1:18">
      <c r="A53" s="3295"/>
      <c r="B53" s="3295"/>
      <c r="C53" s="3295"/>
      <c r="D53" s="3295"/>
      <c r="E53" s="3295"/>
      <c r="F53" s="3291"/>
      <c r="G53" s="3295"/>
      <c r="H53" s="3295"/>
      <c r="I53" s="3295"/>
      <c r="J53" s="3510"/>
      <c r="K53" s="3509"/>
      <c r="L53" s="3509"/>
      <c r="M53" s="3509"/>
      <c r="N53" s="3295"/>
      <c r="O53" s="3295"/>
      <c r="P53" s="3295"/>
      <c r="Q53" s="3295"/>
      <c r="R53" s="3295"/>
    </row>
    <row r="54" s="3165" customFormat="1" spans="1:18">
      <c r="A54" s="3295"/>
      <c r="B54" s="3295"/>
      <c r="C54" s="3295"/>
      <c r="D54" s="3295"/>
      <c r="E54" s="3295"/>
      <c r="F54" s="3291"/>
      <c r="G54" s="3295"/>
      <c r="H54" s="3295"/>
      <c r="I54" s="3295"/>
      <c r="J54" s="3510"/>
      <c r="K54" s="3509"/>
      <c r="L54" s="3509"/>
      <c r="M54" s="3509"/>
      <c r="N54" s="3295"/>
      <c r="O54" s="3295"/>
      <c r="P54" s="3295"/>
      <c r="Q54" s="3295"/>
      <c r="R54" s="3295"/>
    </row>
    <row r="55" s="3165" customFormat="1" spans="1:18">
      <c r="A55" s="3295"/>
      <c r="B55" s="3295"/>
      <c r="C55" s="3295"/>
      <c r="D55" s="3295"/>
      <c r="E55" s="3295"/>
      <c r="F55" s="3291"/>
      <c r="G55" s="3295"/>
      <c r="H55" s="3295"/>
      <c r="I55" s="3295"/>
      <c r="J55" s="3510"/>
      <c r="K55" s="3509"/>
      <c r="L55" s="3509"/>
      <c r="M55" s="3509"/>
      <c r="N55" s="3295"/>
      <c r="O55" s="3295"/>
      <c r="P55" s="3295"/>
      <c r="Q55" s="3295"/>
      <c r="R55" s="3295"/>
    </row>
    <row r="56" s="3165" customFormat="1" spans="1:18">
      <c r="A56" s="3295"/>
      <c r="B56" s="3295"/>
      <c r="C56" s="3295"/>
      <c r="D56" s="3295"/>
      <c r="E56" s="3295"/>
      <c r="F56" s="3291"/>
      <c r="G56" s="3295"/>
      <c r="H56" s="3295"/>
      <c r="I56" s="3295"/>
      <c r="J56" s="3510"/>
      <c r="K56" s="3509"/>
      <c r="L56" s="3509"/>
      <c r="M56" s="3509"/>
      <c r="N56" s="3295"/>
      <c r="O56" s="3295"/>
      <c r="P56" s="3295"/>
      <c r="Q56" s="3295"/>
      <c r="R56" s="32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0" sqref="I30"/>
    </sheetView>
  </sheetViews>
  <sheetFormatPr defaultColWidth="8.87272727272727" defaultRowHeight="14"/>
  <cols>
    <col min="1" max="1" width="10.6272727272727" style="3267" customWidth="1"/>
    <col min="2" max="2" width="11" style="3267" customWidth="1"/>
    <col min="3" max="3" width="10.3727272727273" style="3267" customWidth="1"/>
    <col min="4" max="4" width="9.12727272727273" style="3267" customWidth="1"/>
    <col min="5" max="6" width="10" style="3265" customWidth="1"/>
    <col min="7" max="8" width="10" style="3267" customWidth="1"/>
    <col min="9" max="9" width="10.6272727272727" style="3267" customWidth="1"/>
    <col min="10" max="10" width="9.5" style="3267" customWidth="1"/>
    <col min="11" max="11" width="11" style="3267" customWidth="1"/>
    <col min="12" max="14" width="9.5" style="3267" customWidth="1"/>
    <col min="15" max="15" width="9.87272727272727" style="3267" customWidth="1"/>
    <col min="16" max="16" width="9.75454545454545" style="3267" customWidth="1"/>
    <col min="17" max="17" width="9.37272727272727" style="3267" customWidth="1"/>
    <col min="18" max="18" width="9.25454545454545" style="3267" customWidth="1"/>
    <col min="19" max="19" width="10.8727272727273" style="3267" customWidth="1"/>
    <col min="20" max="21" width="10.7545454545455" style="3267" customWidth="1"/>
    <col min="22" max="22" width="10.8727272727273" style="3267" customWidth="1"/>
    <col min="23" max="27" width="10.7545454545455" style="3267" customWidth="1"/>
    <col min="28" max="28" width="10.8727272727273" style="3267" customWidth="1"/>
    <col min="29" max="29" width="11" style="3267" customWidth="1"/>
    <col min="30" max="30" width="10" style="3267" customWidth="1"/>
    <col min="31" max="31" width="9.75454545454545" style="3267" customWidth="1"/>
    <col min="32" max="46" width="9.5" style="3267" customWidth="1"/>
    <col min="47" max="47" width="18.1272727272727" style="3267" customWidth="1"/>
    <col min="48" max="50" width="9.75454545454545" style="3267" customWidth="1"/>
    <col min="51" max="55" width="10.5" style="3267" customWidth="1"/>
    <col min="56" max="56" width="9.5" style="3267" customWidth="1"/>
    <col min="57" max="63" width="9.12727272727273" style="3267" customWidth="1"/>
    <col min="64" max="64" width="9.5" style="3267" customWidth="1"/>
    <col min="65" max="65" width="9.12727272727273" style="3267" customWidth="1"/>
    <col min="66" max="66" width="9.5" style="3267" customWidth="1"/>
    <col min="67" max="69" width="9.12727272727273" style="3267" customWidth="1"/>
    <col min="70" max="70" width="9.5" style="3267" customWidth="1"/>
    <col min="71" max="71" width="9" style="3267" customWidth="1"/>
    <col min="72" max="72" width="9.12727272727273" style="3267" customWidth="1"/>
    <col min="73" max="16384" width="8.87272727272727" style="3267"/>
  </cols>
  <sheetData>
    <row r="1" ht="21" spans="1:72">
      <c r="A1" s="3268" t="s">
        <v>520</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320" t="s">
        <v>521</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6" spans="1:72">
      <c r="A2" s="646" t="s">
        <v>460</v>
      </c>
      <c r="B2" s="646" t="s">
        <v>456</v>
      </c>
      <c r="C2" s="646" t="s">
        <v>522</v>
      </c>
      <c r="D2" s="3270"/>
      <c r="E2" s="2612"/>
      <c r="F2" s="2664"/>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330" t="s">
        <v>523</v>
      </c>
      <c r="AZ2" s="3331" t="s">
        <v>524</v>
      </c>
      <c r="BA2" s="646" t="s">
        <v>525</v>
      </c>
      <c r="BB2" s="3270"/>
      <c r="BC2" s="3270"/>
      <c r="BD2" s="3270"/>
      <c r="BE2" s="3270"/>
      <c r="BF2" s="3270"/>
      <c r="BG2" s="3270"/>
      <c r="BH2" s="3270"/>
      <c r="BI2" s="3270"/>
      <c r="BJ2" s="3270"/>
      <c r="BK2" s="3270"/>
      <c r="BL2" s="3270"/>
      <c r="BM2" s="3270"/>
      <c r="BN2" s="3270"/>
      <c r="BO2" s="3270"/>
      <c r="BP2" s="3270"/>
      <c r="BQ2" s="3270"/>
      <c r="BR2" s="3270"/>
      <c r="BS2" s="3270"/>
      <c r="BT2" s="3270"/>
    </row>
    <row r="3" s="3262" customFormat="1" ht="13" spans="1:72">
      <c r="A3" s="3271">
        <f>ROUND(I13/269902*56008,2)</f>
        <v>11645.87</v>
      </c>
      <c r="B3" s="3272">
        <f>IF(C3="否",G5-AT5,G5)</f>
        <v>68156.19</v>
      </c>
      <c r="C3" s="3273" t="s">
        <v>526</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332"/>
      <c r="AZ3" s="3291"/>
      <c r="BA3" s="3333"/>
      <c r="BB3" s="3270"/>
      <c r="BC3" s="3270"/>
      <c r="BD3" s="3270"/>
      <c r="BE3" s="3270"/>
      <c r="BF3" s="3270"/>
      <c r="BG3" s="3270"/>
      <c r="BH3" s="3270"/>
      <c r="BI3" s="3270"/>
      <c r="BJ3" s="3270"/>
      <c r="BK3" s="3270"/>
      <c r="BL3" s="3270"/>
      <c r="BM3" s="3270"/>
      <c r="BN3" s="3270"/>
      <c r="BO3" s="3270"/>
      <c r="BP3" s="3270"/>
      <c r="BQ3" s="3270"/>
      <c r="BR3" s="3270"/>
      <c r="BS3" s="3270"/>
      <c r="BT3" s="3270"/>
    </row>
    <row r="4" s="3263" customFormat="1" ht="13.25" spans="1:72">
      <c r="A4" s="3274"/>
      <c r="B4" s="3275"/>
      <c r="C4" s="3276"/>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334"/>
      <c r="BB4" s="3270"/>
      <c r="BC4" s="3270"/>
      <c r="BD4" s="3270"/>
      <c r="BE4" s="3270"/>
      <c r="BF4" s="3270"/>
      <c r="BG4" s="3270"/>
      <c r="BH4" s="3270"/>
      <c r="BI4" s="3270"/>
      <c r="BJ4" s="3270"/>
      <c r="BK4" s="3270"/>
      <c r="BL4" s="3270"/>
      <c r="BM4" s="3270"/>
      <c r="BN4" s="3270"/>
      <c r="BO4" s="3270"/>
      <c r="BP4" s="3270"/>
      <c r="BQ4" s="3270"/>
      <c r="BR4" s="3270"/>
      <c r="BS4" s="3270"/>
      <c r="BT4" s="3270"/>
    </row>
    <row r="5" s="3262" customFormat="1" ht="13" spans="1:72">
      <c r="A5" s="1864" t="s">
        <v>527</v>
      </c>
      <c r="B5" s="2523"/>
      <c r="C5" s="2523"/>
      <c r="D5" s="2678"/>
      <c r="E5" s="3277" t="s">
        <v>124</v>
      </c>
      <c r="F5" s="3277">
        <f>SUM(F13:F587)</f>
        <v>0</v>
      </c>
      <c r="G5" s="3277">
        <f>SUM(G13:G587)</f>
        <v>68156.19</v>
      </c>
      <c r="H5" s="3277">
        <f t="shared" ref="H5:AT5" si="0">SUM(H13:H656)</f>
        <v>66363.26</v>
      </c>
      <c r="I5" s="3277">
        <f t="shared" si="0"/>
        <v>56121.31</v>
      </c>
      <c r="J5" s="3277">
        <f t="shared" si="0"/>
        <v>0</v>
      </c>
      <c r="K5" s="3277">
        <f t="shared" si="0"/>
        <v>10241.95</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1792.93</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54.74</v>
      </c>
      <c r="AM5" s="3277">
        <f t="shared" si="0"/>
        <v>0</v>
      </c>
      <c r="AN5" s="3277">
        <f t="shared" si="0"/>
        <v>1738.19</v>
      </c>
      <c r="AO5" s="3277">
        <f t="shared" si="0"/>
        <v>0</v>
      </c>
      <c r="AP5" s="3277">
        <f t="shared" si="0"/>
        <v>0</v>
      </c>
      <c r="AQ5" s="3277">
        <f t="shared" si="0"/>
        <v>0</v>
      </c>
      <c r="AR5" s="3277">
        <f t="shared" si="0"/>
        <v>0</v>
      </c>
      <c r="AS5" s="3277">
        <f t="shared" si="0"/>
        <v>0</v>
      </c>
      <c r="AT5" s="3277">
        <f t="shared" si="0"/>
        <v>0</v>
      </c>
      <c r="AU5" s="2522"/>
      <c r="AV5" s="1864" t="s">
        <v>527</v>
      </c>
      <c r="AW5" s="2523"/>
      <c r="AX5" s="2523"/>
      <c r="AY5" s="3335" t="s">
        <v>124</v>
      </c>
      <c r="AZ5" s="3336">
        <f t="shared" ref="AZ5:BT5" si="1">SUM(AZ13:AZ656)</f>
        <v>68156.19</v>
      </c>
      <c r="BA5" s="3336">
        <f t="shared" si="1"/>
        <v>66363.26</v>
      </c>
      <c r="BB5" s="3336">
        <f t="shared" si="1"/>
        <v>56121.31</v>
      </c>
      <c r="BC5" s="3336">
        <f t="shared" si="1"/>
        <v>10241.95</v>
      </c>
      <c r="BD5" s="3336">
        <f t="shared" si="1"/>
        <v>0</v>
      </c>
      <c r="BE5" s="3336">
        <f t="shared" si="1"/>
        <v>0</v>
      </c>
      <c r="BF5" s="3336">
        <f t="shared" si="1"/>
        <v>0</v>
      </c>
      <c r="BG5" s="3336">
        <f t="shared" si="1"/>
        <v>0</v>
      </c>
      <c r="BH5" s="3336">
        <f t="shared" si="1"/>
        <v>0</v>
      </c>
      <c r="BI5" s="3336">
        <f t="shared" si="1"/>
        <v>0</v>
      </c>
      <c r="BJ5" s="3336">
        <f t="shared" si="1"/>
        <v>0</v>
      </c>
      <c r="BK5" s="3336">
        <f t="shared" si="1"/>
        <v>0</v>
      </c>
      <c r="BL5" s="3336">
        <f t="shared" si="1"/>
        <v>1792.93</v>
      </c>
      <c r="BM5" s="3336">
        <f t="shared" si="1"/>
        <v>0</v>
      </c>
      <c r="BN5" s="3336">
        <f t="shared" si="1"/>
        <v>0</v>
      </c>
      <c r="BO5" s="3336">
        <f t="shared" si="1"/>
        <v>0</v>
      </c>
      <c r="BP5" s="3336">
        <f t="shared" si="1"/>
        <v>0</v>
      </c>
      <c r="BQ5" s="3336">
        <f t="shared" si="1"/>
        <v>54.74</v>
      </c>
      <c r="BR5" s="3336">
        <f t="shared" si="1"/>
        <v>1738.19</v>
      </c>
      <c r="BS5" s="3336">
        <f t="shared" si="1"/>
        <v>0</v>
      </c>
      <c r="BT5" s="3345">
        <f t="shared" si="1"/>
        <v>0</v>
      </c>
    </row>
    <row r="6" s="3264" customFormat="1" ht="13" spans="1:72">
      <c r="A6" s="1864" t="s">
        <v>528</v>
      </c>
      <c r="B6" s="3278"/>
      <c r="C6" s="3278"/>
      <c r="D6" s="3279"/>
      <c r="E6" s="3277">
        <f>H6+AC6+AT6</f>
        <v>11645.88</v>
      </c>
      <c r="F6" s="3277" t="s">
        <v>124</v>
      </c>
      <c r="G6" s="3277" t="s">
        <v>124</v>
      </c>
      <c r="H6" s="3280">
        <f>SUMIF(I$12:AB$12,"总值",I6:AB6)</f>
        <v>11339.52</v>
      </c>
      <c r="I6" s="3277">
        <f t="shared" ref="I6:AB6" si="2">ROUND($A$3*I5/$B$3,2)</f>
        <v>9589.47</v>
      </c>
      <c r="J6" s="3277">
        <f t="shared" si="2"/>
        <v>0</v>
      </c>
      <c r="K6" s="3277">
        <f t="shared" si="2"/>
        <v>1750.05</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0">
        <f>SUMIF(AD$12:AS$12,"总值",AD6:AS6)</f>
        <v>306.36</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9.35</v>
      </c>
      <c r="AM6" s="3277">
        <f t="shared" si="3"/>
        <v>0</v>
      </c>
      <c r="AN6" s="3277">
        <f t="shared" si="3"/>
        <v>297.01</v>
      </c>
      <c r="AO6" s="3277">
        <f t="shared" si="3"/>
        <v>0</v>
      </c>
      <c r="AP6" s="3277">
        <f t="shared" si="3"/>
        <v>0</v>
      </c>
      <c r="AQ6" s="3277">
        <f t="shared" si="3"/>
        <v>0</v>
      </c>
      <c r="AR6" s="3277">
        <f t="shared" si="3"/>
        <v>0</v>
      </c>
      <c r="AS6" s="3277">
        <f t="shared" si="3"/>
        <v>0</v>
      </c>
      <c r="AT6" s="3280">
        <f>IF(C3="是",ROUND($A$3*AT5/$B$3,2),0)</f>
        <v>0</v>
      </c>
      <c r="AU6" s="3321"/>
      <c r="AV6" s="1864" t="s">
        <v>528</v>
      </c>
      <c r="AW6" s="3278"/>
      <c r="AX6" s="3278"/>
      <c r="AY6" s="3337">
        <f>IF(AY3&gt;0,AY3,ROUND($A$3*AZ5/$B$3,2))</f>
        <v>11645.87</v>
      </c>
      <c r="AZ6" s="3277" t="s">
        <v>124</v>
      </c>
      <c r="BA6" s="3277">
        <f>ROUND($AY$6*BA5/$AZ$5,2)</f>
        <v>11339.51</v>
      </c>
      <c r="BB6" s="3277">
        <f>ROUND($AY$6*BB5/$AZ$5,2)</f>
        <v>9589.47</v>
      </c>
      <c r="BC6" s="3277">
        <f t="shared" ref="BC6:BH6" si="4">ROUND($AY$6*BC5/$AZ$5,2)</f>
        <v>1750.05</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306.36</v>
      </c>
      <c r="BM6" s="3277">
        <f t="shared" si="5"/>
        <v>0</v>
      </c>
      <c r="BN6" s="3277">
        <f t="shared" si="5"/>
        <v>0</v>
      </c>
      <c r="BO6" s="3277">
        <f t="shared" si="5"/>
        <v>0</v>
      </c>
      <c r="BP6" s="3277">
        <f t="shared" si="5"/>
        <v>0</v>
      </c>
      <c r="BQ6" s="3277">
        <f t="shared" si="5"/>
        <v>9.35</v>
      </c>
      <c r="BR6" s="3277">
        <f t="shared" si="5"/>
        <v>297.01</v>
      </c>
      <c r="BS6" s="3277">
        <f t="shared" si="5"/>
        <v>0</v>
      </c>
      <c r="BT6" s="3346">
        <f t="shared" si="5"/>
        <v>0</v>
      </c>
    </row>
    <row r="7" s="3262" customFormat="1" ht="26" spans="1:72">
      <c r="A7" s="3281" t="s">
        <v>529</v>
      </c>
      <c r="B7" s="3281" t="s">
        <v>530</v>
      </c>
      <c r="C7" s="3281" t="s">
        <v>503</v>
      </c>
      <c r="D7" s="3281" t="s">
        <v>531</v>
      </c>
      <c r="E7" s="3281" t="s">
        <v>528</v>
      </c>
      <c r="F7" s="3281" t="s">
        <v>532</v>
      </c>
      <c r="G7" s="2638" t="s">
        <v>533</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678"/>
      <c r="AU7" s="3282" t="s">
        <v>534</v>
      </c>
      <c r="AV7" s="3322" t="s">
        <v>529</v>
      </c>
      <c r="AW7" s="2664" t="s">
        <v>530</v>
      </c>
      <c r="AX7" s="3322" t="s">
        <v>503</v>
      </c>
      <c r="AY7" s="2523" t="s">
        <v>535</v>
      </c>
      <c r="AZ7" s="3313"/>
      <c r="BA7" s="3282"/>
      <c r="BB7" s="3282"/>
      <c r="BC7" s="3282"/>
      <c r="BD7" s="3282"/>
      <c r="BE7" s="3282"/>
      <c r="BF7" s="3282"/>
      <c r="BG7" s="3282"/>
      <c r="BH7" s="3282"/>
      <c r="BI7" s="3282"/>
      <c r="BJ7" s="3282"/>
      <c r="BK7" s="3282"/>
      <c r="BL7" s="3282"/>
      <c r="BM7" s="3282"/>
      <c r="BN7" s="3282"/>
      <c r="BO7" s="3282"/>
      <c r="BP7" s="3282"/>
      <c r="BQ7" s="3282"/>
      <c r="BR7" s="3282"/>
      <c r="BS7" s="3282"/>
      <c r="BT7" s="3347"/>
    </row>
    <row r="8" s="2957" customFormat="1" ht="26" spans="1:72">
      <c r="A8" s="3283"/>
      <c r="B8" s="3283"/>
      <c r="C8" s="3283"/>
      <c r="D8" s="3283"/>
      <c r="E8" s="3283"/>
      <c r="F8" s="3283"/>
      <c r="G8" s="3284" t="s">
        <v>536</v>
      </c>
      <c r="H8" s="3285" t="s">
        <v>537</v>
      </c>
      <c r="I8" s="3302"/>
      <c r="J8" s="645"/>
      <c r="K8" s="645"/>
      <c r="L8" s="645"/>
      <c r="M8" s="645"/>
      <c r="N8" s="645"/>
      <c r="O8" s="645"/>
      <c r="P8" s="645"/>
      <c r="Q8" s="645"/>
      <c r="R8" s="645"/>
      <c r="S8" s="645"/>
      <c r="T8" s="645"/>
      <c r="U8" s="645"/>
      <c r="V8" s="3309"/>
      <c r="W8" s="645"/>
      <c r="X8" s="645"/>
      <c r="Y8" s="645"/>
      <c r="Z8" s="645"/>
      <c r="AA8" s="3309"/>
      <c r="AB8" s="3311"/>
      <c r="AC8" s="2048" t="s">
        <v>538</v>
      </c>
      <c r="AD8" s="3312"/>
      <c r="AE8" s="3313"/>
      <c r="AF8" s="645"/>
      <c r="AG8" s="645"/>
      <c r="AH8" s="645"/>
      <c r="AI8" s="645"/>
      <c r="AJ8" s="645"/>
      <c r="AK8" s="645"/>
      <c r="AL8" s="645"/>
      <c r="AM8" s="645"/>
      <c r="AN8" s="645"/>
      <c r="AO8" s="645"/>
      <c r="AP8" s="645"/>
      <c r="AQ8" s="645"/>
      <c r="AR8" s="645"/>
      <c r="AS8" s="645"/>
      <c r="AT8" s="1700" t="s">
        <v>539</v>
      </c>
      <c r="AU8" s="3283" t="s">
        <v>540</v>
      </c>
      <c r="AV8" s="1700"/>
      <c r="AW8" s="2612"/>
      <c r="AX8" s="1700"/>
      <c r="AY8" s="2664" t="s">
        <v>528</v>
      </c>
      <c r="AZ8" s="644" t="s">
        <v>456</v>
      </c>
      <c r="BA8" s="645"/>
      <c r="BB8" s="645"/>
      <c r="BC8" s="645"/>
      <c r="BD8" s="645"/>
      <c r="BE8" s="645"/>
      <c r="BF8" s="645"/>
      <c r="BG8" s="645"/>
      <c r="BH8" s="645"/>
      <c r="BI8" s="645"/>
      <c r="BJ8" s="645"/>
      <c r="BK8" s="645"/>
      <c r="BL8" s="645"/>
      <c r="BM8" s="645"/>
      <c r="BN8" s="645"/>
      <c r="BO8" s="645"/>
      <c r="BP8" s="645"/>
      <c r="BQ8" s="645"/>
      <c r="BR8" s="645"/>
      <c r="BS8" s="645"/>
      <c r="BT8" s="1749"/>
    </row>
    <row r="9" s="2957" customFormat="1" ht="13" spans="1:72">
      <c r="A9" s="3283"/>
      <c r="B9" s="3283"/>
      <c r="C9" s="3283"/>
      <c r="D9" s="3283"/>
      <c r="E9" s="3283"/>
      <c r="F9" s="3283"/>
      <c r="G9" s="1700"/>
      <c r="H9" s="3286" t="s">
        <v>541</v>
      </c>
      <c r="I9" s="3303" t="s">
        <v>542</v>
      </c>
      <c r="J9" s="2048"/>
      <c r="K9" s="3303" t="s">
        <v>543</v>
      </c>
      <c r="L9" s="2048"/>
      <c r="M9" s="3303"/>
      <c r="N9" s="2048"/>
      <c r="O9" s="3303"/>
      <c r="P9" s="2048"/>
      <c r="Q9" s="3303"/>
      <c r="R9" s="2048"/>
      <c r="S9" s="3303"/>
      <c r="T9" s="2048"/>
      <c r="U9" s="3303"/>
      <c r="V9" s="2048"/>
      <c r="W9" s="3303"/>
      <c r="X9" s="3310"/>
      <c r="Y9" s="3303"/>
      <c r="Z9" s="2048"/>
      <c r="AA9" s="3303"/>
      <c r="AB9" s="2048"/>
      <c r="AC9" s="3284" t="s">
        <v>541</v>
      </c>
      <c r="AD9" s="1864" t="s">
        <v>544</v>
      </c>
      <c r="AE9" s="1714"/>
      <c r="AF9" s="1864" t="s">
        <v>545</v>
      </c>
      <c r="AG9" s="1714"/>
      <c r="AH9" s="1864" t="s">
        <v>544</v>
      </c>
      <c r="AI9" s="1714"/>
      <c r="AJ9" s="1864" t="s">
        <v>545</v>
      </c>
      <c r="AK9" s="1714"/>
      <c r="AL9" s="1864" t="s">
        <v>544</v>
      </c>
      <c r="AM9" s="1714"/>
      <c r="AN9" s="1864" t="s">
        <v>545</v>
      </c>
      <c r="AO9" s="1714"/>
      <c r="AP9" s="1864" t="s">
        <v>544</v>
      </c>
      <c r="AQ9" s="1714"/>
      <c r="AR9" s="1864" t="s">
        <v>545</v>
      </c>
      <c r="AS9" s="3323"/>
      <c r="AT9" s="3283"/>
      <c r="AU9" s="3283" t="s">
        <v>546</v>
      </c>
      <c r="AV9" s="1700"/>
      <c r="AW9" s="2612"/>
      <c r="AX9" s="1700"/>
      <c r="AY9" s="3287"/>
      <c r="AZ9" s="3287" t="s">
        <v>536</v>
      </c>
      <c r="BA9" s="3338" t="s">
        <v>547</v>
      </c>
      <c r="BB9" s="3339"/>
      <c r="BC9" s="1761"/>
      <c r="BD9" s="1761"/>
      <c r="BE9" s="1761"/>
      <c r="BF9" s="1761"/>
      <c r="BG9" s="1761"/>
      <c r="BH9" s="1761"/>
      <c r="BI9" s="1761"/>
      <c r="BJ9" s="1761"/>
      <c r="BK9" s="3344"/>
      <c r="BL9" s="1864" t="s">
        <v>548</v>
      </c>
      <c r="BM9" s="645"/>
      <c r="BN9" s="3302"/>
      <c r="BO9" s="645"/>
      <c r="BP9" s="645"/>
      <c r="BQ9" s="645"/>
      <c r="BR9" s="645"/>
      <c r="BS9" s="645"/>
      <c r="BT9" s="1749"/>
    </row>
    <row r="10" s="2957" customFormat="1" ht="13" spans="1:72">
      <c r="A10" s="3283"/>
      <c r="B10" s="3283"/>
      <c r="C10" s="3283"/>
      <c r="D10" s="3283"/>
      <c r="E10" s="3283"/>
      <c r="F10" s="3283"/>
      <c r="G10" s="1700"/>
      <c r="H10" s="3287"/>
      <c r="I10" s="3303" t="s">
        <v>549</v>
      </c>
      <c r="J10" s="2048"/>
      <c r="K10" s="3304" t="s">
        <v>550</v>
      </c>
      <c r="L10" s="2048"/>
      <c r="M10" s="3304"/>
      <c r="N10" s="2048"/>
      <c r="O10" s="3304"/>
      <c r="P10" s="2048"/>
      <c r="Q10" s="3304"/>
      <c r="R10" s="2048"/>
      <c r="S10" s="3304"/>
      <c r="T10" s="2048"/>
      <c r="U10" s="3304"/>
      <c r="V10" s="2048"/>
      <c r="W10" s="3304"/>
      <c r="X10" s="2048"/>
      <c r="Y10" s="3304"/>
      <c r="Z10" s="2048"/>
      <c r="AA10" s="3304"/>
      <c r="AB10" s="2048"/>
      <c r="AC10" s="1700"/>
      <c r="AD10" s="1864" t="s">
        <v>551</v>
      </c>
      <c r="AE10" s="3314"/>
      <c r="AF10" s="1864" t="s">
        <v>551</v>
      </c>
      <c r="AG10" s="3314"/>
      <c r="AH10" s="1864" t="s">
        <v>552</v>
      </c>
      <c r="AI10" s="3314"/>
      <c r="AJ10" s="1864" t="s">
        <v>552</v>
      </c>
      <c r="AK10" s="3314"/>
      <c r="AL10" s="1864" t="s">
        <v>553</v>
      </c>
      <c r="AM10" s="1714"/>
      <c r="AN10" s="1864" t="s">
        <v>553</v>
      </c>
      <c r="AO10" s="1714"/>
      <c r="AP10" s="1864" t="s">
        <v>554</v>
      </c>
      <c r="AQ10" s="1714"/>
      <c r="AR10" s="1864" t="s">
        <v>554</v>
      </c>
      <c r="AS10" s="1714"/>
      <c r="AT10" s="3283"/>
      <c r="AU10" s="3283"/>
      <c r="AV10" s="1700"/>
      <c r="AW10" s="2612"/>
      <c r="AX10" s="1700"/>
      <c r="AY10" s="3287"/>
      <c r="AZ10" s="3287"/>
      <c r="BA10" s="3288" t="s">
        <v>541</v>
      </c>
      <c r="BB10" s="3340" t="str">
        <f>I9</f>
        <v>地上</v>
      </c>
      <c r="BC10" s="1773" t="str">
        <f>K9</f>
        <v>地下</v>
      </c>
      <c r="BD10" s="1773">
        <f>M9</f>
        <v>0</v>
      </c>
      <c r="BE10" s="1773">
        <f>O9</f>
        <v>0</v>
      </c>
      <c r="BF10" s="1773">
        <f>Q9</f>
        <v>0</v>
      </c>
      <c r="BG10" s="1773">
        <f>S9</f>
        <v>0</v>
      </c>
      <c r="BH10" s="1773">
        <f>U9</f>
        <v>0</v>
      </c>
      <c r="BI10" s="1773">
        <f>W9</f>
        <v>0</v>
      </c>
      <c r="BJ10" s="1773">
        <f>Y9</f>
        <v>0</v>
      </c>
      <c r="BK10" s="1773">
        <f>AA9</f>
        <v>0</v>
      </c>
      <c r="BL10" s="1769" t="s">
        <v>541</v>
      </c>
      <c r="BM10" s="644" t="str">
        <f>AD9</f>
        <v>地上</v>
      </c>
      <c r="BN10" s="1773" t="str">
        <f>AF9</f>
        <v>地下</v>
      </c>
      <c r="BO10" s="644" t="str">
        <f>AH9</f>
        <v>地上</v>
      </c>
      <c r="BP10" s="1773" t="str">
        <f>AJ9</f>
        <v>地下</v>
      </c>
      <c r="BQ10" s="644" t="str">
        <f>AL9</f>
        <v>地上</v>
      </c>
      <c r="BR10" s="1773" t="str">
        <f>AN9</f>
        <v>地下</v>
      </c>
      <c r="BS10" s="644" t="str">
        <f>AP9</f>
        <v>地上</v>
      </c>
      <c r="BT10" s="3348" t="str">
        <f>AR9</f>
        <v>地下</v>
      </c>
    </row>
    <row r="11" s="2957" customFormat="1" ht="13" spans="1:72">
      <c r="A11" s="3283"/>
      <c r="B11" s="3283"/>
      <c r="C11" s="3283"/>
      <c r="D11" s="3283"/>
      <c r="E11" s="3283"/>
      <c r="F11" s="3283"/>
      <c r="G11" s="1700"/>
      <c r="H11" s="3288"/>
      <c r="I11" s="3305"/>
      <c r="J11" s="3306"/>
      <c r="K11" s="3305"/>
      <c r="L11" s="3306"/>
      <c r="M11" s="3305"/>
      <c r="N11" s="3306"/>
      <c r="O11" s="3305"/>
      <c r="P11" s="3306"/>
      <c r="Q11" s="3305"/>
      <c r="R11" s="3306"/>
      <c r="S11" s="3305"/>
      <c r="T11" s="3306"/>
      <c r="U11" s="3305"/>
      <c r="V11" s="3306"/>
      <c r="W11" s="3305"/>
      <c r="X11" s="3306"/>
      <c r="Y11" s="3305"/>
      <c r="Z11" s="3306"/>
      <c r="AA11" s="3305"/>
      <c r="AB11" s="3306"/>
      <c r="AC11" s="1700"/>
      <c r="AD11" s="3315" t="s">
        <v>555</v>
      </c>
      <c r="AE11" s="703"/>
      <c r="AF11" s="3315" t="s">
        <v>555</v>
      </c>
      <c r="AG11" s="703"/>
      <c r="AH11" s="3315" t="s">
        <v>556</v>
      </c>
      <c r="AI11" s="3319"/>
      <c r="AJ11" s="3315" t="s">
        <v>556</v>
      </c>
      <c r="AK11" s="703"/>
      <c r="AL11" s="644"/>
      <c r="AM11" s="703"/>
      <c r="AN11" s="644"/>
      <c r="AO11" s="703"/>
      <c r="AP11" s="644"/>
      <c r="AQ11" s="703"/>
      <c r="AR11" s="644"/>
      <c r="AS11" s="703"/>
      <c r="AT11" s="2612"/>
      <c r="AU11" s="3283"/>
      <c r="AV11" s="1700"/>
      <c r="AW11" s="2612"/>
      <c r="AX11" s="1700"/>
      <c r="AY11" s="3287"/>
      <c r="AZ11" s="3287"/>
      <c r="BA11" s="3287"/>
      <c r="BB11" s="3311" t="str">
        <f>I10</f>
        <v>商业</v>
      </c>
      <c r="BC11" s="3311" t="str">
        <f>K10</f>
        <v>车库—商业</v>
      </c>
      <c r="BD11" s="3311">
        <f>M10</f>
        <v>0</v>
      </c>
      <c r="BE11" s="3311">
        <f>O10</f>
        <v>0</v>
      </c>
      <c r="BF11" s="3311">
        <f>Q10</f>
        <v>0</v>
      </c>
      <c r="BG11" s="3311">
        <f>S10</f>
        <v>0</v>
      </c>
      <c r="BH11" s="3311">
        <f>U10</f>
        <v>0</v>
      </c>
      <c r="BI11" s="3311">
        <f>W10</f>
        <v>0</v>
      </c>
      <c r="BJ11" s="3311">
        <f>Y10</f>
        <v>0</v>
      </c>
      <c r="BK11" s="3311">
        <f>AA10</f>
        <v>0</v>
      </c>
      <c r="BL11" s="170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69" t="str">
        <f>AP10</f>
        <v>未注明</v>
      </c>
      <c r="BT11" s="3349" t="str">
        <f>AR10</f>
        <v>未注明</v>
      </c>
    </row>
    <row r="12" s="3262" customFormat="1" ht="13" spans="1:72">
      <c r="A12" s="3289"/>
      <c r="B12" s="3289"/>
      <c r="C12" s="3289"/>
      <c r="D12" s="3289"/>
      <c r="E12" s="3289"/>
      <c r="F12" s="3289"/>
      <c r="G12" s="2162"/>
      <c r="H12" s="3290"/>
      <c r="I12" s="2678"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522" t="s">
        <v>558</v>
      </c>
      <c r="W12" s="646" t="s">
        <v>557</v>
      </c>
      <c r="X12" s="646" t="s">
        <v>558</v>
      </c>
      <c r="Y12" s="646" t="s">
        <v>557</v>
      </c>
      <c r="Z12" s="646" t="s">
        <v>558</v>
      </c>
      <c r="AA12" s="646" t="s">
        <v>557</v>
      </c>
      <c r="AB12" s="646" t="s">
        <v>558</v>
      </c>
      <c r="AC12" s="3316"/>
      <c r="AD12" s="2678"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162" t="s">
        <v>557</v>
      </c>
      <c r="AS12" s="3289" t="s">
        <v>558</v>
      </c>
      <c r="AT12" s="3324"/>
      <c r="AU12" s="3289"/>
      <c r="AV12" s="3325"/>
      <c r="AW12" s="2664"/>
      <c r="AX12" s="3325"/>
      <c r="AY12" s="3341"/>
      <c r="AZ12" s="3287"/>
      <c r="BA12" s="3288"/>
      <c r="BB12" s="643">
        <f>I11</f>
        <v>0</v>
      </c>
      <c r="BC12" s="3342">
        <f>K11</f>
        <v>0</v>
      </c>
      <c r="BD12" s="3342">
        <f>M11</f>
        <v>0</v>
      </c>
      <c r="BE12" s="3311">
        <f>O11</f>
        <v>0</v>
      </c>
      <c r="BF12" s="3311">
        <f>Q11</f>
        <v>0</v>
      </c>
      <c r="BG12" s="3311">
        <f>S11</f>
        <v>0</v>
      </c>
      <c r="BH12" s="3311">
        <f>U11</f>
        <v>0</v>
      </c>
      <c r="BI12" s="3311">
        <f>W11</f>
        <v>0</v>
      </c>
      <c r="BJ12" s="3311">
        <f>Y11</f>
        <v>0</v>
      </c>
      <c r="BK12" s="3311">
        <f>AA11</f>
        <v>0</v>
      </c>
      <c r="BL12" s="1700"/>
      <c r="BM12" s="644" t="str">
        <f>AD11</f>
        <v>（住宅）</v>
      </c>
      <c r="BN12" s="644" t="str">
        <f>AF11</f>
        <v>（住宅）</v>
      </c>
      <c r="BO12" s="643" t="str">
        <f>AH11</f>
        <v>（住宅、计出让金）</v>
      </c>
      <c r="BP12" s="643" t="str">
        <f>AJ11</f>
        <v>（住宅、计出让金）</v>
      </c>
      <c r="BQ12" s="643">
        <f>AL11</f>
        <v>0</v>
      </c>
      <c r="BR12" s="643">
        <f>AN11</f>
        <v>0</v>
      </c>
      <c r="BS12" s="1769">
        <f>AP11</f>
        <v>0</v>
      </c>
      <c r="BT12" s="3349">
        <f>AR11</f>
        <v>0</v>
      </c>
    </row>
    <row r="13" s="3262" customFormat="1" ht="13" spans="1:72">
      <c r="A13" s="3291"/>
      <c r="B13" s="3291"/>
      <c r="C13" s="3291"/>
      <c r="D13" s="3292" t="s">
        <v>559</v>
      </c>
      <c r="E13" s="3277">
        <f>IF($C$3="是",ROUND($A$3*G13/$B$3,2),ROUND($A$3*(G13-AT13)/$B$3,2))</f>
        <v>11645.87</v>
      </c>
      <c r="F13" s="3293"/>
      <c r="G13" s="3294">
        <f>H13+AC13+AT13</f>
        <v>68156.19</v>
      </c>
      <c r="H13" s="3280">
        <f>SUMIF(I$12:AB$12,"总值",I13:AB13)</f>
        <v>66363.26</v>
      </c>
      <c r="I13" s="3307">
        <f>56121.31</f>
        <v>56121.31</v>
      </c>
      <c r="J13" s="3307"/>
      <c r="K13" s="3307">
        <v>10241.95</v>
      </c>
      <c r="L13" s="3307"/>
      <c r="M13" s="3307"/>
      <c r="N13" s="3307"/>
      <c r="O13" s="3307"/>
      <c r="P13" s="3307"/>
      <c r="Q13" s="3307"/>
      <c r="R13" s="3307"/>
      <c r="S13" s="3307"/>
      <c r="T13" s="3307"/>
      <c r="U13" s="3307"/>
      <c r="V13" s="3307"/>
      <c r="W13" s="3307"/>
      <c r="X13" s="3307"/>
      <c r="Y13" s="3307"/>
      <c r="Z13" s="3307"/>
      <c r="AA13" s="3307"/>
      <c r="AB13" s="3307"/>
      <c r="AC13" s="3277">
        <f>SUMIF(AD$12:AS$12,"总值",AD13:AS13)</f>
        <v>1792.93</v>
      </c>
      <c r="AD13" s="3317"/>
      <c r="AE13" s="3317"/>
      <c r="AF13" s="3317"/>
      <c r="AG13" s="3317"/>
      <c r="AH13" s="3317"/>
      <c r="AI13" s="3317"/>
      <c r="AJ13" s="3317"/>
      <c r="AK13" s="3317"/>
      <c r="AL13" s="3317">
        <v>54.74</v>
      </c>
      <c r="AM13" s="3317"/>
      <c r="AN13" s="3317">
        <f>1738.19</f>
        <v>1738.19</v>
      </c>
      <c r="AO13" s="3317"/>
      <c r="AP13" s="3317"/>
      <c r="AQ13" s="3317"/>
      <c r="AR13" s="3317"/>
      <c r="AS13" s="3317"/>
      <c r="AT13" s="3326"/>
      <c r="AU13" s="3327"/>
      <c r="AV13" s="646">
        <f t="shared" ref="AV13:AX17" si="6">A13</f>
        <v>0</v>
      </c>
      <c r="AW13" s="646">
        <f t="shared" si="6"/>
        <v>0</v>
      </c>
      <c r="AX13" s="646">
        <f t="shared" si="6"/>
        <v>0</v>
      </c>
      <c r="AY13" s="2678">
        <f>ROUND($AY$6*AZ13/$AZ$5,2)</f>
        <v>11645.87</v>
      </c>
      <c r="AZ13" s="3277">
        <f>BA13+BL13</f>
        <v>68156.19</v>
      </c>
      <c r="BA13" s="3277">
        <f>SUM(BB13:BK13)</f>
        <v>66363.26</v>
      </c>
      <c r="BB13" s="3277">
        <f>IF($D13="是",I13-J13,0)</f>
        <v>56121.31</v>
      </c>
      <c r="BC13" s="3277">
        <f>IF($D13="是",K13-L13,0)</f>
        <v>10241.95</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1792.93</v>
      </c>
      <c r="BM13" s="3277">
        <f>IF($D13="是",AD13-AE13,0)</f>
        <v>0</v>
      </c>
      <c r="BN13" s="3277">
        <f>IF($D13="是",AF13-AG13,0)</f>
        <v>0</v>
      </c>
      <c r="BO13" s="3277">
        <f>IF($D13="是",AH13-AI13,0)</f>
        <v>0</v>
      </c>
      <c r="BP13" s="3277">
        <f>IF($D13="是",AJ13-AK13,0)</f>
        <v>0</v>
      </c>
      <c r="BQ13" s="3277">
        <f>IF($D13="是",AL13-AM13,0)</f>
        <v>54.74</v>
      </c>
      <c r="BR13" s="3277">
        <f>IF($D13="是",AN13-AO13,0)</f>
        <v>1738.19</v>
      </c>
      <c r="BS13" s="3277">
        <f>IF($D13="是",AP13-AQ13,0)</f>
        <v>0</v>
      </c>
      <c r="BT13" s="3346">
        <f>IF($D13="是",AR13-AS13,0)</f>
        <v>0</v>
      </c>
    </row>
    <row r="14" s="3262" customFormat="1" ht="12.5" spans="1:72">
      <c r="A14" s="3291"/>
      <c r="B14" s="3291"/>
      <c r="C14" s="3295"/>
      <c r="D14" s="3292"/>
      <c r="E14" s="3277">
        <f>IF($C$3="是",ROUND($A$3*G14/$B$3,2),ROUND($A$3*(G14-AT14)/$B$3,2))</f>
        <v>0</v>
      </c>
      <c r="F14" s="3293"/>
      <c r="G14" s="3294">
        <f>H14+AC14+AT14</f>
        <v>0</v>
      </c>
      <c r="H14" s="3280">
        <f>SUMIF(I$12:AB$12,"总值",I14:AB14)</f>
        <v>0</v>
      </c>
      <c r="I14" s="3307"/>
      <c r="J14" s="3307"/>
      <c r="K14" s="3307"/>
      <c r="L14" s="3307"/>
      <c r="M14" s="3307"/>
      <c r="N14" s="3307"/>
      <c r="O14" s="3307"/>
      <c r="P14" s="3307"/>
      <c r="Q14" s="3307"/>
      <c r="R14" s="3307"/>
      <c r="S14" s="3307"/>
      <c r="T14" s="3307"/>
      <c r="U14" s="3307"/>
      <c r="V14" s="3307"/>
      <c r="W14" s="3307"/>
      <c r="X14" s="3307"/>
      <c r="Y14" s="3307"/>
      <c r="Z14" s="3307"/>
      <c r="AA14" s="3307"/>
      <c r="AB14" s="3307"/>
      <c r="AC14" s="3277">
        <f>SUMIF(AD$12:AS$12,"总值",AD14:AS14)</f>
        <v>0</v>
      </c>
      <c r="AD14" s="3317"/>
      <c r="AE14" s="3317"/>
      <c r="AF14" s="3317"/>
      <c r="AG14" s="3317"/>
      <c r="AH14" s="3317"/>
      <c r="AI14" s="3317"/>
      <c r="AJ14" s="3317"/>
      <c r="AK14" s="3317"/>
      <c r="AL14" s="3317"/>
      <c r="AM14" s="3317"/>
      <c r="AN14" s="3317"/>
      <c r="AO14" s="3317"/>
      <c r="AP14" s="3317"/>
      <c r="AQ14" s="3317"/>
      <c r="AR14" s="3317"/>
      <c r="AS14" s="3317"/>
      <c r="AT14" s="3326"/>
      <c r="AU14" s="3327"/>
      <c r="AV14" s="646">
        <f t="shared" si="6"/>
        <v>0</v>
      </c>
      <c r="AW14" s="646">
        <f t="shared" si="6"/>
        <v>0</v>
      </c>
      <c r="AX14" s="646">
        <f t="shared" si="6"/>
        <v>0</v>
      </c>
      <c r="AY14" s="2678">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346">
        <f>IF($D14="是",AR14-AS14,0)</f>
        <v>0</v>
      </c>
    </row>
    <row r="15" s="3262" customFormat="1" ht="12.5" spans="1:72">
      <c r="A15" s="3291"/>
      <c r="B15" s="3291"/>
      <c r="C15" s="3295"/>
      <c r="D15" s="3292"/>
      <c r="E15" s="3277">
        <f>IF($C$3="是",ROUND($A$3*G15/$B$3,2),ROUND($A$3*(G15-AT15)/$B$3,2))</f>
        <v>0</v>
      </c>
      <c r="F15" s="3293"/>
      <c r="G15" s="3294">
        <f>H15+AC15+AT15</f>
        <v>0</v>
      </c>
      <c r="H15" s="3280">
        <f>SUMIF(I$12:AB$12,"总值",I15:AB15)</f>
        <v>0</v>
      </c>
      <c r="I15" s="3307"/>
      <c r="J15" s="3307"/>
      <c r="K15" s="3307"/>
      <c r="L15" s="3307"/>
      <c r="M15" s="3307"/>
      <c r="N15" s="3307"/>
      <c r="O15" s="3307"/>
      <c r="P15" s="3307"/>
      <c r="Q15" s="3307"/>
      <c r="R15" s="3307"/>
      <c r="S15" s="3307"/>
      <c r="T15" s="3307"/>
      <c r="U15" s="3307"/>
      <c r="V15" s="3307"/>
      <c r="W15" s="3307"/>
      <c r="X15" s="3307"/>
      <c r="Y15" s="3307"/>
      <c r="Z15" s="3307"/>
      <c r="AA15" s="3307"/>
      <c r="AB15" s="3307"/>
      <c r="AC15" s="3277">
        <f>SUMIF(AD$12:AS$12,"总值",AD15:AS15)</f>
        <v>0</v>
      </c>
      <c r="AD15" s="3317"/>
      <c r="AE15" s="3317"/>
      <c r="AF15" s="3317"/>
      <c r="AG15" s="3317"/>
      <c r="AH15" s="3317"/>
      <c r="AI15" s="3317"/>
      <c r="AJ15" s="3317"/>
      <c r="AK15" s="3317"/>
      <c r="AL15" s="3317"/>
      <c r="AM15" s="3317"/>
      <c r="AN15" s="3317"/>
      <c r="AO15" s="3317"/>
      <c r="AP15" s="3317"/>
      <c r="AQ15" s="3317"/>
      <c r="AR15" s="3317"/>
      <c r="AS15" s="3317"/>
      <c r="AT15" s="3326"/>
      <c r="AU15" s="3327"/>
      <c r="AV15" s="646">
        <f t="shared" si="6"/>
        <v>0</v>
      </c>
      <c r="AW15" s="646">
        <f t="shared" si="6"/>
        <v>0</v>
      </c>
      <c r="AX15" s="646">
        <f t="shared" si="6"/>
        <v>0</v>
      </c>
      <c r="AY15" s="2678">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346">
        <f>IF($D15="是",AR15-AS15,0)</f>
        <v>0</v>
      </c>
    </row>
    <row r="16" s="3262" customFormat="1" ht="12.5" spans="1:72">
      <c r="A16" s="3291"/>
      <c r="B16" s="3291"/>
      <c r="C16" s="3295"/>
      <c r="D16" s="3292"/>
      <c r="E16" s="3277">
        <f>IF($C$3="是",ROUND($A$3*G16/$B$3,2),ROUND($A$3*(G16-AT16)/$B$3,2))</f>
        <v>0</v>
      </c>
      <c r="F16" s="3293"/>
      <c r="G16" s="3294">
        <f>H16+AC16+AT16</f>
        <v>0</v>
      </c>
      <c r="H16" s="3280">
        <f>SUMIF(I$12:AB$12,"总值",I16:AB16)</f>
        <v>0</v>
      </c>
      <c r="I16" s="3307"/>
      <c r="J16" s="3307"/>
      <c r="K16" s="3307"/>
      <c r="L16" s="3307"/>
      <c r="M16" s="3307"/>
      <c r="N16" s="3307"/>
      <c r="O16" s="3307"/>
      <c r="P16" s="3307"/>
      <c r="Q16" s="3307"/>
      <c r="R16" s="3307"/>
      <c r="S16" s="3307"/>
      <c r="T16" s="3307"/>
      <c r="U16" s="3307"/>
      <c r="V16" s="3307"/>
      <c r="W16" s="3307"/>
      <c r="X16" s="3307"/>
      <c r="Y16" s="3307"/>
      <c r="Z16" s="3307"/>
      <c r="AA16" s="3307"/>
      <c r="AB16" s="3307"/>
      <c r="AC16" s="3277">
        <f>SUMIF(AD$12:AS$12,"总值",AD16:AS16)</f>
        <v>0</v>
      </c>
      <c r="AD16" s="3317"/>
      <c r="AE16" s="3317"/>
      <c r="AF16" s="3317"/>
      <c r="AG16" s="3317"/>
      <c r="AH16" s="3317"/>
      <c r="AI16" s="3317"/>
      <c r="AJ16" s="3317"/>
      <c r="AK16" s="3317"/>
      <c r="AL16" s="3317"/>
      <c r="AM16" s="3317"/>
      <c r="AN16" s="3317"/>
      <c r="AO16" s="3317"/>
      <c r="AP16" s="3317"/>
      <c r="AQ16" s="3317"/>
      <c r="AR16" s="3317"/>
      <c r="AS16" s="3317"/>
      <c r="AT16" s="3326"/>
      <c r="AU16" s="3327"/>
      <c r="AV16" s="646">
        <f t="shared" si="6"/>
        <v>0</v>
      </c>
      <c r="AW16" s="646">
        <f t="shared" si="6"/>
        <v>0</v>
      </c>
      <c r="AX16" s="646">
        <f t="shared" si="6"/>
        <v>0</v>
      </c>
      <c r="AY16" s="2678">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346">
        <f>IF($D16="是",AR16-AS16,0)</f>
        <v>0</v>
      </c>
    </row>
    <row r="17" s="3262" customFormat="1" ht="12.5" spans="1:72">
      <c r="A17" s="3291"/>
      <c r="B17" s="3291"/>
      <c r="C17" s="3295"/>
      <c r="D17" s="3292"/>
      <c r="E17" s="3277">
        <f>IF($C$3="是",ROUND($A$3*G17/$B$3,2),ROUND($A$3*(G17-AT17)/$B$3,2))</f>
        <v>0</v>
      </c>
      <c r="F17" s="3293"/>
      <c r="G17" s="3294">
        <f>H17+AC17+AT17</f>
        <v>0</v>
      </c>
      <c r="H17" s="3280">
        <f>SUMIF(I$12:AB$12,"总值",I17:AB17)</f>
        <v>0</v>
      </c>
      <c r="I17" s="3307"/>
      <c r="J17" s="3307"/>
      <c r="K17" s="3307"/>
      <c r="L17" s="3307"/>
      <c r="M17" s="3307"/>
      <c r="N17" s="3307"/>
      <c r="O17" s="3307"/>
      <c r="P17" s="3307"/>
      <c r="Q17" s="3307"/>
      <c r="R17" s="3307"/>
      <c r="S17" s="3307"/>
      <c r="T17" s="3307"/>
      <c r="U17" s="3307"/>
      <c r="V17" s="3307"/>
      <c r="W17" s="3307"/>
      <c r="X17" s="3307"/>
      <c r="Y17" s="3307"/>
      <c r="Z17" s="3307"/>
      <c r="AA17" s="3307"/>
      <c r="AB17" s="3307"/>
      <c r="AC17" s="3277">
        <f>SUMIF(AD$12:AS$12,"总值",AD17:AS17)</f>
        <v>0</v>
      </c>
      <c r="AD17" s="3317"/>
      <c r="AE17" s="3317"/>
      <c r="AF17" s="3317"/>
      <c r="AG17" s="3317"/>
      <c r="AH17" s="3317"/>
      <c r="AI17" s="3317"/>
      <c r="AJ17" s="3317"/>
      <c r="AK17" s="3317"/>
      <c r="AL17" s="3317"/>
      <c r="AM17" s="3317"/>
      <c r="AN17" s="3317"/>
      <c r="AO17" s="3317"/>
      <c r="AP17" s="3317"/>
      <c r="AQ17" s="3317"/>
      <c r="AR17" s="3317"/>
      <c r="AS17" s="3317"/>
      <c r="AT17" s="3326"/>
      <c r="AU17" s="3327"/>
      <c r="AV17" s="646">
        <f t="shared" si="6"/>
        <v>0</v>
      </c>
      <c r="AW17" s="646">
        <f t="shared" si="6"/>
        <v>0</v>
      </c>
      <c r="AX17" s="646">
        <f t="shared" si="6"/>
        <v>0</v>
      </c>
      <c r="AY17" s="2678">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346">
        <f>IF($D17="是",AR17-AS17,0)</f>
        <v>0</v>
      </c>
    </row>
    <row r="18" spans="1:72">
      <c r="A18" s="1407"/>
      <c r="B18" s="3296"/>
      <c r="C18" s="3296"/>
      <c r="D18" s="3297"/>
      <c r="E18" s="3298">
        <f t="shared" ref="E18:E112" si="7">IF($C$3="是",ROUND($A$3*G18/$B$3,2),ROUND($A$3*(G18-AT18)/$B$3,2))</f>
        <v>0</v>
      </c>
      <c r="F18" s="3299"/>
      <c r="G18" s="3300">
        <f t="shared" ref="G18:G109" si="8">H18+AC18+AT18</f>
        <v>0</v>
      </c>
      <c r="H18" s="3301">
        <f t="shared" ref="H18:H109" si="9">SUMIF(I$12:AB$12,"总值",I18:AB18)</f>
        <v>0</v>
      </c>
      <c r="I18" s="3308"/>
      <c r="J18" s="3308"/>
      <c r="K18" s="3308"/>
      <c r="L18" s="3308"/>
      <c r="M18" s="3308"/>
      <c r="N18" s="3308"/>
      <c r="O18" s="3308"/>
      <c r="P18" s="3308"/>
      <c r="Q18" s="3308"/>
      <c r="R18" s="3308"/>
      <c r="S18" s="3308"/>
      <c r="T18" s="3308"/>
      <c r="U18" s="3308"/>
      <c r="V18" s="3308"/>
      <c r="W18" s="3308"/>
      <c r="X18" s="3308"/>
      <c r="Y18" s="3308"/>
      <c r="Z18" s="3308"/>
      <c r="AA18" s="3308"/>
      <c r="AB18" s="3308"/>
      <c r="AC18" s="3298">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28"/>
      <c r="AU18" s="3329"/>
      <c r="AV18" s="963">
        <f t="shared" ref="AV18:AV112" si="11">A18</f>
        <v>0</v>
      </c>
      <c r="AW18" s="963">
        <f t="shared" ref="AW18:AW112" si="12">B18</f>
        <v>0</v>
      </c>
      <c r="AX18" s="963">
        <f t="shared" ref="AX18:AX112" si="13">C18</f>
        <v>0</v>
      </c>
      <c r="AY18" s="3343">
        <f t="shared" ref="AY18:AY109" si="14">ROUND($AY$6*AZ18/$AZ$5,2)</f>
        <v>0</v>
      </c>
      <c r="AZ18" s="3298">
        <f t="shared" ref="AZ18:AZ109" si="15">BA18+BL18</f>
        <v>0</v>
      </c>
      <c r="BA18" s="3298">
        <f t="shared" ref="BA18:BA109" si="16">SUM(BB18:BK18)</f>
        <v>0</v>
      </c>
      <c r="BB18" s="3298">
        <f t="shared" ref="BB18:BB109" si="17">IF($D18="是",I18-J18,0)</f>
        <v>0</v>
      </c>
      <c r="BC18" s="3298">
        <f t="shared" ref="BC18:BC109" si="18">IF($D18="是",K18-L18,0)</f>
        <v>0</v>
      </c>
      <c r="BD18" s="3298">
        <f t="shared" ref="BD18:BD109" si="19">IF($D18="是",M18-N18,0)</f>
        <v>0</v>
      </c>
      <c r="BE18" s="3298">
        <f t="shared" ref="BE18:BE109" si="20">IF($D18="是",O18-P18,0)</f>
        <v>0</v>
      </c>
      <c r="BF18" s="3298">
        <f t="shared" ref="BF18:BF109" si="21">IF($D18="是",Q18-R18,0)</f>
        <v>0</v>
      </c>
      <c r="BG18" s="3298">
        <f t="shared" ref="BG18:BG109" si="22">IF($D18="是",S18-T18,0)</f>
        <v>0</v>
      </c>
      <c r="BH18" s="3298">
        <f t="shared" ref="BH18:BH109" si="23">IF($D18="是",U18-V18,0)</f>
        <v>0</v>
      </c>
      <c r="BI18" s="3298">
        <f t="shared" ref="BI18:BI109" si="24">IF($D18="是",W18-X18,0)</f>
        <v>0</v>
      </c>
      <c r="BJ18" s="3298">
        <f t="shared" ref="BJ18:BJ109" si="25">IF($D18="是",Y18-Z18,0)</f>
        <v>0</v>
      </c>
      <c r="BK18" s="3298">
        <f t="shared" ref="BK18:BK109" si="26">IF($D18="是",AA18-AB18,0)</f>
        <v>0</v>
      </c>
      <c r="BL18" s="3298">
        <f t="shared" ref="BL18:BL109" si="27">SUM(BM18:BT18)</f>
        <v>0</v>
      </c>
      <c r="BM18" s="3298">
        <f t="shared" ref="BM18:BM109" si="28">IF($D18="是",AD18-AE18,0)</f>
        <v>0</v>
      </c>
      <c r="BN18" s="3298">
        <f t="shared" ref="BN18:BN109" si="29">IF($D18="是",AF18-AG18,0)</f>
        <v>0</v>
      </c>
      <c r="BO18" s="3298">
        <f t="shared" ref="BO18:BO109" si="30">IF($D18="是",AH18-AI18,0)</f>
        <v>0</v>
      </c>
      <c r="BP18" s="3298">
        <f t="shared" ref="BP18:BP109" si="31">IF($D18="是",AJ18-AK18,0)</f>
        <v>0</v>
      </c>
      <c r="BQ18" s="3298">
        <f t="shared" ref="BQ18:BQ109" si="32">IF($D18="是",AL18-AM18,0)</f>
        <v>0</v>
      </c>
      <c r="BR18" s="3298">
        <f t="shared" ref="BR18:BR109" si="33">IF($D18="是",AN18-AO18,0)</f>
        <v>0</v>
      </c>
      <c r="BS18" s="3298">
        <f t="shared" ref="BS18:BS109" si="34">IF($D18="是",AP18-AQ18,0)</f>
        <v>0</v>
      </c>
      <c r="BT18" s="3350">
        <f t="shared" ref="BT18:BT109" si="35">IF($D18="是",AR18-AS18,0)</f>
        <v>0</v>
      </c>
    </row>
    <row r="19" spans="1:72">
      <c r="A19" s="1407"/>
      <c r="B19" s="3296"/>
      <c r="C19" s="3296"/>
      <c r="D19" s="3297"/>
      <c r="E19" s="3298">
        <f t="shared" si="7"/>
        <v>0</v>
      </c>
      <c r="F19" s="3299"/>
      <c r="G19" s="3300">
        <f t="shared" si="8"/>
        <v>0</v>
      </c>
      <c r="H19" s="3301">
        <f t="shared" si="9"/>
        <v>0</v>
      </c>
      <c r="I19" s="3308"/>
      <c r="J19" s="3308"/>
      <c r="K19" s="3308"/>
      <c r="L19" s="3308"/>
      <c r="M19" s="3308"/>
      <c r="N19" s="3308"/>
      <c r="O19" s="3308"/>
      <c r="P19" s="3308"/>
      <c r="Q19" s="3308"/>
      <c r="R19" s="3308"/>
      <c r="S19" s="3308"/>
      <c r="T19" s="3308"/>
      <c r="U19" s="3308"/>
      <c r="V19" s="3308"/>
      <c r="W19" s="3308"/>
      <c r="X19" s="3308"/>
      <c r="Y19" s="3308"/>
      <c r="Z19" s="3308"/>
      <c r="AA19" s="3308"/>
      <c r="AB19" s="3308"/>
      <c r="AC19" s="3298">
        <f t="shared" si="10"/>
        <v>0</v>
      </c>
      <c r="AD19" s="3318"/>
      <c r="AE19" s="3318"/>
      <c r="AF19" s="3318"/>
      <c r="AG19" s="3318"/>
      <c r="AH19" s="3318"/>
      <c r="AI19" s="3318"/>
      <c r="AJ19" s="3318"/>
      <c r="AK19" s="3318"/>
      <c r="AL19" s="3318"/>
      <c r="AM19" s="3318"/>
      <c r="AN19" s="3318"/>
      <c r="AO19" s="3318"/>
      <c r="AP19" s="3318"/>
      <c r="AQ19" s="3318"/>
      <c r="AR19" s="3318"/>
      <c r="AS19" s="3318"/>
      <c r="AT19" s="3328"/>
      <c r="AU19" s="3329"/>
      <c r="AV19" s="963">
        <f t="shared" si="11"/>
        <v>0</v>
      </c>
      <c r="AW19" s="963">
        <f t="shared" si="12"/>
        <v>0</v>
      </c>
      <c r="AX19" s="963">
        <f t="shared" si="13"/>
        <v>0</v>
      </c>
      <c r="AY19" s="3343">
        <f t="shared" si="14"/>
        <v>0</v>
      </c>
      <c r="AZ19" s="3298">
        <f t="shared" si="15"/>
        <v>0</v>
      </c>
      <c r="BA19" s="3298">
        <f t="shared" si="16"/>
        <v>0</v>
      </c>
      <c r="BB19" s="3298">
        <f t="shared" si="17"/>
        <v>0</v>
      </c>
      <c r="BC19" s="3298">
        <f t="shared" si="18"/>
        <v>0</v>
      </c>
      <c r="BD19" s="3298">
        <f t="shared" si="19"/>
        <v>0</v>
      </c>
      <c r="BE19" s="3298">
        <f t="shared" si="20"/>
        <v>0</v>
      </c>
      <c r="BF19" s="3298">
        <f t="shared" si="21"/>
        <v>0</v>
      </c>
      <c r="BG19" s="3298">
        <f t="shared" si="22"/>
        <v>0</v>
      </c>
      <c r="BH19" s="3298">
        <f t="shared" si="23"/>
        <v>0</v>
      </c>
      <c r="BI19" s="3298">
        <f t="shared" si="24"/>
        <v>0</v>
      </c>
      <c r="BJ19" s="3298">
        <f t="shared" si="25"/>
        <v>0</v>
      </c>
      <c r="BK19" s="3298">
        <f t="shared" si="26"/>
        <v>0</v>
      </c>
      <c r="BL19" s="3298">
        <f t="shared" si="27"/>
        <v>0</v>
      </c>
      <c r="BM19" s="3298">
        <f t="shared" si="28"/>
        <v>0</v>
      </c>
      <c r="BN19" s="3298">
        <f t="shared" si="29"/>
        <v>0</v>
      </c>
      <c r="BO19" s="3298">
        <f t="shared" si="30"/>
        <v>0</v>
      </c>
      <c r="BP19" s="3298">
        <f t="shared" si="31"/>
        <v>0</v>
      </c>
      <c r="BQ19" s="3298">
        <f t="shared" si="32"/>
        <v>0</v>
      </c>
      <c r="BR19" s="3298">
        <f t="shared" si="33"/>
        <v>0</v>
      </c>
      <c r="BS19" s="3298">
        <f t="shared" si="34"/>
        <v>0</v>
      </c>
      <c r="BT19" s="3350">
        <f t="shared" si="35"/>
        <v>0</v>
      </c>
    </row>
    <row r="20" spans="1:72">
      <c r="A20" s="1407"/>
      <c r="B20" s="3296"/>
      <c r="C20" s="3296"/>
      <c r="D20" s="3297"/>
      <c r="E20" s="3298">
        <f t="shared" si="7"/>
        <v>0</v>
      </c>
      <c r="F20" s="3299"/>
      <c r="G20" s="3300">
        <f t="shared" si="8"/>
        <v>0</v>
      </c>
      <c r="H20" s="3301">
        <f t="shared" si="9"/>
        <v>0</v>
      </c>
      <c r="I20" s="3308"/>
      <c r="J20" s="3308"/>
      <c r="K20" s="3308"/>
      <c r="L20" s="3308"/>
      <c r="M20" s="3308"/>
      <c r="N20" s="3308"/>
      <c r="O20" s="3308"/>
      <c r="P20" s="3308"/>
      <c r="Q20" s="3308"/>
      <c r="R20" s="3308"/>
      <c r="S20" s="3308"/>
      <c r="T20" s="3308"/>
      <c r="U20" s="3308"/>
      <c r="V20" s="3308"/>
      <c r="W20" s="3308"/>
      <c r="X20" s="3308"/>
      <c r="Y20" s="3308"/>
      <c r="Z20" s="3308"/>
      <c r="AA20" s="3308"/>
      <c r="AB20" s="3308"/>
      <c r="AC20" s="3298">
        <f t="shared" si="10"/>
        <v>0</v>
      </c>
      <c r="AD20" s="3318"/>
      <c r="AE20" s="3318"/>
      <c r="AF20" s="3318"/>
      <c r="AG20" s="3318"/>
      <c r="AH20" s="3318"/>
      <c r="AI20" s="3318"/>
      <c r="AJ20" s="3318"/>
      <c r="AK20" s="3318"/>
      <c r="AL20" s="3318"/>
      <c r="AM20" s="3318"/>
      <c r="AN20" s="3318"/>
      <c r="AO20" s="3318"/>
      <c r="AP20" s="3318"/>
      <c r="AQ20" s="3318"/>
      <c r="AR20" s="3318"/>
      <c r="AS20" s="3318"/>
      <c r="AT20" s="3328"/>
      <c r="AU20" s="3329"/>
      <c r="AV20" s="963">
        <f t="shared" si="11"/>
        <v>0</v>
      </c>
      <c r="AW20" s="963">
        <f t="shared" si="12"/>
        <v>0</v>
      </c>
      <c r="AX20" s="963">
        <f t="shared" si="13"/>
        <v>0</v>
      </c>
      <c r="AY20" s="3343">
        <f t="shared" si="14"/>
        <v>0</v>
      </c>
      <c r="AZ20" s="3298">
        <f t="shared" si="15"/>
        <v>0</v>
      </c>
      <c r="BA20" s="3298">
        <f t="shared" si="16"/>
        <v>0</v>
      </c>
      <c r="BB20" s="3298">
        <f t="shared" si="17"/>
        <v>0</v>
      </c>
      <c r="BC20" s="3298">
        <f t="shared" si="18"/>
        <v>0</v>
      </c>
      <c r="BD20" s="3298">
        <f t="shared" si="19"/>
        <v>0</v>
      </c>
      <c r="BE20" s="3298">
        <f t="shared" si="20"/>
        <v>0</v>
      </c>
      <c r="BF20" s="3298">
        <f t="shared" si="21"/>
        <v>0</v>
      </c>
      <c r="BG20" s="3298">
        <f t="shared" si="22"/>
        <v>0</v>
      </c>
      <c r="BH20" s="3298">
        <f t="shared" si="23"/>
        <v>0</v>
      </c>
      <c r="BI20" s="3298">
        <f t="shared" si="24"/>
        <v>0</v>
      </c>
      <c r="BJ20" s="3298">
        <f t="shared" si="25"/>
        <v>0</v>
      </c>
      <c r="BK20" s="3298">
        <f t="shared" si="26"/>
        <v>0</v>
      </c>
      <c r="BL20" s="3298">
        <f t="shared" si="27"/>
        <v>0</v>
      </c>
      <c r="BM20" s="3298">
        <f t="shared" si="28"/>
        <v>0</v>
      </c>
      <c r="BN20" s="3298">
        <f t="shared" si="29"/>
        <v>0</v>
      </c>
      <c r="BO20" s="3298">
        <f t="shared" si="30"/>
        <v>0</v>
      </c>
      <c r="BP20" s="3298">
        <f t="shared" si="31"/>
        <v>0</v>
      </c>
      <c r="BQ20" s="3298">
        <f t="shared" si="32"/>
        <v>0</v>
      </c>
      <c r="BR20" s="3298">
        <f t="shared" si="33"/>
        <v>0</v>
      </c>
      <c r="BS20" s="3298">
        <f t="shared" si="34"/>
        <v>0</v>
      </c>
      <c r="BT20" s="3350">
        <f t="shared" si="35"/>
        <v>0</v>
      </c>
    </row>
    <row r="21" spans="1:72">
      <c r="A21" s="1407"/>
      <c r="B21" s="3296"/>
      <c r="C21" s="3296"/>
      <c r="D21" s="3297"/>
      <c r="E21" s="3298">
        <f t="shared" si="7"/>
        <v>0</v>
      </c>
      <c r="F21" s="3299"/>
      <c r="G21" s="3300">
        <f t="shared" si="8"/>
        <v>0</v>
      </c>
      <c r="H21" s="3301">
        <f t="shared" si="9"/>
        <v>0</v>
      </c>
      <c r="I21" s="3308"/>
      <c r="J21" s="3308"/>
      <c r="K21" s="3308"/>
      <c r="L21" s="3308"/>
      <c r="M21" s="3308"/>
      <c r="N21" s="3308"/>
      <c r="O21" s="3308"/>
      <c r="P21" s="3308"/>
      <c r="Q21" s="3308"/>
      <c r="R21" s="3308"/>
      <c r="S21" s="3308"/>
      <c r="T21" s="3308"/>
      <c r="U21" s="3308"/>
      <c r="V21" s="3308"/>
      <c r="W21" s="3308"/>
      <c r="X21" s="3308"/>
      <c r="Y21" s="3308"/>
      <c r="Z21" s="3308"/>
      <c r="AA21" s="3308"/>
      <c r="AB21" s="3308"/>
      <c r="AC21" s="3298">
        <f t="shared" si="10"/>
        <v>0</v>
      </c>
      <c r="AD21" s="3318"/>
      <c r="AE21" s="3318"/>
      <c r="AF21" s="3318"/>
      <c r="AG21" s="3318"/>
      <c r="AH21" s="3318"/>
      <c r="AI21" s="3318"/>
      <c r="AJ21" s="3318"/>
      <c r="AK21" s="3318"/>
      <c r="AL21" s="3318"/>
      <c r="AM21" s="3318"/>
      <c r="AN21" s="3318"/>
      <c r="AO21" s="3318"/>
      <c r="AP21" s="3318"/>
      <c r="AQ21" s="3318"/>
      <c r="AR21" s="3318"/>
      <c r="AS21" s="3318"/>
      <c r="AT21" s="3328"/>
      <c r="AU21" s="3329"/>
      <c r="AV21" s="963">
        <f t="shared" si="11"/>
        <v>0</v>
      </c>
      <c r="AW21" s="963">
        <f t="shared" si="12"/>
        <v>0</v>
      </c>
      <c r="AX21" s="963">
        <f t="shared" si="13"/>
        <v>0</v>
      </c>
      <c r="AY21" s="3343">
        <f t="shared" si="14"/>
        <v>0</v>
      </c>
      <c r="AZ21" s="3298">
        <f t="shared" si="15"/>
        <v>0</v>
      </c>
      <c r="BA21" s="3298">
        <f t="shared" si="16"/>
        <v>0</v>
      </c>
      <c r="BB21" s="3298">
        <f t="shared" si="17"/>
        <v>0</v>
      </c>
      <c r="BC21" s="3298">
        <f t="shared" si="18"/>
        <v>0</v>
      </c>
      <c r="BD21" s="3298">
        <f t="shared" si="19"/>
        <v>0</v>
      </c>
      <c r="BE21" s="3298">
        <f t="shared" si="20"/>
        <v>0</v>
      </c>
      <c r="BF21" s="3298">
        <f t="shared" si="21"/>
        <v>0</v>
      </c>
      <c r="BG21" s="3298">
        <f t="shared" si="22"/>
        <v>0</v>
      </c>
      <c r="BH21" s="3298">
        <f t="shared" si="23"/>
        <v>0</v>
      </c>
      <c r="BI21" s="3298">
        <f t="shared" si="24"/>
        <v>0</v>
      </c>
      <c r="BJ21" s="3298">
        <f t="shared" si="25"/>
        <v>0</v>
      </c>
      <c r="BK21" s="3298">
        <f t="shared" si="26"/>
        <v>0</v>
      </c>
      <c r="BL21" s="3298">
        <f t="shared" si="27"/>
        <v>0</v>
      </c>
      <c r="BM21" s="3298">
        <f t="shared" si="28"/>
        <v>0</v>
      </c>
      <c r="BN21" s="3298">
        <f t="shared" si="29"/>
        <v>0</v>
      </c>
      <c r="BO21" s="3298">
        <f t="shared" si="30"/>
        <v>0</v>
      </c>
      <c r="BP21" s="3298">
        <f t="shared" si="31"/>
        <v>0</v>
      </c>
      <c r="BQ21" s="3298">
        <f t="shared" si="32"/>
        <v>0</v>
      </c>
      <c r="BR21" s="3298">
        <f t="shared" si="33"/>
        <v>0</v>
      </c>
      <c r="BS21" s="3298">
        <f t="shared" si="34"/>
        <v>0</v>
      </c>
      <c r="BT21" s="3350">
        <f t="shared" si="35"/>
        <v>0</v>
      </c>
    </row>
    <row r="22" spans="1:72">
      <c r="A22" s="1407"/>
      <c r="B22" s="3296"/>
      <c r="C22" s="3296"/>
      <c r="D22" s="3297"/>
      <c r="E22" s="3298">
        <f t="shared" si="7"/>
        <v>0</v>
      </c>
      <c r="F22" s="3299"/>
      <c r="G22" s="3300">
        <f t="shared" si="8"/>
        <v>0</v>
      </c>
      <c r="H22" s="3301">
        <f t="shared" si="9"/>
        <v>0</v>
      </c>
      <c r="I22" s="3308"/>
      <c r="J22" s="3308"/>
      <c r="K22" s="3308"/>
      <c r="L22" s="3308"/>
      <c r="M22" s="3308"/>
      <c r="N22" s="3308"/>
      <c r="O22" s="3308"/>
      <c r="P22" s="3308"/>
      <c r="Q22" s="3308"/>
      <c r="R22" s="3308"/>
      <c r="S22" s="3308"/>
      <c r="T22" s="3308"/>
      <c r="U22" s="3308"/>
      <c r="V22" s="3308"/>
      <c r="W22" s="3308"/>
      <c r="X22" s="3308"/>
      <c r="Y22" s="3308"/>
      <c r="Z22" s="3308"/>
      <c r="AA22" s="3308"/>
      <c r="AB22" s="3308"/>
      <c r="AC22" s="3298">
        <f t="shared" si="10"/>
        <v>0</v>
      </c>
      <c r="AD22" s="3318"/>
      <c r="AE22" s="3318"/>
      <c r="AF22" s="3318"/>
      <c r="AG22" s="3318"/>
      <c r="AH22" s="3318"/>
      <c r="AI22" s="3318"/>
      <c r="AJ22" s="3318"/>
      <c r="AK22" s="3318"/>
      <c r="AL22" s="3318"/>
      <c r="AM22" s="3318"/>
      <c r="AN22" s="3318"/>
      <c r="AO22" s="3318"/>
      <c r="AP22" s="3318"/>
      <c r="AQ22" s="3318"/>
      <c r="AR22" s="3318"/>
      <c r="AS22" s="3318"/>
      <c r="AT22" s="3328"/>
      <c r="AU22" s="3329"/>
      <c r="AV22" s="963">
        <f t="shared" si="11"/>
        <v>0</v>
      </c>
      <c r="AW22" s="963">
        <f t="shared" si="12"/>
        <v>0</v>
      </c>
      <c r="AX22" s="963">
        <f t="shared" si="13"/>
        <v>0</v>
      </c>
      <c r="AY22" s="3343">
        <f t="shared" si="14"/>
        <v>0</v>
      </c>
      <c r="AZ22" s="3298">
        <f t="shared" si="15"/>
        <v>0</v>
      </c>
      <c r="BA22" s="3298">
        <f t="shared" si="16"/>
        <v>0</v>
      </c>
      <c r="BB22" s="3298">
        <f t="shared" si="17"/>
        <v>0</v>
      </c>
      <c r="BC22" s="3298">
        <f t="shared" si="18"/>
        <v>0</v>
      </c>
      <c r="BD22" s="3298">
        <f t="shared" si="19"/>
        <v>0</v>
      </c>
      <c r="BE22" s="3298">
        <f t="shared" si="20"/>
        <v>0</v>
      </c>
      <c r="BF22" s="3298">
        <f t="shared" si="21"/>
        <v>0</v>
      </c>
      <c r="BG22" s="3298">
        <f t="shared" si="22"/>
        <v>0</v>
      </c>
      <c r="BH22" s="3298">
        <f t="shared" si="23"/>
        <v>0</v>
      </c>
      <c r="BI22" s="3298">
        <f t="shared" si="24"/>
        <v>0</v>
      </c>
      <c r="BJ22" s="3298">
        <f t="shared" si="25"/>
        <v>0</v>
      </c>
      <c r="BK22" s="3298">
        <f t="shared" si="26"/>
        <v>0</v>
      </c>
      <c r="BL22" s="3298">
        <f t="shared" si="27"/>
        <v>0</v>
      </c>
      <c r="BM22" s="3298">
        <f t="shared" si="28"/>
        <v>0</v>
      </c>
      <c r="BN22" s="3298">
        <f t="shared" si="29"/>
        <v>0</v>
      </c>
      <c r="BO22" s="3298">
        <f t="shared" si="30"/>
        <v>0</v>
      </c>
      <c r="BP22" s="3298">
        <f t="shared" si="31"/>
        <v>0</v>
      </c>
      <c r="BQ22" s="3298">
        <f t="shared" si="32"/>
        <v>0</v>
      </c>
      <c r="BR22" s="3298">
        <f t="shared" si="33"/>
        <v>0</v>
      </c>
      <c r="BS22" s="3298">
        <f t="shared" si="34"/>
        <v>0</v>
      </c>
      <c r="BT22" s="3350">
        <f t="shared" si="35"/>
        <v>0</v>
      </c>
    </row>
    <row r="23" spans="1:72">
      <c r="A23" s="1407"/>
      <c r="B23" s="3296"/>
      <c r="C23" s="3296"/>
      <c r="D23" s="3297"/>
      <c r="E23" s="3298">
        <f t="shared" si="7"/>
        <v>0</v>
      </c>
      <c r="F23" s="3299"/>
      <c r="G23" s="3300">
        <f t="shared" si="8"/>
        <v>0</v>
      </c>
      <c r="H23" s="3301">
        <f t="shared" si="9"/>
        <v>0</v>
      </c>
      <c r="I23" s="3308"/>
      <c r="J23" s="3308"/>
      <c r="K23" s="3308"/>
      <c r="L23" s="3308"/>
      <c r="M23" s="3308"/>
      <c r="N23" s="3308"/>
      <c r="O23" s="3308"/>
      <c r="P23" s="3308"/>
      <c r="Q23" s="3308"/>
      <c r="R23" s="3308"/>
      <c r="S23" s="3308"/>
      <c r="T23" s="3308"/>
      <c r="U23" s="3308"/>
      <c r="V23" s="3308"/>
      <c r="W23" s="3308"/>
      <c r="X23" s="3308"/>
      <c r="Y23" s="3308"/>
      <c r="Z23" s="3308"/>
      <c r="AA23" s="3308"/>
      <c r="AB23" s="3308"/>
      <c r="AC23" s="3298">
        <f t="shared" si="10"/>
        <v>0</v>
      </c>
      <c r="AD23" s="3318"/>
      <c r="AE23" s="3318"/>
      <c r="AF23" s="3318"/>
      <c r="AG23" s="3318"/>
      <c r="AH23" s="3318"/>
      <c r="AI23" s="3318"/>
      <c r="AJ23" s="3318"/>
      <c r="AK23" s="3318"/>
      <c r="AL23" s="3318"/>
      <c r="AM23" s="3318"/>
      <c r="AN23" s="3318"/>
      <c r="AO23" s="3318"/>
      <c r="AP23" s="3318"/>
      <c r="AQ23" s="3318"/>
      <c r="AR23" s="3318"/>
      <c r="AS23" s="3318"/>
      <c r="AT23" s="3328"/>
      <c r="AU23" s="3329"/>
      <c r="AV23" s="963">
        <f t="shared" si="11"/>
        <v>0</v>
      </c>
      <c r="AW23" s="963">
        <f t="shared" si="12"/>
        <v>0</v>
      </c>
      <c r="AX23" s="963">
        <f t="shared" si="13"/>
        <v>0</v>
      </c>
      <c r="AY23" s="3343">
        <f t="shared" si="14"/>
        <v>0</v>
      </c>
      <c r="AZ23" s="3298">
        <f t="shared" si="15"/>
        <v>0</v>
      </c>
      <c r="BA23" s="3298">
        <f t="shared" si="16"/>
        <v>0</v>
      </c>
      <c r="BB23" s="3298">
        <f t="shared" si="17"/>
        <v>0</v>
      </c>
      <c r="BC23" s="3298">
        <f t="shared" si="18"/>
        <v>0</v>
      </c>
      <c r="BD23" s="3298">
        <f t="shared" si="19"/>
        <v>0</v>
      </c>
      <c r="BE23" s="3298">
        <f t="shared" si="20"/>
        <v>0</v>
      </c>
      <c r="BF23" s="3298">
        <f t="shared" si="21"/>
        <v>0</v>
      </c>
      <c r="BG23" s="3298">
        <f t="shared" si="22"/>
        <v>0</v>
      </c>
      <c r="BH23" s="3298">
        <f t="shared" si="23"/>
        <v>0</v>
      </c>
      <c r="BI23" s="3298">
        <f t="shared" si="24"/>
        <v>0</v>
      </c>
      <c r="BJ23" s="3298">
        <f t="shared" si="25"/>
        <v>0</v>
      </c>
      <c r="BK23" s="3298">
        <f t="shared" si="26"/>
        <v>0</v>
      </c>
      <c r="BL23" s="3298">
        <f t="shared" si="27"/>
        <v>0</v>
      </c>
      <c r="BM23" s="3298">
        <f t="shared" si="28"/>
        <v>0</v>
      </c>
      <c r="BN23" s="3298">
        <f t="shared" si="29"/>
        <v>0</v>
      </c>
      <c r="BO23" s="3298">
        <f t="shared" si="30"/>
        <v>0</v>
      </c>
      <c r="BP23" s="3298">
        <f t="shared" si="31"/>
        <v>0</v>
      </c>
      <c r="BQ23" s="3298">
        <f t="shared" si="32"/>
        <v>0</v>
      </c>
      <c r="BR23" s="3298">
        <f t="shared" si="33"/>
        <v>0</v>
      </c>
      <c r="BS23" s="3298">
        <f t="shared" si="34"/>
        <v>0</v>
      </c>
      <c r="BT23" s="3350">
        <f t="shared" si="35"/>
        <v>0</v>
      </c>
    </row>
    <row r="24" spans="1:72">
      <c r="A24" s="1407"/>
      <c r="B24" s="3296"/>
      <c r="C24" s="3296"/>
      <c r="D24" s="3297"/>
      <c r="E24" s="3298">
        <f t="shared" si="7"/>
        <v>0</v>
      </c>
      <c r="F24" s="3299"/>
      <c r="G24" s="3300">
        <f t="shared" si="8"/>
        <v>0</v>
      </c>
      <c r="H24" s="3301">
        <f t="shared" si="9"/>
        <v>0</v>
      </c>
      <c r="I24" s="3308"/>
      <c r="J24" s="3308"/>
      <c r="K24" s="3308"/>
      <c r="L24" s="3308"/>
      <c r="M24" s="3308"/>
      <c r="N24" s="3308"/>
      <c r="O24" s="3308"/>
      <c r="P24" s="3308"/>
      <c r="Q24" s="3308"/>
      <c r="R24" s="3308"/>
      <c r="S24" s="3308"/>
      <c r="T24" s="3308"/>
      <c r="U24" s="3308"/>
      <c r="V24" s="3308"/>
      <c r="W24" s="3308"/>
      <c r="X24" s="3308"/>
      <c r="Y24" s="3308"/>
      <c r="Z24" s="3308"/>
      <c r="AA24" s="3308"/>
      <c r="AB24" s="3308"/>
      <c r="AC24" s="3298">
        <f t="shared" si="10"/>
        <v>0</v>
      </c>
      <c r="AD24" s="3318"/>
      <c r="AE24" s="3318"/>
      <c r="AF24" s="3318"/>
      <c r="AG24" s="3318"/>
      <c r="AH24" s="3318"/>
      <c r="AI24" s="3318"/>
      <c r="AJ24" s="3318"/>
      <c r="AK24" s="3318"/>
      <c r="AL24" s="3318"/>
      <c r="AM24" s="3318"/>
      <c r="AN24" s="3318"/>
      <c r="AO24" s="3318"/>
      <c r="AP24" s="3318"/>
      <c r="AQ24" s="3318"/>
      <c r="AR24" s="3318"/>
      <c r="AS24" s="3318"/>
      <c r="AT24" s="3328"/>
      <c r="AU24" s="3329"/>
      <c r="AV24" s="963">
        <f t="shared" si="11"/>
        <v>0</v>
      </c>
      <c r="AW24" s="963">
        <f t="shared" si="12"/>
        <v>0</v>
      </c>
      <c r="AX24" s="963">
        <f t="shared" si="13"/>
        <v>0</v>
      </c>
      <c r="AY24" s="3343">
        <f t="shared" si="14"/>
        <v>0</v>
      </c>
      <c r="AZ24" s="3298">
        <f t="shared" si="15"/>
        <v>0</v>
      </c>
      <c r="BA24" s="3298">
        <f t="shared" si="16"/>
        <v>0</v>
      </c>
      <c r="BB24" s="3298">
        <f t="shared" si="17"/>
        <v>0</v>
      </c>
      <c r="BC24" s="3298">
        <f t="shared" si="18"/>
        <v>0</v>
      </c>
      <c r="BD24" s="3298">
        <f t="shared" si="19"/>
        <v>0</v>
      </c>
      <c r="BE24" s="3298">
        <f t="shared" si="20"/>
        <v>0</v>
      </c>
      <c r="BF24" s="3298">
        <f t="shared" si="21"/>
        <v>0</v>
      </c>
      <c r="BG24" s="3298">
        <f t="shared" si="22"/>
        <v>0</v>
      </c>
      <c r="BH24" s="3298">
        <f t="shared" si="23"/>
        <v>0</v>
      </c>
      <c r="BI24" s="3298">
        <f t="shared" si="24"/>
        <v>0</v>
      </c>
      <c r="BJ24" s="3298">
        <f t="shared" si="25"/>
        <v>0</v>
      </c>
      <c r="BK24" s="3298">
        <f t="shared" si="26"/>
        <v>0</v>
      </c>
      <c r="BL24" s="3298">
        <f t="shared" si="27"/>
        <v>0</v>
      </c>
      <c r="BM24" s="3298">
        <f t="shared" si="28"/>
        <v>0</v>
      </c>
      <c r="BN24" s="3298">
        <f t="shared" si="29"/>
        <v>0</v>
      </c>
      <c r="BO24" s="3298">
        <f t="shared" si="30"/>
        <v>0</v>
      </c>
      <c r="BP24" s="3298">
        <f t="shared" si="31"/>
        <v>0</v>
      </c>
      <c r="BQ24" s="3298">
        <f t="shared" si="32"/>
        <v>0</v>
      </c>
      <c r="BR24" s="3298">
        <f t="shared" si="33"/>
        <v>0</v>
      </c>
      <c r="BS24" s="3298">
        <f t="shared" si="34"/>
        <v>0</v>
      </c>
      <c r="BT24" s="3350">
        <f t="shared" si="35"/>
        <v>0</v>
      </c>
    </row>
    <row r="25" spans="1:72">
      <c r="A25" s="1407"/>
      <c r="B25" s="3296"/>
      <c r="C25" s="3296"/>
      <c r="D25" s="3297"/>
      <c r="E25" s="3298">
        <f t="shared" si="7"/>
        <v>0</v>
      </c>
      <c r="F25" s="3299"/>
      <c r="G25" s="3300">
        <f t="shared" si="8"/>
        <v>0</v>
      </c>
      <c r="H25" s="3301">
        <f t="shared" si="9"/>
        <v>0</v>
      </c>
      <c r="I25" s="3308"/>
      <c r="J25" s="3308"/>
      <c r="K25" s="3308"/>
      <c r="L25" s="3308"/>
      <c r="M25" s="3308"/>
      <c r="N25" s="3308"/>
      <c r="O25" s="3308"/>
      <c r="P25" s="3308"/>
      <c r="Q25" s="3308"/>
      <c r="R25" s="3308"/>
      <c r="S25" s="3308"/>
      <c r="T25" s="3308"/>
      <c r="U25" s="3308"/>
      <c r="V25" s="3308"/>
      <c r="W25" s="3308"/>
      <c r="X25" s="3308"/>
      <c r="Y25" s="3308"/>
      <c r="Z25" s="3308"/>
      <c r="AA25" s="3308"/>
      <c r="AB25" s="3308"/>
      <c r="AC25" s="3298">
        <f t="shared" si="10"/>
        <v>0</v>
      </c>
      <c r="AD25" s="3318"/>
      <c r="AE25" s="3318"/>
      <c r="AF25" s="3318"/>
      <c r="AG25" s="3318"/>
      <c r="AH25" s="3318"/>
      <c r="AI25" s="3318"/>
      <c r="AJ25" s="3318"/>
      <c r="AK25" s="3318"/>
      <c r="AL25" s="3318"/>
      <c r="AM25" s="3318"/>
      <c r="AN25" s="3318"/>
      <c r="AO25" s="3318"/>
      <c r="AP25" s="3318"/>
      <c r="AQ25" s="3318"/>
      <c r="AR25" s="3318"/>
      <c r="AS25" s="3318"/>
      <c r="AT25" s="3328"/>
      <c r="AU25" s="3329"/>
      <c r="AV25" s="963">
        <f t="shared" si="11"/>
        <v>0</v>
      </c>
      <c r="AW25" s="963">
        <f t="shared" si="12"/>
        <v>0</v>
      </c>
      <c r="AX25" s="963">
        <f t="shared" si="13"/>
        <v>0</v>
      </c>
      <c r="AY25" s="3343">
        <f t="shared" si="14"/>
        <v>0</v>
      </c>
      <c r="AZ25" s="3298">
        <f t="shared" si="15"/>
        <v>0</v>
      </c>
      <c r="BA25" s="3298">
        <f t="shared" si="16"/>
        <v>0</v>
      </c>
      <c r="BB25" s="3298">
        <f t="shared" si="17"/>
        <v>0</v>
      </c>
      <c r="BC25" s="3298">
        <f t="shared" si="18"/>
        <v>0</v>
      </c>
      <c r="BD25" s="3298">
        <f t="shared" si="19"/>
        <v>0</v>
      </c>
      <c r="BE25" s="3298">
        <f t="shared" si="20"/>
        <v>0</v>
      </c>
      <c r="BF25" s="3298">
        <f t="shared" si="21"/>
        <v>0</v>
      </c>
      <c r="BG25" s="3298">
        <f t="shared" si="22"/>
        <v>0</v>
      </c>
      <c r="BH25" s="3298">
        <f t="shared" si="23"/>
        <v>0</v>
      </c>
      <c r="BI25" s="3298">
        <f t="shared" si="24"/>
        <v>0</v>
      </c>
      <c r="BJ25" s="3298">
        <f t="shared" si="25"/>
        <v>0</v>
      </c>
      <c r="BK25" s="3298">
        <f t="shared" si="26"/>
        <v>0</v>
      </c>
      <c r="BL25" s="3298">
        <f t="shared" si="27"/>
        <v>0</v>
      </c>
      <c r="BM25" s="3298">
        <f t="shared" si="28"/>
        <v>0</v>
      </c>
      <c r="BN25" s="3298">
        <f t="shared" si="29"/>
        <v>0</v>
      </c>
      <c r="BO25" s="3298">
        <f t="shared" si="30"/>
        <v>0</v>
      </c>
      <c r="BP25" s="3298">
        <f t="shared" si="31"/>
        <v>0</v>
      </c>
      <c r="BQ25" s="3298">
        <f t="shared" si="32"/>
        <v>0</v>
      </c>
      <c r="BR25" s="3298">
        <f t="shared" si="33"/>
        <v>0</v>
      </c>
      <c r="BS25" s="3298">
        <f t="shared" si="34"/>
        <v>0</v>
      </c>
      <c r="BT25" s="3350">
        <f t="shared" si="35"/>
        <v>0</v>
      </c>
    </row>
    <row r="26" spans="1:72">
      <c r="A26" s="1407"/>
      <c r="B26" s="3296"/>
      <c r="C26" s="3296"/>
      <c r="D26" s="3297"/>
      <c r="E26" s="3298">
        <f t="shared" si="7"/>
        <v>0</v>
      </c>
      <c r="F26" s="3299"/>
      <c r="G26" s="3300">
        <f t="shared" si="8"/>
        <v>0</v>
      </c>
      <c r="H26" s="3301">
        <f t="shared" si="9"/>
        <v>0</v>
      </c>
      <c r="I26" s="3308"/>
      <c r="J26" s="3308"/>
      <c r="K26" s="3308"/>
      <c r="L26" s="3308"/>
      <c r="M26" s="3308"/>
      <c r="N26" s="3308"/>
      <c r="O26" s="3308"/>
      <c r="P26" s="3308"/>
      <c r="Q26" s="3308"/>
      <c r="R26" s="3308"/>
      <c r="S26" s="3308"/>
      <c r="T26" s="3308"/>
      <c r="U26" s="3308"/>
      <c r="V26" s="3308"/>
      <c r="W26" s="3308"/>
      <c r="X26" s="3308"/>
      <c r="Y26" s="3308"/>
      <c r="Z26" s="3308"/>
      <c r="AA26" s="3308"/>
      <c r="AB26" s="3308"/>
      <c r="AC26" s="3298">
        <f t="shared" si="10"/>
        <v>0</v>
      </c>
      <c r="AD26" s="3318"/>
      <c r="AE26" s="3318"/>
      <c r="AF26" s="3318"/>
      <c r="AG26" s="3318"/>
      <c r="AH26" s="3318"/>
      <c r="AI26" s="3318"/>
      <c r="AJ26" s="3318"/>
      <c r="AK26" s="3318"/>
      <c r="AL26" s="3318"/>
      <c r="AM26" s="3318"/>
      <c r="AN26" s="3318"/>
      <c r="AO26" s="3318"/>
      <c r="AP26" s="3318"/>
      <c r="AQ26" s="3318"/>
      <c r="AR26" s="3318"/>
      <c r="AS26" s="3318"/>
      <c r="AT26" s="3328"/>
      <c r="AU26" s="3329"/>
      <c r="AV26" s="963">
        <f t="shared" si="11"/>
        <v>0</v>
      </c>
      <c r="AW26" s="963">
        <f t="shared" si="12"/>
        <v>0</v>
      </c>
      <c r="AX26" s="963">
        <f t="shared" si="13"/>
        <v>0</v>
      </c>
      <c r="AY26" s="3343">
        <f t="shared" si="14"/>
        <v>0</v>
      </c>
      <c r="AZ26" s="3298">
        <f t="shared" si="15"/>
        <v>0</v>
      </c>
      <c r="BA26" s="3298">
        <f t="shared" si="16"/>
        <v>0</v>
      </c>
      <c r="BB26" s="3298">
        <f t="shared" si="17"/>
        <v>0</v>
      </c>
      <c r="BC26" s="3298">
        <f t="shared" si="18"/>
        <v>0</v>
      </c>
      <c r="BD26" s="3298">
        <f t="shared" si="19"/>
        <v>0</v>
      </c>
      <c r="BE26" s="3298">
        <f t="shared" si="20"/>
        <v>0</v>
      </c>
      <c r="BF26" s="3298">
        <f t="shared" si="21"/>
        <v>0</v>
      </c>
      <c r="BG26" s="3298">
        <f t="shared" si="22"/>
        <v>0</v>
      </c>
      <c r="BH26" s="3298">
        <f t="shared" si="23"/>
        <v>0</v>
      </c>
      <c r="BI26" s="3298">
        <f t="shared" si="24"/>
        <v>0</v>
      </c>
      <c r="BJ26" s="3298">
        <f t="shared" si="25"/>
        <v>0</v>
      </c>
      <c r="BK26" s="3298">
        <f t="shared" si="26"/>
        <v>0</v>
      </c>
      <c r="BL26" s="3298">
        <f t="shared" si="27"/>
        <v>0</v>
      </c>
      <c r="BM26" s="3298">
        <f t="shared" si="28"/>
        <v>0</v>
      </c>
      <c r="BN26" s="3298">
        <f t="shared" si="29"/>
        <v>0</v>
      </c>
      <c r="BO26" s="3298">
        <f t="shared" si="30"/>
        <v>0</v>
      </c>
      <c r="BP26" s="3298">
        <f t="shared" si="31"/>
        <v>0</v>
      </c>
      <c r="BQ26" s="3298">
        <f t="shared" si="32"/>
        <v>0</v>
      </c>
      <c r="BR26" s="3298">
        <f t="shared" si="33"/>
        <v>0</v>
      </c>
      <c r="BS26" s="3298">
        <f t="shared" si="34"/>
        <v>0</v>
      </c>
      <c r="BT26" s="3350">
        <f t="shared" si="35"/>
        <v>0</v>
      </c>
    </row>
    <row r="27" spans="1:72">
      <c r="A27" s="1407"/>
      <c r="B27" s="3296"/>
      <c r="C27" s="3296"/>
      <c r="D27" s="3297"/>
      <c r="E27" s="3298">
        <f t="shared" si="7"/>
        <v>0</v>
      </c>
      <c r="F27" s="3299"/>
      <c r="G27" s="3300">
        <f t="shared" si="8"/>
        <v>0</v>
      </c>
      <c r="H27" s="3301">
        <f t="shared" si="9"/>
        <v>0</v>
      </c>
      <c r="I27" s="3308"/>
      <c r="J27" s="3308"/>
      <c r="K27" s="3308"/>
      <c r="L27" s="3308"/>
      <c r="M27" s="3308"/>
      <c r="N27" s="3308"/>
      <c r="O27" s="3308"/>
      <c r="P27" s="3308"/>
      <c r="Q27" s="3308"/>
      <c r="R27" s="3308"/>
      <c r="S27" s="3308"/>
      <c r="T27" s="3308"/>
      <c r="U27" s="3308"/>
      <c r="V27" s="3308"/>
      <c r="W27" s="3308"/>
      <c r="X27" s="3308"/>
      <c r="Y27" s="3308"/>
      <c r="Z27" s="3308"/>
      <c r="AA27" s="3308"/>
      <c r="AB27" s="3308"/>
      <c r="AC27" s="3298">
        <f t="shared" si="10"/>
        <v>0</v>
      </c>
      <c r="AD27" s="3318"/>
      <c r="AE27" s="3318"/>
      <c r="AF27" s="3318"/>
      <c r="AG27" s="3318"/>
      <c r="AH27" s="3318"/>
      <c r="AI27" s="3318"/>
      <c r="AJ27" s="3318"/>
      <c r="AK27" s="3318"/>
      <c r="AL27" s="3318"/>
      <c r="AM27" s="3318"/>
      <c r="AN27" s="3318"/>
      <c r="AO27" s="3318"/>
      <c r="AP27" s="3318"/>
      <c r="AQ27" s="3318"/>
      <c r="AR27" s="3318"/>
      <c r="AS27" s="3318"/>
      <c r="AT27" s="3328"/>
      <c r="AU27" s="3329"/>
      <c r="AV27" s="963">
        <f t="shared" si="11"/>
        <v>0</v>
      </c>
      <c r="AW27" s="963">
        <f t="shared" si="12"/>
        <v>0</v>
      </c>
      <c r="AX27" s="963">
        <f t="shared" si="13"/>
        <v>0</v>
      </c>
      <c r="AY27" s="3343">
        <f t="shared" si="14"/>
        <v>0</v>
      </c>
      <c r="AZ27" s="3298">
        <f t="shared" si="15"/>
        <v>0</v>
      </c>
      <c r="BA27" s="3298">
        <f t="shared" si="16"/>
        <v>0</v>
      </c>
      <c r="BB27" s="3298">
        <f t="shared" si="17"/>
        <v>0</v>
      </c>
      <c r="BC27" s="3298">
        <f t="shared" si="18"/>
        <v>0</v>
      </c>
      <c r="BD27" s="3298">
        <f t="shared" si="19"/>
        <v>0</v>
      </c>
      <c r="BE27" s="3298">
        <f t="shared" si="20"/>
        <v>0</v>
      </c>
      <c r="BF27" s="3298">
        <f t="shared" si="21"/>
        <v>0</v>
      </c>
      <c r="BG27" s="3298">
        <f t="shared" si="22"/>
        <v>0</v>
      </c>
      <c r="BH27" s="3298">
        <f t="shared" si="23"/>
        <v>0</v>
      </c>
      <c r="BI27" s="3298">
        <f t="shared" si="24"/>
        <v>0</v>
      </c>
      <c r="BJ27" s="3298">
        <f t="shared" si="25"/>
        <v>0</v>
      </c>
      <c r="BK27" s="3298">
        <f t="shared" si="26"/>
        <v>0</v>
      </c>
      <c r="BL27" s="3298">
        <f t="shared" si="27"/>
        <v>0</v>
      </c>
      <c r="BM27" s="3298">
        <f t="shared" si="28"/>
        <v>0</v>
      </c>
      <c r="BN27" s="3298">
        <f t="shared" si="29"/>
        <v>0</v>
      </c>
      <c r="BO27" s="3298">
        <f t="shared" si="30"/>
        <v>0</v>
      </c>
      <c r="BP27" s="3298">
        <f t="shared" si="31"/>
        <v>0</v>
      </c>
      <c r="BQ27" s="3298">
        <f t="shared" si="32"/>
        <v>0</v>
      </c>
      <c r="BR27" s="3298">
        <f t="shared" si="33"/>
        <v>0</v>
      </c>
      <c r="BS27" s="3298">
        <f t="shared" si="34"/>
        <v>0</v>
      </c>
      <c r="BT27" s="3350">
        <f t="shared" si="35"/>
        <v>0</v>
      </c>
    </row>
    <row r="28" spans="1:72">
      <c r="A28" s="1407"/>
      <c r="B28" s="3296"/>
      <c r="C28" s="3296"/>
      <c r="D28" s="3297"/>
      <c r="E28" s="3298">
        <f t="shared" si="7"/>
        <v>0</v>
      </c>
      <c r="F28" s="3299"/>
      <c r="G28" s="3300">
        <f t="shared" si="8"/>
        <v>0</v>
      </c>
      <c r="H28" s="3301">
        <f t="shared" si="9"/>
        <v>0</v>
      </c>
      <c r="I28" s="3308"/>
      <c r="J28" s="3308"/>
      <c r="K28" s="3308"/>
      <c r="L28" s="3308"/>
      <c r="M28" s="3308"/>
      <c r="N28" s="3308"/>
      <c r="O28" s="3308"/>
      <c r="P28" s="3308"/>
      <c r="Q28" s="3308"/>
      <c r="R28" s="3308"/>
      <c r="S28" s="3308"/>
      <c r="T28" s="3308"/>
      <c r="U28" s="3308"/>
      <c r="V28" s="3308"/>
      <c r="W28" s="3308"/>
      <c r="X28" s="3308"/>
      <c r="Y28" s="3308"/>
      <c r="Z28" s="3308"/>
      <c r="AA28" s="3308"/>
      <c r="AB28" s="3308"/>
      <c r="AC28" s="3298">
        <f t="shared" si="10"/>
        <v>0</v>
      </c>
      <c r="AD28" s="3318"/>
      <c r="AE28" s="3318"/>
      <c r="AF28" s="3318"/>
      <c r="AG28" s="3318"/>
      <c r="AH28" s="3318"/>
      <c r="AI28" s="3318"/>
      <c r="AJ28" s="3318"/>
      <c r="AK28" s="3318"/>
      <c r="AL28" s="3318"/>
      <c r="AM28" s="3318"/>
      <c r="AN28" s="3318"/>
      <c r="AO28" s="3318"/>
      <c r="AP28" s="3318"/>
      <c r="AQ28" s="3318"/>
      <c r="AR28" s="3318"/>
      <c r="AS28" s="3318"/>
      <c r="AT28" s="3328"/>
      <c r="AU28" s="3329"/>
      <c r="AV28" s="963">
        <f t="shared" si="11"/>
        <v>0</v>
      </c>
      <c r="AW28" s="963">
        <f t="shared" si="12"/>
        <v>0</v>
      </c>
      <c r="AX28" s="963">
        <f t="shared" si="13"/>
        <v>0</v>
      </c>
      <c r="AY28" s="3343">
        <f t="shared" si="14"/>
        <v>0</v>
      </c>
      <c r="AZ28" s="3298">
        <f t="shared" si="15"/>
        <v>0</v>
      </c>
      <c r="BA28" s="3298">
        <f t="shared" si="16"/>
        <v>0</v>
      </c>
      <c r="BB28" s="3298">
        <f t="shared" si="17"/>
        <v>0</v>
      </c>
      <c r="BC28" s="3298">
        <f t="shared" si="18"/>
        <v>0</v>
      </c>
      <c r="BD28" s="3298">
        <f t="shared" si="19"/>
        <v>0</v>
      </c>
      <c r="BE28" s="3298">
        <f t="shared" si="20"/>
        <v>0</v>
      </c>
      <c r="BF28" s="3298">
        <f t="shared" si="21"/>
        <v>0</v>
      </c>
      <c r="BG28" s="3298">
        <f t="shared" si="22"/>
        <v>0</v>
      </c>
      <c r="BH28" s="3298">
        <f t="shared" si="23"/>
        <v>0</v>
      </c>
      <c r="BI28" s="3298">
        <f t="shared" si="24"/>
        <v>0</v>
      </c>
      <c r="BJ28" s="3298">
        <f t="shared" si="25"/>
        <v>0</v>
      </c>
      <c r="BK28" s="3298">
        <f t="shared" si="26"/>
        <v>0</v>
      </c>
      <c r="BL28" s="3298">
        <f t="shared" si="27"/>
        <v>0</v>
      </c>
      <c r="BM28" s="3298">
        <f t="shared" si="28"/>
        <v>0</v>
      </c>
      <c r="BN28" s="3298">
        <f t="shared" si="29"/>
        <v>0</v>
      </c>
      <c r="BO28" s="3298">
        <f t="shared" si="30"/>
        <v>0</v>
      </c>
      <c r="BP28" s="3298">
        <f t="shared" si="31"/>
        <v>0</v>
      </c>
      <c r="BQ28" s="3298">
        <f t="shared" si="32"/>
        <v>0</v>
      </c>
      <c r="BR28" s="3298">
        <f t="shared" si="33"/>
        <v>0</v>
      </c>
      <c r="BS28" s="3298">
        <f t="shared" si="34"/>
        <v>0</v>
      </c>
      <c r="BT28" s="3350">
        <f t="shared" si="35"/>
        <v>0</v>
      </c>
    </row>
    <row r="29" spans="1:72">
      <c r="A29" s="1407"/>
      <c r="B29" s="3296"/>
      <c r="C29" s="3296"/>
      <c r="D29" s="3297"/>
      <c r="E29" s="3298">
        <f t="shared" si="7"/>
        <v>0</v>
      </c>
      <c r="F29" s="3299"/>
      <c r="G29" s="3300">
        <f t="shared" si="8"/>
        <v>0</v>
      </c>
      <c r="H29" s="3301">
        <f t="shared" si="9"/>
        <v>0</v>
      </c>
      <c r="I29" s="3308"/>
      <c r="J29" s="3308"/>
      <c r="K29" s="3308"/>
      <c r="L29" s="3308"/>
      <c r="M29" s="3308"/>
      <c r="N29" s="3308"/>
      <c r="O29" s="3308"/>
      <c r="P29" s="3308"/>
      <c r="Q29" s="3308"/>
      <c r="R29" s="3308"/>
      <c r="S29" s="3308"/>
      <c r="T29" s="3308"/>
      <c r="U29" s="3308"/>
      <c r="V29" s="3308"/>
      <c r="W29" s="3308"/>
      <c r="X29" s="3308"/>
      <c r="Y29" s="3308"/>
      <c r="Z29" s="3308"/>
      <c r="AA29" s="3308"/>
      <c r="AB29" s="3308"/>
      <c r="AC29" s="3298">
        <f t="shared" si="10"/>
        <v>0</v>
      </c>
      <c r="AD29" s="3318"/>
      <c r="AE29" s="3318"/>
      <c r="AF29" s="3318"/>
      <c r="AG29" s="3318"/>
      <c r="AH29" s="3318"/>
      <c r="AI29" s="3318"/>
      <c r="AJ29" s="3318"/>
      <c r="AK29" s="3318"/>
      <c r="AL29" s="3318"/>
      <c r="AM29" s="3318"/>
      <c r="AN29" s="3318"/>
      <c r="AO29" s="3318"/>
      <c r="AP29" s="3318"/>
      <c r="AQ29" s="3318"/>
      <c r="AR29" s="3318"/>
      <c r="AS29" s="3318"/>
      <c r="AT29" s="3328"/>
      <c r="AU29" s="3329"/>
      <c r="AV29" s="963">
        <f t="shared" si="11"/>
        <v>0</v>
      </c>
      <c r="AW29" s="963">
        <f t="shared" si="12"/>
        <v>0</v>
      </c>
      <c r="AX29" s="963">
        <f t="shared" si="13"/>
        <v>0</v>
      </c>
      <c r="AY29" s="3343">
        <f t="shared" si="14"/>
        <v>0</v>
      </c>
      <c r="AZ29" s="3298">
        <f t="shared" si="15"/>
        <v>0</v>
      </c>
      <c r="BA29" s="3298">
        <f t="shared" si="16"/>
        <v>0</v>
      </c>
      <c r="BB29" s="3298">
        <f t="shared" si="17"/>
        <v>0</v>
      </c>
      <c r="BC29" s="3298">
        <f t="shared" si="18"/>
        <v>0</v>
      </c>
      <c r="BD29" s="3298">
        <f t="shared" si="19"/>
        <v>0</v>
      </c>
      <c r="BE29" s="3298">
        <f t="shared" si="20"/>
        <v>0</v>
      </c>
      <c r="BF29" s="3298">
        <f t="shared" si="21"/>
        <v>0</v>
      </c>
      <c r="BG29" s="3298">
        <f t="shared" si="22"/>
        <v>0</v>
      </c>
      <c r="BH29" s="3298">
        <f t="shared" si="23"/>
        <v>0</v>
      </c>
      <c r="BI29" s="3298">
        <f t="shared" si="24"/>
        <v>0</v>
      </c>
      <c r="BJ29" s="3298">
        <f t="shared" si="25"/>
        <v>0</v>
      </c>
      <c r="BK29" s="3298">
        <f t="shared" si="26"/>
        <v>0</v>
      </c>
      <c r="BL29" s="3298">
        <f t="shared" si="27"/>
        <v>0</v>
      </c>
      <c r="BM29" s="3298">
        <f t="shared" si="28"/>
        <v>0</v>
      </c>
      <c r="BN29" s="3298">
        <f t="shared" si="29"/>
        <v>0</v>
      </c>
      <c r="BO29" s="3298">
        <f t="shared" si="30"/>
        <v>0</v>
      </c>
      <c r="BP29" s="3298">
        <f t="shared" si="31"/>
        <v>0</v>
      </c>
      <c r="BQ29" s="3298">
        <f t="shared" si="32"/>
        <v>0</v>
      </c>
      <c r="BR29" s="3298">
        <f t="shared" si="33"/>
        <v>0</v>
      </c>
      <c r="BS29" s="3298">
        <f t="shared" si="34"/>
        <v>0</v>
      </c>
      <c r="BT29" s="3350">
        <f t="shared" si="35"/>
        <v>0</v>
      </c>
    </row>
    <row r="30" spans="1:72">
      <c r="A30" s="1407"/>
      <c r="B30" s="3296"/>
      <c r="C30" s="3296"/>
      <c r="D30" s="3297"/>
      <c r="E30" s="3298">
        <f t="shared" si="7"/>
        <v>0</v>
      </c>
      <c r="F30" s="3299"/>
      <c r="G30" s="3300">
        <f t="shared" si="8"/>
        <v>0</v>
      </c>
      <c r="H30" s="3301">
        <f t="shared" si="9"/>
        <v>0</v>
      </c>
      <c r="I30" s="3308"/>
      <c r="J30" s="3308"/>
      <c r="K30" s="3308"/>
      <c r="L30" s="3308"/>
      <c r="M30" s="3308"/>
      <c r="N30" s="3308"/>
      <c r="O30" s="3308"/>
      <c r="P30" s="3308"/>
      <c r="Q30" s="3308"/>
      <c r="R30" s="3308"/>
      <c r="S30" s="3308"/>
      <c r="T30" s="3308"/>
      <c r="U30" s="3308"/>
      <c r="V30" s="3308"/>
      <c r="W30" s="3308"/>
      <c r="X30" s="3308"/>
      <c r="Y30" s="3308"/>
      <c r="Z30" s="3308"/>
      <c r="AA30" s="3308"/>
      <c r="AB30" s="3308"/>
      <c r="AC30" s="3298">
        <f t="shared" si="10"/>
        <v>0</v>
      </c>
      <c r="AD30" s="3318"/>
      <c r="AE30" s="3318"/>
      <c r="AF30" s="3318"/>
      <c r="AG30" s="3318"/>
      <c r="AH30" s="3318"/>
      <c r="AI30" s="3318"/>
      <c r="AJ30" s="3318"/>
      <c r="AK30" s="3318"/>
      <c r="AL30" s="3318"/>
      <c r="AM30" s="3318"/>
      <c r="AN30" s="3318"/>
      <c r="AO30" s="3318"/>
      <c r="AP30" s="3318"/>
      <c r="AQ30" s="3318"/>
      <c r="AR30" s="3318"/>
      <c r="AS30" s="3318"/>
      <c r="AT30" s="3328"/>
      <c r="AU30" s="3329"/>
      <c r="AV30" s="963">
        <f t="shared" si="11"/>
        <v>0</v>
      </c>
      <c r="AW30" s="963">
        <f t="shared" si="12"/>
        <v>0</v>
      </c>
      <c r="AX30" s="963">
        <f t="shared" si="13"/>
        <v>0</v>
      </c>
      <c r="AY30" s="3343">
        <f t="shared" si="14"/>
        <v>0</v>
      </c>
      <c r="AZ30" s="3298">
        <f t="shared" si="15"/>
        <v>0</v>
      </c>
      <c r="BA30" s="3298">
        <f t="shared" si="16"/>
        <v>0</v>
      </c>
      <c r="BB30" s="3298">
        <f t="shared" si="17"/>
        <v>0</v>
      </c>
      <c r="BC30" s="3298">
        <f t="shared" si="18"/>
        <v>0</v>
      </c>
      <c r="BD30" s="3298">
        <f t="shared" si="19"/>
        <v>0</v>
      </c>
      <c r="BE30" s="3298">
        <f t="shared" si="20"/>
        <v>0</v>
      </c>
      <c r="BF30" s="3298">
        <f t="shared" si="21"/>
        <v>0</v>
      </c>
      <c r="BG30" s="3298">
        <f t="shared" si="22"/>
        <v>0</v>
      </c>
      <c r="BH30" s="3298">
        <f t="shared" si="23"/>
        <v>0</v>
      </c>
      <c r="BI30" s="3298">
        <f t="shared" si="24"/>
        <v>0</v>
      </c>
      <c r="BJ30" s="3298">
        <f t="shared" si="25"/>
        <v>0</v>
      </c>
      <c r="BK30" s="3298">
        <f t="shared" si="26"/>
        <v>0</v>
      </c>
      <c r="BL30" s="3298">
        <f t="shared" si="27"/>
        <v>0</v>
      </c>
      <c r="BM30" s="3298">
        <f t="shared" si="28"/>
        <v>0</v>
      </c>
      <c r="BN30" s="3298">
        <f t="shared" si="29"/>
        <v>0</v>
      </c>
      <c r="BO30" s="3298">
        <f t="shared" si="30"/>
        <v>0</v>
      </c>
      <c r="BP30" s="3298">
        <f t="shared" si="31"/>
        <v>0</v>
      </c>
      <c r="BQ30" s="3298">
        <f t="shared" si="32"/>
        <v>0</v>
      </c>
      <c r="BR30" s="3298">
        <f t="shared" si="33"/>
        <v>0</v>
      </c>
      <c r="BS30" s="3298">
        <f t="shared" si="34"/>
        <v>0</v>
      </c>
      <c r="BT30" s="3350">
        <f t="shared" si="35"/>
        <v>0</v>
      </c>
    </row>
    <row r="31" spans="1:72">
      <c r="A31" s="1407"/>
      <c r="B31" s="3296"/>
      <c r="C31" s="3296"/>
      <c r="D31" s="3297"/>
      <c r="E31" s="3298">
        <f t="shared" si="7"/>
        <v>0</v>
      </c>
      <c r="F31" s="3299"/>
      <c r="G31" s="3300">
        <f t="shared" si="8"/>
        <v>0</v>
      </c>
      <c r="H31" s="3301">
        <f t="shared" si="9"/>
        <v>0</v>
      </c>
      <c r="I31" s="3308"/>
      <c r="J31" s="3308"/>
      <c r="K31" s="3308"/>
      <c r="L31" s="3308"/>
      <c r="M31" s="3308"/>
      <c r="N31" s="3308"/>
      <c r="O31" s="3308"/>
      <c r="P31" s="3308"/>
      <c r="Q31" s="3308"/>
      <c r="R31" s="3308"/>
      <c r="S31" s="3308"/>
      <c r="T31" s="3308"/>
      <c r="U31" s="3308"/>
      <c r="V31" s="3308"/>
      <c r="W31" s="3308"/>
      <c r="X31" s="3308"/>
      <c r="Y31" s="3308"/>
      <c r="Z31" s="3308"/>
      <c r="AA31" s="3308"/>
      <c r="AB31" s="3308"/>
      <c r="AC31" s="3298">
        <f t="shared" si="10"/>
        <v>0</v>
      </c>
      <c r="AD31" s="3318"/>
      <c r="AE31" s="3318"/>
      <c r="AF31" s="3318"/>
      <c r="AG31" s="3318"/>
      <c r="AH31" s="3318"/>
      <c r="AI31" s="3318"/>
      <c r="AJ31" s="3318"/>
      <c r="AK31" s="3318"/>
      <c r="AL31" s="3318"/>
      <c r="AM31" s="3318"/>
      <c r="AN31" s="3318"/>
      <c r="AO31" s="3318"/>
      <c r="AP31" s="3318"/>
      <c r="AQ31" s="3318"/>
      <c r="AR31" s="3318"/>
      <c r="AS31" s="3318"/>
      <c r="AT31" s="3328"/>
      <c r="AU31" s="3329"/>
      <c r="AV31" s="963">
        <f t="shared" si="11"/>
        <v>0</v>
      </c>
      <c r="AW31" s="963">
        <f t="shared" si="12"/>
        <v>0</v>
      </c>
      <c r="AX31" s="963">
        <f t="shared" si="13"/>
        <v>0</v>
      </c>
      <c r="AY31" s="3343">
        <f t="shared" si="14"/>
        <v>0</v>
      </c>
      <c r="AZ31" s="3298">
        <f t="shared" si="15"/>
        <v>0</v>
      </c>
      <c r="BA31" s="3298">
        <f t="shared" si="16"/>
        <v>0</v>
      </c>
      <c r="BB31" s="3298">
        <f t="shared" si="17"/>
        <v>0</v>
      </c>
      <c r="BC31" s="3298">
        <f t="shared" si="18"/>
        <v>0</v>
      </c>
      <c r="BD31" s="3298">
        <f t="shared" si="19"/>
        <v>0</v>
      </c>
      <c r="BE31" s="3298">
        <f t="shared" si="20"/>
        <v>0</v>
      </c>
      <c r="BF31" s="3298">
        <f t="shared" si="21"/>
        <v>0</v>
      </c>
      <c r="BG31" s="3298">
        <f t="shared" si="22"/>
        <v>0</v>
      </c>
      <c r="BH31" s="3298">
        <f t="shared" si="23"/>
        <v>0</v>
      </c>
      <c r="BI31" s="3298">
        <f t="shared" si="24"/>
        <v>0</v>
      </c>
      <c r="BJ31" s="3298">
        <f t="shared" si="25"/>
        <v>0</v>
      </c>
      <c r="BK31" s="3298">
        <f t="shared" si="26"/>
        <v>0</v>
      </c>
      <c r="BL31" s="3298">
        <f t="shared" si="27"/>
        <v>0</v>
      </c>
      <c r="BM31" s="3298">
        <f t="shared" si="28"/>
        <v>0</v>
      </c>
      <c r="BN31" s="3298">
        <f t="shared" si="29"/>
        <v>0</v>
      </c>
      <c r="BO31" s="3298">
        <f t="shared" si="30"/>
        <v>0</v>
      </c>
      <c r="BP31" s="3298">
        <f t="shared" si="31"/>
        <v>0</v>
      </c>
      <c r="BQ31" s="3298">
        <f t="shared" si="32"/>
        <v>0</v>
      </c>
      <c r="BR31" s="3298">
        <f t="shared" si="33"/>
        <v>0</v>
      </c>
      <c r="BS31" s="3298">
        <f t="shared" si="34"/>
        <v>0</v>
      </c>
      <c r="BT31" s="3350">
        <f t="shared" si="35"/>
        <v>0</v>
      </c>
    </row>
    <row r="32" spans="1:72">
      <c r="A32" s="1407"/>
      <c r="B32" s="3296"/>
      <c r="C32" s="3296"/>
      <c r="D32" s="3297"/>
      <c r="E32" s="3298">
        <f t="shared" si="7"/>
        <v>0</v>
      </c>
      <c r="F32" s="3299"/>
      <c r="G32" s="3300">
        <f t="shared" si="8"/>
        <v>0</v>
      </c>
      <c r="H32" s="3301">
        <f t="shared" si="9"/>
        <v>0</v>
      </c>
      <c r="I32" s="3308"/>
      <c r="J32" s="3308"/>
      <c r="K32" s="3308"/>
      <c r="L32" s="3308"/>
      <c r="M32" s="3308"/>
      <c r="N32" s="3308"/>
      <c r="O32" s="3308"/>
      <c r="P32" s="3308"/>
      <c r="Q32" s="3308"/>
      <c r="R32" s="3308"/>
      <c r="S32" s="3308"/>
      <c r="T32" s="3308"/>
      <c r="U32" s="3308"/>
      <c r="V32" s="3308"/>
      <c r="W32" s="3308"/>
      <c r="X32" s="3308"/>
      <c r="Y32" s="3308"/>
      <c r="Z32" s="3308"/>
      <c r="AA32" s="3308"/>
      <c r="AB32" s="3308"/>
      <c r="AC32" s="3298">
        <f t="shared" si="10"/>
        <v>0</v>
      </c>
      <c r="AD32" s="3318"/>
      <c r="AE32" s="3318"/>
      <c r="AF32" s="3318"/>
      <c r="AG32" s="3318"/>
      <c r="AH32" s="3318"/>
      <c r="AI32" s="3318"/>
      <c r="AJ32" s="3318"/>
      <c r="AK32" s="3318"/>
      <c r="AL32" s="3318"/>
      <c r="AM32" s="3318"/>
      <c r="AN32" s="3318"/>
      <c r="AO32" s="3318"/>
      <c r="AP32" s="3318"/>
      <c r="AQ32" s="3318"/>
      <c r="AR32" s="3318"/>
      <c r="AS32" s="3318"/>
      <c r="AT32" s="3328"/>
      <c r="AU32" s="3329"/>
      <c r="AV32" s="963">
        <f t="shared" si="11"/>
        <v>0</v>
      </c>
      <c r="AW32" s="963">
        <f t="shared" si="12"/>
        <v>0</v>
      </c>
      <c r="AX32" s="963">
        <f t="shared" si="13"/>
        <v>0</v>
      </c>
      <c r="AY32" s="3343">
        <f t="shared" si="14"/>
        <v>0</v>
      </c>
      <c r="AZ32" s="3298">
        <f t="shared" si="15"/>
        <v>0</v>
      </c>
      <c r="BA32" s="3298">
        <f t="shared" si="16"/>
        <v>0</v>
      </c>
      <c r="BB32" s="3298">
        <f t="shared" si="17"/>
        <v>0</v>
      </c>
      <c r="BC32" s="3298">
        <f t="shared" si="18"/>
        <v>0</v>
      </c>
      <c r="BD32" s="3298">
        <f t="shared" si="19"/>
        <v>0</v>
      </c>
      <c r="BE32" s="3298">
        <f t="shared" si="20"/>
        <v>0</v>
      </c>
      <c r="BF32" s="3298">
        <f t="shared" si="21"/>
        <v>0</v>
      </c>
      <c r="BG32" s="3298">
        <f t="shared" si="22"/>
        <v>0</v>
      </c>
      <c r="BH32" s="3298">
        <f t="shared" si="23"/>
        <v>0</v>
      </c>
      <c r="BI32" s="3298">
        <f t="shared" si="24"/>
        <v>0</v>
      </c>
      <c r="BJ32" s="3298">
        <f t="shared" si="25"/>
        <v>0</v>
      </c>
      <c r="BK32" s="3298">
        <f t="shared" si="26"/>
        <v>0</v>
      </c>
      <c r="BL32" s="3298">
        <f t="shared" si="27"/>
        <v>0</v>
      </c>
      <c r="BM32" s="3298">
        <f t="shared" si="28"/>
        <v>0</v>
      </c>
      <c r="BN32" s="3298">
        <f t="shared" si="29"/>
        <v>0</v>
      </c>
      <c r="BO32" s="3298">
        <f t="shared" si="30"/>
        <v>0</v>
      </c>
      <c r="BP32" s="3298">
        <f t="shared" si="31"/>
        <v>0</v>
      </c>
      <c r="BQ32" s="3298">
        <f t="shared" si="32"/>
        <v>0</v>
      </c>
      <c r="BR32" s="3298">
        <f t="shared" si="33"/>
        <v>0</v>
      </c>
      <c r="BS32" s="3298">
        <f t="shared" si="34"/>
        <v>0</v>
      </c>
      <c r="BT32" s="3350">
        <f t="shared" si="35"/>
        <v>0</v>
      </c>
    </row>
    <row r="33" spans="1:72">
      <c r="A33" s="1407"/>
      <c r="B33" s="3296"/>
      <c r="C33" s="3296"/>
      <c r="D33" s="3297"/>
      <c r="E33" s="3298">
        <f t="shared" si="7"/>
        <v>0</v>
      </c>
      <c r="F33" s="3299"/>
      <c r="G33" s="3300">
        <f t="shared" si="8"/>
        <v>0</v>
      </c>
      <c r="H33" s="3301">
        <f t="shared" si="9"/>
        <v>0</v>
      </c>
      <c r="I33" s="3308"/>
      <c r="J33" s="3308"/>
      <c r="K33" s="3308"/>
      <c r="L33" s="3308"/>
      <c r="M33" s="3308"/>
      <c r="N33" s="3308"/>
      <c r="O33" s="3308"/>
      <c r="P33" s="3308"/>
      <c r="Q33" s="3308"/>
      <c r="R33" s="3308"/>
      <c r="S33" s="3308"/>
      <c r="T33" s="3308"/>
      <c r="U33" s="3308"/>
      <c r="V33" s="3308"/>
      <c r="W33" s="3308"/>
      <c r="X33" s="3308"/>
      <c r="Y33" s="3308"/>
      <c r="Z33" s="3308"/>
      <c r="AA33" s="3308"/>
      <c r="AB33" s="3308"/>
      <c r="AC33" s="3298">
        <f t="shared" si="10"/>
        <v>0</v>
      </c>
      <c r="AD33" s="3318"/>
      <c r="AE33" s="3318"/>
      <c r="AF33" s="3318"/>
      <c r="AG33" s="3318"/>
      <c r="AH33" s="3318"/>
      <c r="AI33" s="3318"/>
      <c r="AJ33" s="3318"/>
      <c r="AK33" s="3318"/>
      <c r="AL33" s="3318"/>
      <c r="AM33" s="3318"/>
      <c r="AN33" s="3318"/>
      <c r="AO33" s="3318"/>
      <c r="AP33" s="3318"/>
      <c r="AQ33" s="3318"/>
      <c r="AR33" s="3318"/>
      <c r="AS33" s="3318"/>
      <c r="AT33" s="3328"/>
      <c r="AU33" s="3329"/>
      <c r="AV33" s="963">
        <f t="shared" si="11"/>
        <v>0</v>
      </c>
      <c r="AW33" s="963">
        <f t="shared" si="12"/>
        <v>0</v>
      </c>
      <c r="AX33" s="963">
        <f t="shared" si="13"/>
        <v>0</v>
      </c>
      <c r="AY33" s="3343">
        <f t="shared" si="14"/>
        <v>0</v>
      </c>
      <c r="AZ33" s="3298">
        <f t="shared" si="15"/>
        <v>0</v>
      </c>
      <c r="BA33" s="3298">
        <f t="shared" si="16"/>
        <v>0</v>
      </c>
      <c r="BB33" s="3298">
        <f t="shared" si="17"/>
        <v>0</v>
      </c>
      <c r="BC33" s="3298">
        <f t="shared" si="18"/>
        <v>0</v>
      </c>
      <c r="BD33" s="3298">
        <f t="shared" si="19"/>
        <v>0</v>
      </c>
      <c r="BE33" s="3298">
        <f t="shared" si="20"/>
        <v>0</v>
      </c>
      <c r="BF33" s="3298">
        <f t="shared" si="21"/>
        <v>0</v>
      </c>
      <c r="BG33" s="3298">
        <f t="shared" si="22"/>
        <v>0</v>
      </c>
      <c r="BH33" s="3298">
        <f t="shared" si="23"/>
        <v>0</v>
      </c>
      <c r="BI33" s="3298">
        <f t="shared" si="24"/>
        <v>0</v>
      </c>
      <c r="BJ33" s="3298">
        <f t="shared" si="25"/>
        <v>0</v>
      </c>
      <c r="BK33" s="3298">
        <f t="shared" si="26"/>
        <v>0</v>
      </c>
      <c r="BL33" s="3298">
        <f t="shared" si="27"/>
        <v>0</v>
      </c>
      <c r="BM33" s="3298">
        <f t="shared" si="28"/>
        <v>0</v>
      </c>
      <c r="BN33" s="3298">
        <f t="shared" si="29"/>
        <v>0</v>
      </c>
      <c r="BO33" s="3298">
        <f t="shared" si="30"/>
        <v>0</v>
      </c>
      <c r="BP33" s="3298">
        <f t="shared" si="31"/>
        <v>0</v>
      </c>
      <c r="BQ33" s="3298">
        <f t="shared" si="32"/>
        <v>0</v>
      </c>
      <c r="BR33" s="3298">
        <f t="shared" si="33"/>
        <v>0</v>
      </c>
      <c r="BS33" s="3298">
        <f t="shared" si="34"/>
        <v>0</v>
      </c>
      <c r="BT33" s="3350">
        <f t="shared" si="35"/>
        <v>0</v>
      </c>
    </row>
    <row r="34" spans="1:72">
      <c r="A34" s="1407"/>
      <c r="B34" s="3296"/>
      <c r="C34" s="3296"/>
      <c r="D34" s="3297"/>
      <c r="E34" s="3298">
        <f t="shared" si="7"/>
        <v>0</v>
      </c>
      <c r="F34" s="3299"/>
      <c r="G34" s="3300">
        <f t="shared" si="8"/>
        <v>0</v>
      </c>
      <c r="H34" s="3301">
        <f t="shared" si="9"/>
        <v>0</v>
      </c>
      <c r="I34" s="3308"/>
      <c r="J34" s="3308"/>
      <c r="K34" s="3308"/>
      <c r="L34" s="3308"/>
      <c r="M34" s="3308"/>
      <c r="N34" s="3308"/>
      <c r="O34" s="3308"/>
      <c r="P34" s="3308"/>
      <c r="Q34" s="3308"/>
      <c r="R34" s="3308"/>
      <c r="S34" s="3308"/>
      <c r="T34" s="3308"/>
      <c r="U34" s="3308"/>
      <c r="V34" s="3308"/>
      <c r="W34" s="3308"/>
      <c r="X34" s="3308"/>
      <c r="Y34" s="3308"/>
      <c r="Z34" s="3308"/>
      <c r="AA34" s="3308"/>
      <c r="AB34" s="3308"/>
      <c r="AC34" s="3298">
        <f t="shared" si="10"/>
        <v>0</v>
      </c>
      <c r="AD34" s="3318"/>
      <c r="AE34" s="3318"/>
      <c r="AF34" s="3318"/>
      <c r="AG34" s="3318"/>
      <c r="AH34" s="3318"/>
      <c r="AI34" s="3318"/>
      <c r="AJ34" s="3318"/>
      <c r="AK34" s="3318"/>
      <c r="AL34" s="3318"/>
      <c r="AM34" s="3318"/>
      <c r="AN34" s="3318"/>
      <c r="AO34" s="3318"/>
      <c r="AP34" s="3318"/>
      <c r="AQ34" s="3318"/>
      <c r="AR34" s="3318"/>
      <c r="AS34" s="3318"/>
      <c r="AT34" s="3328"/>
      <c r="AU34" s="3329"/>
      <c r="AV34" s="963">
        <f t="shared" si="11"/>
        <v>0</v>
      </c>
      <c r="AW34" s="963">
        <f t="shared" si="12"/>
        <v>0</v>
      </c>
      <c r="AX34" s="963">
        <f t="shared" si="13"/>
        <v>0</v>
      </c>
      <c r="AY34" s="3343">
        <f t="shared" si="14"/>
        <v>0</v>
      </c>
      <c r="AZ34" s="3298">
        <f t="shared" si="15"/>
        <v>0</v>
      </c>
      <c r="BA34" s="3298">
        <f t="shared" si="16"/>
        <v>0</v>
      </c>
      <c r="BB34" s="3298">
        <f t="shared" si="17"/>
        <v>0</v>
      </c>
      <c r="BC34" s="3298">
        <f t="shared" si="18"/>
        <v>0</v>
      </c>
      <c r="BD34" s="3298">
        <f t="shared" si="19"/>
        <v>0</v>
      </c>
      <c r="BE34" s="3298">
        <f t="shared" si="20"/>
        <v>0</v>
      </c>
      <c r="BF34" s="3298">
        <f t="shared" si="21"/>
        <v>0</v>
      </c>
      <c r="BG34" s="3298">
        <f t="shared" si="22"/>
        <v>0</v>
      </c>
      <c r="BH34" s="3298">
        <f t="shared" si="23"/>
        <v>0</v>
      </c>
      <c r="BI34" s="3298">
        <f t="shared" si="24"/>
        <v>0</v>
      </c>
      <c r="BJ34" s="3298">
        <f t="shared" si="25"/>
        <v>0</v>
      </c>
      <c r="BK34" s="3298">
        <f t="shared" si="26"/>
        <v>0</v>
      </c>
      <c r="BL34" s="3298">
        <f t="shared" si="27"/>
        <v>0</v>
      </c>
      <c r="BM34" s="3298">
        <f t="shared" si="28"/>
        <v>0</v>
      </c>
      <c r="BN34" s="3298">
        <f t="shared" si="29"/>
        <v>0</v>
      </c>
      <c r="BO34" s="3298">
        <f t="shared" si="30"/>
        <v>0</v>
      </c>
      <c r="BP34" s="3298">
        <f t="shared" si="31"/>
        <v>0</v>
      </c>
      <c r="BQ34" s="3298">
        <f t="shared" si="32"/>
        <v>0</v>
      </c>
      <c r="BR34" s="3298">
        <f t="shared" si="33"/>
        <v>0</v>
      </c>
      <c r="BS34" s="3298">
        <f t="shared" si="34"/>
        <v>0</v>
      </c>
      <c r="BT34" s="3350">
        <f t="shared" si="35"/>
        <v>0</v>
      </c>
    </row>
    <row r="35" spans="1:72">
      <c r="A35" s="1407"/>
      <c r="B35" s="3296"/>
      <c r="C35" s="3296"/>
      <c r="D35" s="3297"/>
      <c r="E35" s="3298">
        <f t="shared" si="7"/>
        <v>0</v>
      </c>
      <c r="F35" s="3299"/>
      <c r="G35" s="3300">
        <f t="shared" si="8"/>
        <v>0</v>
      </c>
      <c r="H35" s="3301">
        <f t="shared" si="9"/>
        <v>0</v>
      </c>
      <c r="I35" s="3308"/>
      <c r="J35" s="3308"/>
      <c r="K35" s="3308"/>
      <c r="L35" s="3308"/>
      <c r="M35" s="3308"/>
      <c r="N35" s="3308"/>
      <c r="O35" s="3308"/>
      <c r="P35" s="3308"/>
      <c r="Q35" s="3308"/>
      <c r="R35" s="3308"/>
      <c r="S35" s="3308"/>
      <c r="T35" s="3308"/>
      <c r="U35" s="3308"/>
      <c r="V35" s="3308"/>
      <c r="W35" s="3308"/>
      <c r="X35" s="3308"/>
      <c r="Y35" s="3308"/>
      <c r="Z35" s="3308"/>
      <c r="AA35" s="3308"/>
      <c r="AB35" s="3308"/>
      <c r="AC35" s="3298">
        <f t="shared" si="10"/>
        <v>0</v>
      </c>
      <c r="AD35" s="3318"/>
      <c r="AE35" s="3318"/>
      <c r="AF35" s="3318"/>
      <c r="AG35" s="3318"/>
      <c r="AH35" s="3318"/>
      <c r="AI35" s="3318"/>
      <c r="AJ35" s="3318"/>
      <c r="AK35" s="3318"/>
      <c r="AL35" s="3318"/>
      <c r="AM35" s="3318"/>
      <c r="AN35" s="3318"/>
      <c r="AO35" s="3318"/>
      <c r="AP35" s="3318"/>
      <c r="AQ35" s="3318"/>
      <c r="AR35" s="3318"/>
      <c r="AS35" s="3318"/>
      <c r="AT35" s="3328"/>
      <c r="AU35" s="3329"/>
      <c r="AV35" s="963">
        <f t="shared" si="11"/>
        <v>0</v>
      </c>
      <c r="AW35" s="963">
        <f t="shared" si="12"/>
        <v>0</v>
      </c>
      <c r="AX35" s="963">
        <f t="shared" si="13"/>
        <v>0</v>
      </c>
      <c r="AY35" s="3343">
        <f t="shared" si="14"/>
        <v>0</v>
      </c>
      <c r="AZ35" s="3298">
        <f t="shared" si="15"/>
        <v>0</v>
      </c>
      <c r="BA35" s="3298">
        <f t="shared" si="16"/>
        <v>0</v>
      </c>
      <c r="BB35" s="3298">
        <f t="shared" si="17"/>
        <v>0</v>
      </c>
      <c r="BC35" s="3298">
        <f t="shared" si="18"/>
        <v>0</v>
      </c>
      <c r="BD35" s="3298">
        <f t="shared" si="19"/>
        <v>0</v>
      </c>
      <c r="BE35" s="3298">
        <f t="shared" si="20"/>
        <v>0</v>
      </c>
      <c r="BF35" s="3298">
        <f t="shared" si="21"/>
        <v>0</v>
      </c>
      <c r="BG35" s="3298">
        <f t="shared" si="22"/>
        <v>0</v>
      </c>
      <c r="BH35" s="3298">
        <f t="shared" si="23"/>
        <v>0</v>
      </c>
      <c r="BI35" s="3298">
        <f t="shared" si="24"/>
        <v>0</v>
      </c>
      <c r="BJ35" s="3298">
        <f t="shared" si="25"/>
        <v>0</v>
      </c>
      <c r="BK35" s="3298">
        <f t="shared" si="26"/>
        <v>0</v>
      </c>
      <c r="BL35" s="3298">
        <f t="shared" si="27"/>
        <v>0</v>
      </c>
      <c r="BM35" s="3298">
        <f t="shared" si="28"/>
        <v>0</v>
      </c>
      <c r="BN35" s="3298">
        <f t="shared" si="29"/>
        <v>0</v>
      </c>
      <c r="BO35" s="3298">
        <f t="shared" si="30"/>
        <v>0</v>
      </c>
      <c r="BP35" s="3298">
        <f t="shared" si="31"/>
        <v>0</v>
      </c>
      <c r="BQ35" s="3298">
        <f t="shared" si="32"/>
        <v>0</v>
      </c>
      <c r="BR35" s="3298">
        <f t="shared" si="33"/>
        <v>0</v>
      </c>
      <c r="BS35" s="3298">
        <f t="shared" si="34"/>
        <v>0</v>
      </c>
      <c r="BT35" s="3350">
        <f t="shared" si="35"/>
        <v>0</v>
      </c>
    </row>
    <row r="36" spans="1:72">
      <c r="A36" s="1407"/>
      <c r="B36" s="3296"/>
      <c r="C36" s="3296"/>
      <c r="D36" s="3297"/>
      <c r="E36" s="3298">
        <f t="shared" si="7"/>
        <v>0</v>
      </c>
      <c r="F36" s="3299"/>
      <c r="G36" s="3300">
        <f t="shared" si="8"/>
        <v>0</v>
      </c>
      <c r="H36" s="3301">
        <f t="shared" si="9"/>
        <v>0</v>
      </c>
      <c r="I36" s="3308"/>
      <c r="J36" s="3308"/>
      <c r="K36" s="3308"/>
      <c r="L36" s="3308"/>
      <c r="M36" s="3308"/>
      <c r="N36" s="3308"/>
      <c r="O36" s="3308"/>
      <c r="P36" s="3308"/>
      <c r="Q36" s="3308"/>
      <c r="R36" s="3308"/>
      <c r="S36" s="3308"/>
      <c r="T36" s="3308"/>
      <c r="U36" s="3308"/>
      <c r="V36" s="3308"/>
      <c r="W36" s="3308"/>
      <c r="X36" s="3308"/>
      <c r="Y36" s="3308"/>
      <c r="Z36" s="3308"/>
      <c r="AA36" s="3308"/>
      <c r="AB36" s="3308"/>
      <c r="AC36" s="3298">
        <f t="shared" si="10"/>
        <v>0</v>
      </c>
      <c r="AD36" s="3318"/>
      <c r="AE36" s="3318"/>
      <c r="AF36" s="3318"/>
      <c r="AG36" s="3318"/>
      <c r="AH36" s="3318"/>
      <c r="AI36" s="3318"/>
      <c r="AJ36" s="3318"/>
      <c r="AK36" s="3318"/>
      <c r="AL36" s="3318"/>
      <c r="AM36" s="3318"/>
      <c r="AN36" s="3318"/>
      <c r="AO36" s="3318"/>
      <c r="AP36" s="3318"/>
      <c r="AQ36" s="3318"/>
      <c r="AR36" s="3318"/>
      <c r="AS36" s="3318"/>
      <c r="AT36" s="3328"/>
      <c r="AU36" s="3329"/>
      <c r="AV36" s="963">
        <f t="shared" si="11"/>
        <v>0</v>
      </c>
      <c r="AW36" s="963">
        <f t="shared" si="12"/>
        <v>0</v>
      </c>
      <c r="AX36" s="963">
        <f t="shared" si="13"/>
        <v>0</v>
      </c>
      <c r="AY36" s="3343">
        <f t="shared" si="14"/>
        <v>0</v>
      </c>
      <c r="AZ36" s="3298">
        <f t="shared" si="15"/>
        <v>0</v>
      </c>
      <c r="BA36" s="3298">
        <f t="shared" si="16"/>
        <v>0</v>
      </c>
      <c r="BB36" s="3298">
        <f t="shared" si="17"/>
        <v>0</v>
      </c>
      <c r="BC36" s="3298">
        <f t="shared" si="18"/>
        <v>0</v>
      </c>
      <c r="BD36" s="3298">
        <f t="shared" si="19"/>
        <v>0</v>
      </c>
      <c r="BE36" s="3298">
        <f t="shared" si="20"/>
        <v>0</v>
      </c>
      <c r="BF36" s="3298">
        <f t="shared" si="21"/>
        <v>0</v>
      </c>
      <c r="BG36" s="3298">
        <f t="shared" si="22"/>
        <v>0</v>
      </c>
      <c r="BH36" s="3298">
        <f t="shared" si="23"/>
        <v>0</v>
      </c>
      <c r="BI36" s="3298">
        <f t="shared" si="24"/>
        <v>0</v>
      </c>
      <c r="BJ36" s="3298">
        <f t="shared" si="25"/>
        <v>0</v>
      </c>
      <c r="BK36" s="3298">
        <f t="shared" si="26"/>
        <v>0</v>
      </c>
      <c r="BL36" s="3298">
        <f t="shared" si="27"/>
        <v>0</v>
      </c>
      <c r="BM36" s="3298">
        <f t="shared" si="28"/>
        <v>0</v>
      </c>
      <c r="BN36" s="3298">
        <f t="shared" si="29"/>
        <v>0</v>
      </c>
      <c r="BO36" s="3298">
        <f t="shared" si="30"/>
        <v>0</v>
      </c>
      <c r="BP36" s="3298">
        <f t="shared" si="31"/>
        <v>0</v>
      </c>
      <c r="BQ36" s="3298">
        <f t="shared" si="32"/>
        <v>0</v>
      </c>
      <c r="BR36" s="3298">
        <f t="shared" si="33"/>
        <v>0</v>
      </c>
      <c r="BS36" s="3298">
        <f t="shared" si="34"/>
        <v>0</v>
      </c>
      <c r="BT36" s="3350">
        <f t="shared" si="35"/>
        <v>0</v>
      </c>
    </row>
    <row r="37" spans="1:72">
      <c r="A37" s="1407"/>
      <c r="B37" s="3296"/>
      <c r="C37" s="3296"/>
      <c r="D37" s="3297"/>
      <c r="E37" s="3298">
        <f t="shared" si="7"/>
        <v>0</v>
      </c>
      <c r="F37" s="3299"/>
      <c r="G37" s="3300">
        <f t="shared" si="8"/>
        <v>0</v>
      </c>
      <c r="H37" s="3301">
        <f t="shared" si="9"/>
        <v>0</v>
      </c>
      <c r="I37" s="3308"/>
      <c r="J37" s="3308"/>
      <c r="K37" s="3308"/>
      <c r="L37" s="3308"/>
      <c r="M37" s="3308"/>
      <c r="N37" s="3308"/>
      <c r="O37" s="3308"/>
      <c r="P37" s="3308"/>
      <c r="Q37" s="3308"/>
      <c r="R37" s="3308"/>
      <c r="S37" s="3308"/>
      <c r="T37" s="3308"/>
      <c r="U37" s="3308"/>
      <c r="V37" s="3308"/>
      <c r="W37" s="3308"/>
      <c r="X37" s="3308"/>
      <c r="Y37" s="3308"/>
      <c r="Z37" s="3308"/>
      <c r="AA37" s="3308"/>
      <c r="AB37" s="3308"/>
      <c r="AC37" s="3298">
        <f t="shared" si="10"/>
        <v>0</v>
      </c>
      <c r="AD37" s="3318"/>
      <c r="AE37" s="3318"/>
      <c r="AF37" s="3318"/>
      <c r="AG37" s="3318"/>
      <c r="AH37" s="3318"/>
      <c r="AI37" s="3318"/>
      <c r="AJ37" s="3318"/>
      <c r="AK37" s="3318"/>
      <c r="AL37" s="3318"/>
      <c r="AM37" s="3318"/>
      <c r="AN37" s="3318"/>
      <c r="AO37" s="3318"/>
      <c r="AP37" s="3318"/>
      <c r="AQ37" s="3318"/>
      <c r="AR37" s="3318"/>
      <c r="AS37" s="3318"/>
      <c r="AT37" s="3328"/>
      <c r="AU37" s="3329"/>
      <c r="AV37" s="963">
        <f t="shared" si="11"/>
        <v>0</v>
      </c>
      <c r="AW37" s="963">
        <f t="shared" si="12"/>
        <v>0</v>
      </c>
      <c r="AX37" s="963">
        <f t="shared" si="13"/>
        <v>0</v>
      </c>
      <c r="AY37" s="3343">
        <f t="shared" si="14"/>
        <v>0</v>
      </c>
      <c r="AZ37" s="3298">
        <f t="shared" si="15"/>
        <v>0</v>
      </c>
      <c r="BA37" s="3298">
        <f t="shared" si="16"/>
        <v>0</v>
      </c>
      <c r="BB37" s="3298">
        <f t="shared" si="17"/>
        <v>0</v>
      </c>
      <c r="BC37" s="3298">
        <f t="shared" si="18"/>
        <v>0</v>
      </c>
      <c r="BD37" s="3298">
        <f t="shared" si="19"/>
        <v>0</v>
      </c>
      <c r="BE37" s="3298">
        <f t="shared" si="20"/>
        <v>0</v>
      </c>
      <c r="BF37" s="3298">
        <f t="shared" si="21"/>
        <v>0</v>
      </c>
      <c r="BG37" s="3298">
        <f t="shared" si="22"/>
        <v>0</v>
      </c>
      <c r="BH37" s="3298">
        <f t="shared" si="23"/>
        <v>0</v>
      </c>
      <c r="BI37" s="3298">
        <f t="shared" si="24"/>
        <v>0</v>
      </c>
      <c r="BJ37" s="3298">
        <f t="shared" si="25"/>
        <v>0</v>
      </c>
      <c r="BK37" s="3298">
        <f t="shared" si="26"/>
        <v>0</v>
      </c>
      <c r="BL37" s="3298">
        <f t="shared" si="27"/>
        <v>0</v>
      </c>
      <c r="BM37" s="3298">
        <f t="shared" si="28"/>
        <v>0</v>
      </c>
      <c r="BN37" s="3298">
        <f t="shared" si="29"/>
        <v>0</v>
      </c>
      <c r="BO37" s="3298">
        <f t="shared" si="30"/>
        <v>0</v>
      </c>
      <c r="BP37" s="3298">
        <f t="shared" si="31"/>
        <v>0</v>
      </c>
      <c r="BQ37" s="3298">
        <f t="shared" si="32"/>
        <v>0</v>
      </c>
      <c r="BR37" s="3298">
        <f t="shared" si="33"/>
        <v>0</v>
      </c>
      <c r="BS37" s="3298">
        <f t="shared" si="34"/>
        <v>0</v>
      </c>
      <c r="BT37" s="3350">
        <f t="shared" si="35"/>
        <v>0</v>
      </c>
    </row>
    <row r="38" spans="1:72">
      <c r="A38" s="1407"/>
      <c r="B38" s="3296"/>
      <c r="C38" s="3296"/>
      <c r="D38" s="3297"/>
      <c r="E38" s="3298">
        <f t="shared" si="7"/>
        <v>0</v>
      </c>
      <c r="F38" s="3299"/>
      <c r="G38" s="3300">
        <f t="shared" si="8"/>
        <v>0</v>
      </c>
      <c r="H38" s="3301">
        <f t="shared" si="9"/>
        <v>0</v>
      </c>
      <c r="I38" s="3308"/>
      <c r="J38" s="3308"/>
      <c r="K38" s="3308"/>
      <c r="L38" s="3308"/>
      <c r="M38" s="3308"/>
      <c r="N38" s="3308"/>
      <c r="O38" s="3308"/>
      <c r="P38" s="3308"/>
      <c r="Q38" s="3308"/>
      <c r="R38" s="3308"/>
      <c r="S38" s="3308"/>
      <c r="T38" s="3308"/>
      <c r="U38" s="3308"/>
      <c r="V38" s="3308"/>
      <c r="W38" s="3308"/>
      <c r="X38" s="3308"/>
      <c r="Y38" s="3308"/>
      <c r="Z38" s="3308"/>
      <c r="AA38" s="3308"/>
      <c r="AB38" s="3308"/>
      <c r="AC38" s="3298">
        <f t="shared" si="10"/>
        <v>0</v>
      </c>
      <c r="AD38" s="3318"/>
      <c r="AE38" s="3318"/>
      <c r="AF38" s="3318"/>
      <c r="AG38" s="3318"/>
      <c r="AH38" s="3318"/>
      <c r="AI38" s="3318"/>
      <c r="AJ38" s="3318"/>
      <c r="AK38" s="3318"/>
      <c r="AL38" s="3318"/>
      <c r="AM38" s="3318"/>
      <c r="AN38" s="3318"/>
      <c r="AO38" s="3318"/>
      <c r="AP38" s="3318"/>
      <c r="AQ38" s="3318"/>
      <c r="AR38" s="3318"/>
      <c r="AS38" s="3318"/>
      <c r="AT38" s="3328"/>
      <c r="AU38" s="3329"/>
      <c r="AV38" s="963">
        <f t="shared" si="11"/>
        <v>0</v>
      </c>
      <c r="AW38" s="963">
        <f t="shared" si="12"/>
        <v>0</v>
      </c>
      <c r="AX38" s="963">
        <f t="shared" si="13"/>
        <v>0</v>
      </c>
      <c r="AY38" s="3343">
        <f t="shared" si="14"/>
        <v>0</v>
      </c>
      <c r="AZ38" s="3298">
        <f t="shared" si="15"/>
        <v>0</v>
      </c>
      <c r="BA38" s="3298">
        <f t="shared" si="16"/>
        <v>0</v>
      </c>
      <c r="BB38" s="3298">
        <f t="shared" si="17"/>
        <v>0</v>
      </c>
      <c r="BC38" s="3298">
        <f t="shared" si="18"/>
        <v>0</v>
      </c>
      <c r="BD38" s="3298">
        <f t="shared" si="19"/>
        <v>0</v>
      </c>
      <c r="BE38" s="3298">
        <f t="shared" si="20"/>
        <v>0</v>
      </c>
      <c r="BF38" s="3298">
        <f t="shared" si="21"/>
        <v>0</v>
      </c>
      <c r="BG38" s="3298">
        <f t="shared" si="22"/>
        <v>0</v>
      </c>
      <c r="BH38" s="3298">
        <f t="shared" si="23"/>
        <v>0</v>
      </c>
      <c r="BI38" s="3298">
        <f t="shared" si="24"/>
        <v>0</v>
      </c>
      <c r="BJ38" s="3298">
        <f t="shared" si="25"/>
        <v>0</v>
      </c>
      <c r="BK38" s="3298">
        <f t="shared" si="26"/>
        <v>0</v>
      </c>
      <c r="BL38" s="3298">
        <f t="shared" si="27"/>
        <v>0</v>
      </c>
      <c r="BM38" s="3298">
        <f t="shared" si="28"/>
        <v>0</v>
      </c>
      <c r="BN38" s="3298">
        <f t="shared" si="29"/>
        <v>0</v>
      </c>
      <c r="BO38" s="3298">
        <f t="shared" si="30"/>
        <v>0</v>
      </c>
      <c r="BP38" s="3298">
        <f t="shared" si="31"/>
        <v>0</v>
      </c>
      <c r="BQ38" s="3298">
        <f t="shared" si="32"/>
        <v>0</v>
      </c>
      <c r="BR38" s="3298">
        <f t="shared" si="33"/>
        <v>0</v>
      </c>
      <c r="BS38" s="3298">
        <f t="shared" si="34"/>
        <v>0</v>
      </c>
      <c r="BT38" s="3350">
        <f t="shared" si="35"/>
        <v>0</v>
      </c>
    </row>
    <row r="39" spans="1:72">
      <c r="A39" s="1407"/>
      <c r="B39" s="3296"/>
      <c r="C39" s="3296"/>
      <c r="D39" s="3297"/>
      <c r="E39" s="3298">
        <f t="shared" si="7"/>
        <v>0</v>
      </c>
      <c r="F39" s="3299"/>
      <c r="G39" s="3300">
        <f t="shared" si="8"/>
        <v>0</v>
      </c>
      <c r="H39" s="3301">
        <f t="shared" si="9"/>
        <v>0</v>
      </c>
      <c r="I39" s="3308"/>
      <c r="J39" s="3308"/>
      <c r="K39" s="3308"/>
      <c r="L39" s="3308"/>
      <c r="M39" s="3308"/>
      <c r="N39" s="3308"/>
      <c r="O39" s="3308"/>
      <c r="P39" s="3308"/>
      <c r="Q39" s="3308"/>
      <c r="R39" s="3308"/>
      <c r="S39" s="3308"/>
      <c r="T39" s="3308"/>
      <c r="U39" s="3308"/>
      <c r="V39" s="3308"/>
      <c r="W39" s="3308"/>
      <c r="X39" s="3308"/>
      <c r="Y39" s="3308"/>
      <c r="Z39" s="3308"/>
      <c r="AA39" s="3308"/>
      <c r="AB39" s="3308"/>
      <c r="AC39" s="3298">
        <f t="shared" si="10"/>
        <v>0</v>
      </c>
      <c r="AD39" s="3318"/>
      <c r="AE39" s="3318"/>
      <c r="AF39" s="3318"/>
      <c r="AG39" s="3318"/>
      <c r="AH39" s="3318"/>
      <c r="AI39" s="3318"/>
      <c r="AJ39" s="3318"/>
      <c r="AK39" s="3318"/>
      <c r="AL39" s="3318"/>
      <c r="AM39" s="3318"/>
      <c r="AN39" s="3318"/>
      <c r="AO39" s="3318"/>
      <c r="AP39" s="3318"/>
      <c r="AQ39" s="3318"/>
      <c r="AR39" s="3318"/>
      <c r="AS39" s="3318"/>
      <c r="AT39" s="3328"/>
      <c r="AU39" s="3329"/>
      <c r="AV39" s="963">
        <f t="shared" si="11"/>
        <v>0</v>
      </c>
      <c r="AW39" s="963">
        <f t="shared" si="12"/>
        <v>0</v>
      </c>
      <c r="AX39" s="963">
        <f t="shared" si="13"/>
        <v>0</v>
      </c>
      <c r="AY39" s="3343">
        <f t="shared" si="14"/>
        <v>0</v>
      </c>
      <c r="AZ39" s="3298">
        <f t="shared" si="15"/>
        <v>0</v>
      </c>
      <c r="BA39" s="3298">
        <f t="shared" si="16"/>
        <v>0</v>
      </c>
      <c r="BB39" s="3298">
        <f t="shared" si="17"/>
        <v>0</v>
      </c>
      <c r="BC39" s="3298">
        <f t="shared" si="18"/>
        <v>0</v>
      </c>
      <c r="BD39" s="3298">
        <f t="shared" si="19"/>
        <v>0</v>
      </c>
      <c r="BE39" s="3298">
        <f t="shared" si="20"/>
        <v>0</v>
      </c>
      <c r="BF39" s="3298">
        <f t="shared" si="21"/>
        <v>0</v>
      </c>
      <c r="BG39" s="3298">
        <f t="shared" si="22"/>
        <v>0</v>
      </c>
      <c r="BH39" s="3298">
        <f t="shared" si="23"/>
        <v>0</v>
      </c>
      <c r="BI39" s="3298">
        <f t="shared" si="24"/>
        <v>0</v>
      </c>
      <c r="BJ39" s="3298">
        <f t="shared" si="25"/>
        <v>0</v>
      </c>
      <c r="BK39" s="3298">
        <f t="shared" si="26"/>
        <v>0</v>
      </c>
      <c r="BL39" s="3298">
        <f t="shared" si="27"/>
        <v>0</v>
      </c>
      <c r="BM39" s="3298">
        <f t="shared" si="28"/>
        <v>0</v>
      </c>
      <c r="BN39" s="3298">
        <f t="shared" si="29"/>
        <v>0</v>
      </c>
      <c r="BO39" s="3298">
        <f t="shared" si="30"/>
        <v>0</v>
      </c>
      <c r="BP39" s="3298">
        <f t="shared" si="31"/>
        <v>0</v>
      </c>
      <c r="BQ39" s="3298">
        <f t="shared" si="32"/>
        <v>0</v>
      </c>
      <c r="BR39" s="3298">
        <f t="shared" si="33"/>
        <v>0</v>
      </c>
      <c r="BS39" s="3298">
        <f t="shared" si="34"/>
        <v>0</v>
      </c>
      <c r="BT39" s="3350">
        <f t="shared" si="35"/>
        <v>0</v>
      </c>
    </row>
    <row r="40" spans="1:72">
      <c r="A40" s="1407"/>
      <c r="B40" s="3296"/>
      <c r="C40" s="3296"/>
      <c r="D40" s="3297"/>
      <c r="E40" s="3298">
        <f t="shared" si="7"/>
        <v>0</v>
      </c>
      <c r="F40" s="3299"/>
      <c r="G40" s="3300">
        <f t="shared" si="8"/>
        <v>0</v>
      </c>
      <c r="H40" s="3301">
        <f t="shared" si="9"/>
        <v>0</v>
      </c>
      <c r="I40" s="3308"/>
      <c r="J40" s="3308"/>
      <c r="K40" s="3308"/>
      <c r="L40" s="3308"/>
      <c r="M40" s="3308"/>
      <c r="N40" s="3308"/>
      <c r="O40" s="3308"/>
      <c r="P40" s="3308"/>
      <c r="Q40" s="3308"/>
      <c r="R40" s="3308"/>
      <c r="S40" s="3308"/>
      <c r="T40" s="3308"/>
      <c r="U40" s="3308"/>
      <c r="V40" s="3308"/>
      <c r="W40" s="3308"/>
      <c r="X40" s="3308"/>
      <c r="Y40" s="3308"/>
      <c r="Z40" s="3308"/>
      <c r="AA40" s="3308"/>
      <c r="AB40" s="3308"/>
      <c r="AC40" s="3298">
        <f t="shared" si="10"/>
        <v>0</v>
      </c>
      <c r="AD40" s="3318"/>
      <c r="AE40" s="3318"/>
      <c r="AF40" s="3318"/>
      <c r="AG40" s="3318"/>
      <c r="AH40" s="3318"/>
      <c r="AI40" s="3318"/>
      <c r="AJ40" s="3318"/>
      <c r="AK40" s="3318"/>
      <c r="AL40" s="3318"/>
      <c r="AM40" s="3318"/>
      <c r="AN40" s="3318"/>
      <c r="AO40" s="3318"/>
      <c r="AP40" s="3318"/>
      <c r="AQ40" s="3318"/>
      <c r="AR40" s="3318"/>
      <c r="AS40" s="3318"/>
      <c r="AT40" s="3328"/>
      <c r="AU40" s="3329"/>
      <c r="AV40" s="963">
        <f t="shared" si="11"/>
        <v>0</v>
      </c>
      <c r="AW40" s="963">
        <f t="shared" si="12"/>
        <v>0</v>
      </c>
      <c r="AX40" s="963">
        <f t="shared" si="13"/>
        <v>0</v>
      </c>
      <c r="AY40" s="3343">
        <f t="shared" si="14"/>
        <v>0</v>
      </c>
      <c r="AZ40" s="3298">
        <f t="shared" si="15"/>
        <v>0</v>
      </c>
      <c r="BA40" s="3298">
        <f t="shared" si="16"/>
        <v>0</v>
      </c>
      <c r="BB40" s="3298">
        <f t="shared" si="17"/>
        <v>0</v>
      </c>
      <c r="BC40" s="3298">
        <f t="shared" si="18"/>
        <v>0</v>
      </c>
      <c r="BD40" s="3298">
        <f t="shared" si="19"/>
        <v>0</v>
      </c>
      <c r="BE40" s="3298">
        <f t="shared" si="20"/>
        <v>0</v>
      </c>
      <c r="BF40" s="3298">
        <f t="shared" si="21"/>
        <v>0</v>
      </c>
      <c r="BG40" s="3298">
        <f t="shared" si="22"/>
        <v>0</v>
      </c>
      <c r="BH40" s="3298">
        <f t="shared" si="23"/>
        <v>0</v>
      </c>
      <c r="BI40" s="3298">
        <f t="shared" si="24"/>
        <v>0</v>
      </c>
      <c r="BJ40" s="3298">
        <f t="shared" si="25"/>
        <v>0</v>
      </c>
      <c r="BK40" s="3298">
        <f t="shared" si="26"/>
        <v>0</v>
      </c>
      <c r="BL40" s="3298">
        <f t="shared" si="27"/>
        <v>0</v>
      </c>
      <c r="BM40" s="3298">
        <f t="shared" si="28"/>
        <v>0</v>
      </c>
      <c r="BN40" s="3298">
        <f t="shared" si="29"/>
        <v>0</v>
      </c>
      <c r="BO40" s="3298">
        <f t="shared" si="30"/>
        <v>0</v>
      </c>
      <c r="BP40" s="3298">
        <f t="shared" si="31"/>
        <v>0</v>
      </c>
      <c r="BQ40" s="3298">
        <f t="shared" si="32"/>
        <v>0</v>
      </c>
      <c r="BR40" s="3298">
        <f t="shared" si="33"/>
        <v>0</v>
      </c>
      <c r="BS40" s="3298">
        <f t="shared" si="34"/>
        <v>0</v>
      </c>
      <c r="BT40" s="3350">
        <f t="shared" si="35"/>
        <v>0</v>
      </c>
    </row>
    <row r="41" spans="1:72">
      <c r="A41" s="1407"/>
      <c r="B41" s="3296"/>
      <c r="C41" s="3296"/>
      <c r="D41" s="3297"/>
      <c r="E41" s="3298">
        <f t="shared" si="7"/>
        <v>0</v>
      </c>
      <c r="F41" s="3299"/>
      <c r="G41" s="3300">
        <f t="shared" si="8"/>
        <v>0</v>
      </c>
      <c r="H41" s="3301">
        <f t="shared" si="9"/>
        <v>0</v>
      </c>
      <c r="I41" s="3308"/>
      <c r="J41" s="3308"/>
      <c r="K41" s="3308"/>
      <c r="L41" s="3308"/>
      <c r="M41" s="3308"/>
      <c r="N41" s="3308"/>
      <c r="O41" s="3308"/>
      <c r="P41" s="3308"/>
      <c r="Q41" s="3308"/>
      <c r="R41" s="3308"/>
      <c r="S41" s="3308"/>
      <c r="T41" s="3308"/>
      <c r="U41" s="3308"/>
      <c r="V41" s="3308"/>
      <c r="W41" s="3308"/>
      <c r="X41" s="3308"/>
      <c r="Y41" s="3308"/>
      <c r="Z41" s="3308"/>
      <c r="AA41" s="3308"/>
      <c r="AB41" s="3308"/>
      <c r="AC41" s="3298">
        <f t="shared" si="10"/>
        <v>0</v>
      </c>
      <c r="AD41" s="3318"/>
      <c r="AE41" s="3318"/>
      <c r="AF41" s="3318"/>
      <c r="AG41" s="3318"/>
      <c r="AH41" s="3318"/>
      <c r="AI41" s="3318"/>
      <c r="AJ41" s="3318"/>
      <c r="AK41" s="3318"/>
      <c r="AL41" s="3318"/>
      <c r="AM41" s="3318"/>
      <c r="AN41" s="3318"/>
      <c r="AO41" s="3318"/>
      <c r="AP41" s="3318"/>
      <c r="AQ41" s="3318"/>
      <c r="AR41" s="3318"/>
      <c r="AS41" s="3318"/>
      <c r="AT41" s="3328"/>
      <c r="AU41" s="3329"/>
      <c r="AV41" s="963">
        <f t="shared" si="11"/>
        <v>0</v>
      </c>
      <c r="AW41" s="963">
        <f t="shared" si="12"/>
        <v>0</v>
      </c>
      <c r="AX41" s="963">
        <f t="shared" si="13"/>
        <v>0</v>
      </c>
      <c r="AY41" s="3343">
        <f t="shared" si="14"/>
        <v>0</v>
      </c>
      <c r="AZ41" s="3298">
        <f t="shared" si="15"/>
        <v>0</v>
      </c>
      <c r="BA41" s="3298">
        <f t="shared" si="16"/>
        <v>0</v>
      </c>
      <c r="BB41" s="3298">
        <f t="shared" si="17"/>
        <v>0</v>
      </c>
      <c r="BC41" s="3298">
        <f t="shared" si="18"/>
        <v>0</v>
      </c>
      <c r="BD41" s="3298">
        <f t="shared" si="19"/>
        <v>0</v>
      </c>
      <c r="BE41" s="3298">
        <f t="shared" si="20"/>
        <v>0</v>
      </c>
      <c r="BF41" s="3298">
        <f t="shared" si="21"/>
        <v>0</v>
      </c>
      <c r="BG41" s="3298">
        <f t="shared" si="22"/>
        <v>0</v>
      </c>
      <c r="BH41" s="3298">
        <f t="shared" si="23"/>
        <v>0</v>
      </c>
      <c r="BI41" s="3298">
        <f t="shared" si="24"/>
        <v>0</v>
      </c>
      <c r="BJ41" s="3298">
        <f t="shared" si="25"/>
        <v>0</v>
      </c>
      <c r="BK41" s="3298">
        <f t="shared" si="26"/>
        <v>0</v>
      </c>
      <c r="BL41" s="3298">
        <f t="shared" si="27"/>
        <v>0</v>
      </c>
      <c r="BM41" s="3298">
        <f t="shared" si="28"/>
        <v>0</v>
      </c>
      <c r="BN41" s="3298">
        <f t="shared" si="29"/>
        <v>0</v>
      </c>
      <c r="BO41" s="3298">
        <f t="shared" si="30"/>
        <v>0</v>
      </c>
      <c r="BP41" s="3298">
        <f t="shared" si="31"/>
        <v>0</v>
      </c>
      <c r="BQ41" s="3298">
        <f t="shared" si="32"/>
        <v>0</v>
      </c>
      <c r="BR41" s="3298">
        <f t="shared" si="33"/>
        <v>0</v>
      </c>
      <c r="BS41" s="3298">
        <f t="shared" si="34"/>
        <v>0</v>
      </c>
      <c r="BT41" s="3350">
        <f t="shared" si="35"/>
        <v>0</v>
      </c>
    </row>
    <row r="42" spans="1:72">
      <c r="A42" s="1407"/>
      <c r="B42" s="3296"/>
      <c r="C42" s="3296"/>
      <c r="D42" s="3297"/>
      <c r="E42" s="3298">
        <f t="shared" si="7"/>
        <v>0</v>
      </c>
      <c r="F42" s="3299"/>
      <c r="G42" s="3300">
        <f t="shared" si="8"/>
        <v>0</v>
      </c>
      <c r="H42" s="3301">
        <f t="shared" si="9"/>
        <v>0</v>
      </c>
      <c r="I42" s="3308"/>
      <c r="J42" s="3308"/>
      <c r="K42" s="3308"/>
      <c r="L42" s="3308"/>
      <c r="M42" s="3308"/>
      <c r="N42" s="3308"/>
      <c r="O42" s="3308"/>
      <c r="P42" s="3308"/>
      <c r="Q42" s="3308"/>
      <c r="R42" s="3308"/>
      <c r="S42" s="3308"/>
      <c r="T42" s="3308"/>
      <c r="U42" s="3308"/>
      <c r="V42" s="3308"/>
      <c r="W42" s="3308"/>
      <c r="X42" s="3308"/>
      <c r="Y42" s="3308"/>
      <c r="Z42" s="3308"/>
      <c r="AA42" s="3308"/>
      <c r="AB42" s="3308"/>
      <c r="AC42" s="3298">
        <f t="shared" si="10"/>
        <v>0</v>
      </c>
      <c r="AD42" s="3318"/>
      <c r="AE42" s="3318"/>
      <c r="AF42" s="3318"/>
      <c r="AG42" s="3318"/>
      <c r="AH42" s="3318"/>
      <c r="AI42" s="3318"/>
      <c r="AJ42" s="3318"/>
      <c r="AK42" s="3318"/>
      <c r="AL42" s="3318"/>
      <c r="AM42" s="3318"/>
      <c r="AN42" s="3318"/>
      <c r="AO42" s="3318"/>
      <c r="AP42" s="3318"/>
      <c r="AQ42" s="3318"/>
      <c r="AR42" s="3318"/>
      <c r="AS42" s="3318"/>
      <c r="AT42" s="3328"/>
      <c r="AU42" s="3329"/>
      <c r="AV42" s="963">
        <f t="shared" si="11"/>
        <v>0</v>
      </c>
      <c r="AW42" s="963">
        <f t="shared" si="12"/>
        <v>0</v>
      </c>
      <c r="AX42" s="963">
        <f t="shared" si="13"/>
        <v>0</v>
      </c>
      <c r="AY42" s="3343">
        <f t="shared" si="14"/>
        <v>0</v>
      </c>
      <c r="AZ42" s="3298">
        <f t="shared" si="15"/>
        <v>0</v>
      </c>
      <c r="BA42" s="3298">
        <f t="shared" si="16"/>
        <v>0</v>
      </c>
      <c r="BB42" s="3298">
        <f t="shared" si="17"/>
        <v>0</v>
      </c>
      <c r="BC42" s="3298">
        <f t="shared" si="18"/>
        <v>0</v>
      </c>
      <c r="BD42" s="3298">
        <f t="shared" si="19"/>
        <v>0</v>
      </c>
      <c r="BE42" s="3298">
        <f t="shared" si="20"/>
        <v>0</v>
      </c>
      <c r="BF42" s="3298">
        <f t="shared" si="21"/>
        <v>0</v>
      </c>
      <c r="BG42" s="3298">
        <f t="shared" si="22"/>
        <v>0</v>
      </c>
      <c r="BH42" s="3298">
        <f t="shared" si="23"/>
        <v>0</v>
      </c>
      <c r="BI42" s="3298">
        <f t="shared" si="24"/>
        <v>0</v>
      </c>
      <c r="BJ42" s="3298">
        <f t="shared" si="25"/>
        <v>0</v>
      </c>
      <c r="BK42" s="3298">
        <f t="shared" si="26"/>
        <v>0</v>
      </c>
      <c r="BL42" s="3298">
        <f t="shared" si="27"/>
        <v>0</v>
      </c>
      <c r="BM42" s="3298">
        <f t="shared" si="28"/>
        <v>0</v>
      </c>
      <c r="BN42" s="3298">
        <f t="shared" si="29"/>
        <v>0</v>
      </c>
      <c r="BO42" s="3298">
        <f t="shared" si="30"/>
        <v>0</v>
      </c>
      <c r="BP42" s="3298">
        <f t="shared" si="31"/>
        <v>0</v>
      </c>
      <c r="BQ42" s="3298">
        <f t="shared" si="32"/>
        <v>0</v>
      </c>
      <c r="BR42" s="3298">
        <f t="shared" si="33"/>
        <v>0</v>
      </c>
      <c r="BS42" s="3298">
        <f t="shared" si="34"/>
        <v>0</v>
      </c>
      <c r="BT42" s="3350">
        <f t="shared" si="35"/>
        <v>0</v>
      </c>
    </row>
    <row r="43" spans="1:72">
      <c r="A43" s="1407"/>
      <c r="B43" s="3296"/>
      <c r="C43" s="3296"/>
      <c r="D43" s="3297"/>
      <c r="E43" s="3298">
        <f t="shared" si="7"/>
        <v>0</v>
      </c>
      <c r="F43" s="3299"/>
      <c r="G43" s="3300">
        <f t="shared" si="8"/>
        <v>0</v>
      </c>
      <c r="H43" s="3301">
        <f t="shared" si="9"/>
        <v>0</v>
      </c>
      <c r="I43" s="3308"/>
      <c r="J43" s="3308"/>
      <c r="K43" s="3308"/>
      <c r="L43" s="3308"/>
      <c r="M43" s="3308"/>
      <c r="N43" s="3308"/>
      <c r="O43" s="3308"/>
      <c r="P43" s="3308"/>
      <c r="Q43" s="3308"/>
      <c r="R43" s="3308"/>
      <c r="S43" s="3308"/>
      <c r="T43" s="3308"/>
      <c r="U43" s="3308"/>
      <c r="V43" s="3308"/>
      <c r="W43" s="3308"/>
      <c r="X43" s="3308"/>
      <c r="Y43" s="3308"/>
      <c r="Z43" s="3308"/>
      <c r="AA43" s="3308"/>
      <c r="AB43" s="3308"/>
      <c r="AC43" s="3298">
        <f t="shared" si="10"/>
        <v>0</v>
      </c>
      <c r="AD43" s="3318"/>
      <c r="AE43" s="3318"/>
      <c r="AF43" s="3318"/>
      <c r="AG43" s="3318"/>
      <c r="AH43" s="3318"/>
      <c r="AI43" s="3318"/>
      <c r="AJ43" s="3318"/>
      <c r="AK43" s="3318"/>
      <c r="AL43" s="3318"/>
      <c r="AM43" s="3318"/>
      <c r="AN43" s="3318"/>
      <c r="AO43" s="3318"/>
      <c r="AP43" s="3318"/>
      <c r="AQ43" s="3318"/>
      <c r="AR43" s="3318"/>
      <c r="AS43" s="3318"/>
      <c r="AT43" s="3328"/>
      <c r="AU43" s="3329"/>
      <c r="AV43" s="963">
        <f t="shared" si="11"/>
        <v>0</v>
      </c>
      <c r="AW43" s="963">
        <f t="shared" si="12"/>
        <v>0</v>
      </c>
      <c r="AX43" s="963">
        <f t="shared" si="13"/>
        <v>0</v>
      </c>
      <c r="AY43" s="3343">
        <f t="shared" si="14"/>
        <v>0</v>
      </c>
      <c r="AZ43" s="3298">
        <f t="shared" si="15"/>
        <v>0</v>
      </c>
      <c r="BA43" s="3298">
        <f t="shared" si="16"/>
        <v>0</v>
      </c>
      <c r="BB43" s="3298">
        <f t="shared" si="17"/>
        <v>0</v>
      </c>
      <c r="BC43" s="3298">
        <f t="shared" si="18"/>
        <v>0</v>
      </c>
      <c r="BD43" s="3298">
        <f t="shared" si="19"/>
        <v>0</v>
      </c>
      <c r="BE43" s="3298">
        <f t="shared" si="20"/>
        <v>0</v>
      </c>
      <c r="BF43" s="3298">
        <f t="shared" si="21"/>
        <v>0</v>
      </c>
      <c r="BG43" s="3298">
        <f t="shared" si="22"/>
        <v>0</v>
      </c>
      <c r="BH43" s="3298">
        <f t="shared" si="23"/>
        <v>0</v>
      </c>
      <c r="BI43" s="3298">
        <f t="shared" si="24"/>
        <v>0</v>
      </c>
      <c r="BJ43" s="3298">
        <f t="shared" si="25"/>
        <v>0</v>
      </c>
      <c r="BK43" s="3298">
        <f t="shared" si="26"/>
        <v>0</v>
      </c>
      <c r="BL43" s="3298">
        <f t="shared" si="27"/>
        <v>0</v>
      </c>
      <c r="BM43" s="3298">
        <f t="shared" si="28"/>
        <v>0</v>
      </c>
      <c r="BN43" s="3298">
        <f t="shared" si="29"/>
        <v>0</v>
      </c>
      <c r="BO43" s="3298">
        <f t="shared" si="30"/>
        <v>0</v>
      </c>
      <c r="BP43" s="3298">
        <f t="shared" si="31"/>
        <v>0</v>
      </c>
      <c r="BQ43" s="3298">
        <f t="shared" si="32"/>
        <v>0</v>
      </c>
      <c r="BR43" s="3298">
        <f t="shared" si="33"/>
        <v>0</v>
      </c>
      <c r="BS43" s="3298">
        <f t="shared" si="34"/>
        <v>0</v>
      </c>
      <c r="BT43" s="3350">
        <f t="shared" si="35"/>
        <v>0</v>
      </c>
    </row>
    <row r="44" spans="1:72">
      <c r="A44" s="1407"/>
      <c r="B44" s="3296"/>
      <c r="C44" s="3296"/>
      <c r="D44" s="3297"/>
      <c r="E44" s="3298">
        <f t="shared" si="7"/>
        <v>0</v>
      </c>
      <c r="F44" s="3299"/>
      <c r="G44" s="3300">
        <f t="shared" si="8"/>
        <v>0</v>
      </c>
      <c r="H44" s="3301">
        <f t="shared" si="9"/>
        <v>0</v>
      </c>
      <c r="I44" s="3308"/>
      <c r="J44" s="3308"/>
      <c r="K44" s="3308"/>
      <c r="L44" s="3308"/>
      <c r="M44" s="3308"/>
      <c r="N44" s="3308"/>
      <c r="O44" s="3308"/>
      <c r="P44" s="3308"/>
      <c r="Q44" s="3308"/>
      <c r="R44" s="3308"/>
      <c r="S44" s="3308"/>
      <c r="T44" s="3308"/>
      <c r="U44" s="3308"/>
      <c r="V44" s="3308"/>
      <c r="W44" s="3308"/>
      <c r="X44" s="3308"/>
      <c r="Y44" s="3308"/>
      <c r="Z44" s="3308"/>
      <c r="AA44" s="3308"/>
      <c r="AB44" s="3308"/>
      <c r="AC44" s="3298">
        <f t="shared" si="10"/>
        <v>0</v>
      </c>
      <c r="AD44" s="3318"/>
      <c r="AE44" s="3318"/>
      <c r="AF44" s="3318"/>
      <c r="AG44" s="3318"/>
      <c r="AH44" s="3318"/>
      <c r="AI44" s="3318"/>
      <c r="AJ44" s="3318"/>
      <c r="AK44" s="3318"/>
      <c r="AL44" s="3318"/>
      <c r="AM44" s="3318"/>
      <c r="AN44" s="3318"/>
      <c r="AO44" s="3318"/>
      <c r="AP44" s="3318"/>
      <c r="AQ44" s="3318"/>
      <c r="AR44" s="3318"/>
      <c r="AS44" s="3318"/>
      <c r="AT44" s="3328"/>
      <c r="AU44" s="3329"/>
      <c r="AV44" s="963">
        <f t="shared" si="11"/>
        <v>0</v>
      </c>
      <c r="AW44" s="963">
        <f t="shared" si="12"/>
        <v>0</v>
      </c>
      <c r="AX44" s="963">
        <f t="shared" si="13"/>
        <v>0</v>
      </c>
      <c r="AY44" s="3343">
        <f t="shared" si="14"/>
        <v>0</v>
      </c>
      <c r="AZ44" s="3298">
        <f t="shared" si="15"/>
        <v>0</v>
      </c>
      <c r="BA44" s="3298">
        <f t="shared" si="16"/>
        <v>0</v>
      </c>
      <c r="BB44" s="3298">
        <f t="shared" si="17"/>
        <v>0</v>
      </c>
      <c r="BC44" s="3298">
        <f t="shared" si="18"/>
        <v>0</v>
      </c>
      <c r="BD44" s="3298">
        <f t="shared" si="19"/>
        <v>0</v>
      </c>
      <c r="BE44" s="3298">
        <f t="shared" si="20"/>
        <v>0</v>
      </c>
      <c r="BF44" s="3298">
        <f t="shared" si="21"/>
        <v>0</v>
      </c>
      <c r="BG44" s="3298">
        <f t="shared" si="22"/>
        <v>0</v>
      </c>
      <c r="BH44" s="3298">
        <f t="shared" si="23"/>
        <v>0</v>
      </c>
      <c r="BI44" s="3298">
        <f t="shared" si="24"/>
        <v>0</v>
      </c>
      <c r="BJ44" s="3298">
        <f t="shared" si="25"/>
        <v>0</v>
      </c>
      <c r="BK44" s="3298">
        <f t="shared" si="26"/>
        <v>0</v>
      </c>
      <c r="BL44" s="3298">
        <f t="shared" si="27"/>
        <v>0</v>
      </c>
      <c r="BM44" s="3298">
        <f t="shared" si="28"/>
        <v>0</v>
      </c>
      <c r="BN44" s="3298">
        <f t="shared" si="29"/>
        <v>0</v>
      </c>
      <c r="BO44" s="3298">
        <f t="shared" si="30"/>
        <v>0</v>
      </c>
      <c r="BP44" s="3298">
        <f t="shared" si="31"/>
        <v>0</v>
      </c>
      <c r="BQ44" s="3298">
        <f t="shared" si="32"/>
        <v>0</v>
      </c>
      <c r="BR44" s="3298">
        <f t="shared" si="33"/>
        <v>0</v>
      </c>
      <c r="BS44" s="3298">
        <f t="shared" si="34"/>
        <v>0</v>
      </c>
      <c r="BT44" s="3350">
        <f t="shared" si="35"/>
        <v>0</v>
      </c>
    </row>
    <row r="45" spans="1:72">
      <c r="A45" s="1407"/>
      <c r="B45" s="3296"/>
      <c r="C45" s="3296"/>
      <c r="D45" s="3297"/>
      <c r="E45" s="3298">
        <f t="shared" si="7"/>
        <v>0</v>
      </c>
      <c r="F45" s="3299"/>
      <c r="G45" s="3300">
        <f t="shared" si="8"/>
        <v>0</v>
      </c>
      <c r="H45" s="3301">
        <f t="shared" si="9"/>
        <v>0</v>
      </c>
      <c r="I45" s="3308"/>
      <c r="J45" s="3308"/>
      <c r="K45" s="3308"/>
      <c r="L45" s="3308"/>
      <c r="M45" s="3308"/>
      <c r="N45" s="3308"/>
      <c r="O45" s="3308"/>
      <c r="P45" s="3308"/>
      <c r="Q45" s="3308"/>
      <c r="R45" s="3308"/>
      <c r="S45" s="3308"/>
      <c r="T45" s="3308"/>
      <c r="U45" s="3308"/>
      <c r="V45" s="3308"/>
      <c r="W45" s="3308"/>
      <c r="X45" s="3308"/>
      <c r="Y45" s="3308"/>
      <c r="Z45" s="3308"/>
      <c r="AA45" s="3308"/>
      <c r="AB45" s="3308"/>
      <c r="AC45" s="3298">
        <f t="shared" si="10"/>
        <v>0</v>
      </c>
      <c r="AD45" s="3318"/>
      <c r="AE45" s="3318"/>
      <c r="AF45" s="3318"/>
      <c r="AG45" s="3318"/>
      <c r="AH45" s="3318"/>
      <c r="AI45" s="3318"/>
      <c r="AJ45" s="3318"/>
      <c r="AK45" s="3318"/>
      <c r="AL45" s="3318"/>
      <c r="AM45" s="3318"/>
      <c r="AN45" s="3318"/>
      <c r="AO45" s="3318"/>
      <c r="AP45" s="3318"/>
      <c r="AQ45" s="3318"/>
      <c r="AR45" s="3318"/>
      <c r="AS45" s="3318"/>
      <c r="AT45" s="3328"/>
      <c r="AU45" s="3329"/>
      <c r="AV45" s="963">
        <f t="shared" si="11"/>
        <v>0</v>
      </c>
      <c r="AW45" s="963">
        <f t="shared" si="12"/>
        <v>0</v>
      </c>
      <c r="AX45" s="963">
        <f t="shared" si="13"/>
        <v>0</v>
      </c>
      <c r="AY45" s="3343">
        <f t="shared" si="14"/>
        <v>0</v>
      </c>
      <c r="AZ45" s="3298">
        <f t="shared" si="15"/>
        <v>0</v>
      </c>
      <c r="BA45" s="3298">
        <f t="shared" si="16"/>
        <v>0</v>
      </c>
      <c r="BB45" s="3298">
        <f t="shared" si="17"/>
        <v>0</v>
      </c>
      <c r="BC45" s="3298">
        <f t="shared" si="18"/>
        <v>0</v>
      </c>
      <c r="BD45" s="3298">
        <f t="shared" si="19"/>
        <v>0</v>
      </c>
      <c r="BE45" s="3298">
        <f t="shared" si="20"/>
        <v>0</v>
      </c>
      <c r="BF45" s="3298">
        <f t="shared" si="21"/>
        <v>0</v>
      </c>
      <c r="BG45" s="3298">
        <f t="shared" si="22"/>
        <v>0</v>
      </c>
      <c r="BH45" s="3298">
        <f t="shared" si="23"/>
        <v>0</v>
      </c>
      <c r="BI45" s="3298">
        <f t="shared" si="24"/>
        <v>0</v>
      </c>
      <c r="BJ45" s="3298">
        <f t="shared" si="25"/>
        <v>0</v>
      </c>
      <c r="BK45" s="3298">
        <f t="shared" si="26"/>
        <v>0</v>
      </c>
      <c r="BL45" s="3298">
        <f t="shared" si="27"/>
        <v>0</v>
      </c>
      <c r="BM45" s="3298">
        <f t="shared" si="28"/>
        <v>0</v>
      </c>
      <c r="BN45" s="3298">
        <f t="shared" si="29"/>
        <v>0</v>
      </c>
      <c r="BO45" s="3298">
        <f t="shared" si="30"/>
        <v>0</v>
      </c>
      <c r="BP45" s="3298">
        <f t="shared" si="31"/>
        <v>0</v>
      </c>
      <c r="BQ45" s="3298">
        <f t="shared" si="32"/>
        <v>0</v>
      </c>
      <c r="BR45" s="3298">
        <f t="shared" si="33"/>
        <v>0</v>
      </c>
      <c r="BS45" s="3298">
        <f t="shared" si="34"/>
        <v>0</v>
      </c>
      <c r="BT45" s="3350">
        <f t="shared" si="35"/>
        <v>0</v>
      </c>
    </row>
    <row r="46" spans="1:72">
      <c r="A46" s="1407"/>
      <c r="B46" s="3296"/>
      <c r="C46" s="3296"/>
      <c r="D46" s="3297"/>
      <c r="E46" s="3298">
        <f t="shared" si="7"/>
        <v>0</v>
      </c>
      <c r="F46" s="3299"/>
      <c r="G46" s="3300">
        <f t="shared" si="8"/>
        <v>0</v>
      </c>
      <c r="H46" s="3301">
        <f t="shared" si="9"/>
        <v>0</v>
      </c>
      <c r="I46" s="3308"/>
      <c r="J46" s="3308"/>
      <c r="K46" s="3308"/>
      <c r="L46" s="3308"/>
      <c r="M46" s="3308"/>
      <c r="N46" s="3308"/>
      <c r="O46" s="3308"/>
      <c r="P46" s="3308"/>
      <c r="Q46" s="3308"/>
      <c r="R46" s="3308"/>
      <c r="S46" s="3308"/>
      <c r="T46" s="3308"/>
      <c r="U46" s="3308"/>
      <c r="V46" s="3308"/>
      <c r="W46" s="3308"/>
      <c r="X46" s="3308"/>
      <c r="Y46" s="3308"/>
      <c r="Z46" s="3308"/>
      <c r="AA46" s="3308"/>
      <c r="AB46" s="3308"/>
      <c r="AC46" s="3298">
        <f t="shared" si="10"/>
        <v>0</v>
      </c>
      <c r="AD46" s="3318"/>
      <c r="AE46" s="3318"/>
      <c r="AF46" s="3318"/>
      <c r="AG46" s="3318"/>
      <c r="AH46" s="3318"/>
      <c r="AI46" s="3318"/>
      <c r="AJ46" s="3318"/>
      <c r="AK46" s="3318"/>
      <c r="AL46" s="3318"/>
      <c r="AM46" s="3318"/>
      <c r="AN46" s="3318"/>
      <c r="AO46" s="3318"/>
      <c r="AP46" s="3318"/>
      <c r="AQ46" s="3318"/>
      <c r="AR46" s="3318"/>
      <c r="AS46" s="3318"/>
      <c r="AT46" s="3328"/>
      <c r="AU46" s="3329"/>
      <c r="AV46" s="963">
        <f t="shared" si="11"/>
        <v>0</v>
      </c>
      <c r="AW46" s="963">
        <f t="shared" si="12"/>
        <v>0</v>
      </c>
      <c r="AX46" s="963">
        <f t="shared" si="13"/>
        <v>0</v>
      </c>
      <c r="AY46" s="3343">
        <f t="shared" si="14"/>
        <v>0</v>
      </c>
      <c r="AZ46" s="3298">
        <f t="shared" si="15"/>
        <v>0</v>
      </c>
      <c r="BA46" s="3298">
        <f t="shared" si="16"/>
        <v>0</v>
      </c>
      <c r="BB46" s="3298">
        <f t="shared" si="17"/>
        <v>0</v>
      </c>
      <c r="BC46" s="3298">
        <f t="shared" si="18"/>
        <v>0</v>
      </c>
      <c r="BD46" s="3298">
        <f t="shared" si="19"/>
        <v>0</v>
      </c>
      <c r="BE46" s="3298">
        <f t="shared" si="20"/>
        <v>0</v>
      </c>
      <c r="BF46" s="3298">
        <f t="shared" si="21"/>
        <v>0</v>
      </c>
      <c r="BG46" s="3298">
        <f t="shared" si="22"/>
        <v>0</v>
      </c>
      <c r="BH46" s="3298">
        <f t="shared" si="23"/>
        <v>0</v>
      </c>
      <c r="BI46" s="3298">
        <f t="shared" si="24"/>
        <v>0</v>
      </c>
      <c r="BJ46" s="3298">
        <f t="shared" si="25"/>
        <v>0</v>
      </c>
      <c r="BK46" s="3298">
        <f t="shared" si="26"/>
        <v>0</v>
      </c>
      <c r="BL46" s="3298">
        <f t="shared" si="27"/>
        <v>0</v>
      </c>
      <c r="BM46" s="3298">
        <f t="shared" si="28"/>
        <v>0</v>
      </c>
      <c r="BN46" s="3298">
        <f t="shared" si="29"/>
        <v>0</v>
      </c>
      <c r="BO46" s="3298">
        <f t="shared" si="30"/>
        <v>0</v>
      </c>
      <c r="BP46" s="3298">
        <f t="shared" si="31"/>
        <v>0</v>
      </c>
      <c r="BQ46" s="3298">
        <f t="shared" si="32"/>
        <v>0</v>
      </c>
      <c r="BR46" s="3298">
        <f t="shared" si="33"/>
        <v>0</v>
      </c>
      <c r="BS46" s="3298">
        <f t="shared" si="34"/>
        <v>0</v>
      </c>
      <c r="BT46" s="3350">
        <f t="shared" si="35"/>
        <v>0</v>
      </c>
    </row>
    <row r="47" spans="1:72">
      <c r="A47" s="1407"/>
      <c r="B47" s="3296"/>
      <c r="C47" s="3296"/>
      <c r="D47" s="3297"/>
      <c r="E47" s="3298">
        <f t="shared" si="7"/>
        <v>0</v>
      </c>
      <c r="F47" s="3299"/>
      <c r="G47" s="3300">
        <f t="shared" si="8"/>
        <v>0</v>
      </c>
      <c r="H47" s="3301">
        <f t="shared" si="9"/>
        <v>0</v>
      </c>
      <c r="I47" s="3308"/>
      <c r="J47" s="3308"/>
      <c r="K47" s="3308"/>
      <c r="L47" s="3308"/>
      <c r="M47" s="3308"/>
      <c r="N47" s="3308"/>
      <c r="O47" s="3308"/>
      <c r="P47" s="3308"/>
      <c r="Q47" s="3308"/>
      <c r="R47" s="3308"/>
      <c r="S47" s="3308"/>
      <c r="T47" s="3308"/>
      <c r="U47" s="3308"/>
      <c r="V47" s="3308"/>
      <c r="W47" s="3308"/>
      <c r="X47" s="3308"/>
      <c r="Y47" s="3308"/>
      <c r="Z47" s="3308"/>
      <c r="AA47" s="3308"/>
      <c r="AB47" s="3308"/>
      <c r="AC47" s="3298">
        <f t="shared" si="10"/>
        <v>0</v>
      </c>
      <c r="AD47" s="3318"/>
      <c r="AE47" s="3318"/>
      <c r="AF47" s="3318"/>
      <c r="AG47" s="3318"/>
      <c r="AH47" s="3318"/>
      <c r="AI47" s="3318"/>
      <c r="AJ47" s="3318"/>
      <c r="AK47" s="3318"/>
      <c r="AL47" s="3318"/>
      <c r="AM47" s="3318"/>
      <c r="AN47" s="3318"/>
      <c r="AO47" s="3318"/>
      <c r="AP47" s="3318"/>
      <c r="AQ47" s="3318"/>
      <c r="AR47" s="3318"/>
      <c r="AS47" s="3318"/>
      <c r="AT47" s="3328"/>
      <c r="AU47" s="3329"/>
      <c r="AV47" s="963">
        <f t="shared" si="11"/>
        <v>0</v>
      </c>
      <c r="AW47" s="963">
        <f t="shared" si="12"/>
        <v>0</v>
      </c>
      <c r="AX47" s="963">
        <f t="shared" si="13"/>
        <v>0</v>
      </c>
      <c r="AY47" s="3343">
        <f t="shared" si="14"/>
        <v>0</v>
      </c>
      <c r="AZ47" s="3298">
        <f t="shared" si="15"/>
        <v>0</v>
      </c>
      <c r="BA47" s="3298">
        <f t="shared" si="16"/>
        <v>0</v>
      </c>
      <c r="BB47" s="3298">
        <f t="shared" si="17"/>
        <v>0</v>
      </c>
      <c r="BC47" s="3298">
        <f t="shared" si="18"/>
        <v>0</v>
      </c>
      <c r="BD47" s="3298">
        <f t="shared" si="19"/>
        <v>0</v>
      </c>
      <c r="BE47" s="3298">
        <f t="shared" si="20"/>
        <v>0</v>
      </c>
      <c r="BF47" s="3298">
        <f t="shared" si="21"/>
        <v>0</v>
      </c>
      <c r="BG47" s="3298">
        <f t="shared" si="22"/>
        <v>0</v>
      </c>
      <c r="BH47" s="3298">
        <f t="shared" si="23"/>
        <v>0</v>
      </c>
      <c r="BI47" s="3298">
        <f t="shared" si="24"/>
        <v>0</v>
      </c>
      <c r="BJ47" s="3298">
        <f t="shared" si="25"/>
        <v>0</v>
      </c>
      <c r="BK47" s="3298">
        <f t="shared" si="26"/>
        <v>0</v>
      </c>
      <c r="BL47" s="3298">
        <f t="shared" si="27"/>
        <v>0</v>
      </c>
      <c r="BM47" s="3298">
        <f t="shared" si="28"/>
        <v>0</v>
      </c>
      <c r="BN47" s="3298">
        <f t="shared" si="29"/>
        <v>0</v>
      </c>
      <c r="BO47" s="3298">
        <f t="shared" si="30"/>
        <v>0</v>
      </c>
      <c r="BP47" s="3298">
        <f t="shared" si="31"/>
        <v>0</v>
      </c>
      <c r="BQ47" s="3298">
        <f t="shared" si="32"/>
        <v>0</v>
      </c>
      <c r="BR47" s="3298">
        <f t="shared" si="33"/>
        <v>0</v>
      </c>
      <c r="BS47" s="3298">
        <f t="shared" si="34"/>
        <v>0</v>
      </c>
      <c r="BT47" s="3350">
        <f t="shared" si="35"/>
        <v>0</v>
      </c>
    </row>
    <row r="48" spans="1:72">
      <c r="A48" s="1407"/>
      <c r="B48" s="3296"/>
      <c r="C48" s="3296"/>
      <c r="D48" s="3297"/>
      <c r="E48" s="3298">
        <f t="shared" si="7"/>
        <v>0</v>
      </c>
      <c r="F48" s="3299"/>
      <c r="G48" s="3300">
        <f t="shared" si="8"/>
        <v>0</v>
      </c>
      <c r="H48" s="3301">
        <f t="shared" si="9"/>
        <v>0</v>
      </c>
      <c r="I48" s="3308"/>
      <c r="J48" s="3308"/>
      <c r="K48" s="3308"/>
      <c r="L48" s="3308"/>
      <c r="M48" s="3308"/>
      <c r="N48" s="3308"/>
      <c r="O48" s="3308"/>
      <c r="P48" s="3308"/>
      <c r="Q48" s="3308"/>
      <c r="R48" s="3308"/>
      <c r="S48" s="3308"/>
      <c r="T48" s="3308"/>
      <c r="U48" s="3308"/>
      <c r="V48" s="3308"/>
      <c r="W48" s="3308"/>
      <c r="X48" s="3308"/>
      <c r="Y48" s="3308"/>
      <c r="Z48" s="3308"/>
      <c r="AA48" s="3308"/>
      <c r="AB48" s="3308"/>
      <c r="AC48" s="3298">
        <f t="shared" si="10"/>
        <v>0</v>
      </c>
      <c r="AD48" s="3318"/>
      <c r="AE48" s="3318"/>
      <c r="AF48" s="3318"/>
      <c r="AG48" s="3318"/>
      <c r="AH48" s="3318"/>
      <c r="AI48" s="3318"/>
      <c r="AJ48" s="3318"/>
      <c r="AK48" s="3318"/>
      <c r="AL48" s="3318"/>
      <c r="AM48" s="3318"/>
      <c r="AN48" s="3318"/>
      <c r="AO48" s="3318"/>
      <c r="AP48" s="3318"/>
      <c r="AQ48" s="3318"/>
      <c r="AR48" s="3318"/>
      <c r="AS48" s="3318"/>
      <c r="AT48" s="3328"/>
      <c r="AU48" s="3329"/>
      <c r="AV48" s="963">
        <f t="shared" si="11"/>
        <v>0</v>
      </c>
      <c r="AW48" s="963">
        <f t="shared" si="12"/>
        <v>0</v>
      </c>
      <c r="AX48" s="963">
        <f t="shared" si="13"/>
        <v>0</v>
      </c>
      <c r="AY48" s="3343">
        <f t="shared" si="14"/>
        <v>0</v>
      </c>
      <c r="AZ48" s="3298">
        <f t="shared" si="15"/>
        <v>0</v>
      </c>
      <c r="BA48" s="3298">
        <f t="shared" si="16"/>
        <v>0</v>
      </c>
      <c r="BB48" s="3298">
        <f t="shared" si="17"/>
        <v>0</v>
      </c>
      <c r="BC48" s="3298">
        <f t="shared" si="18"/>
        <v>0</v>
      </c>
      <c r="BD48" s="3298">
        <f t="shared" si="19"/>
        <v>0</v>
      </c>
      <c r="BE48" s="3298">
        <f t="shared" si="20"/>
        <v>0</v>
      </c>
      <c r="BF48" s="3298">
        <f t="shared" si="21"/>
        <v>0</v>
      </c>
      <c r="BG48" s="3298">
        <f t="shared" si="22"/>
        <v>0</v>
      </c>
      <c r="BH48" s="3298">
        <f t="shared" si="23"/>
        <v>0</v>
      </c>
      <c r="BI48" s="3298">
        <f t="shared" si="24"/>
        <v>0</v>
      </c>
      <c r="BJ48" s="3298">
        <f t="shared" si="25"/>
        <v>0</v>
      </c>
      <c r="BK48" s="3298">
        <f t="shared" si="26"/>
        <v>0</v>
      </c>
      <c r="BL48" s="3298">
        <f t="shared" si="27"/>
        <v>0</v>
      </c>
      <c r="BM48" s="3298">
        <f t="shared" si="28"/>
        <v>0</v>
      </c>
      <c r="BN48" s="3298">
        <f t="shared" si="29"/>
        <v>0</v>
      </c>
      <c r="BO48" s="3298">
        <f t="shared" si="30"/>
        <v>0</v>
      </c>
      <c r="BP48" s="3298">
        <f t="shared" si="31"/>
        <v>0</v>
      </c>
      <c r="BQ48" s="3298">
        <f t="shared" si="32"/>
        <v>0</v>
      </c>
      <c r="BR48" s="3298">
        <f t="shared" si="33"/>
        <v>0</v>
      </c>
      <c r="BS48" s="3298">
        <f t="shared" si="34"/>
        <v>0</v>
      </c>
      <c r="BT48" s="3350">
        <f t="shared" si="35"/>
        <v>0</v>
      </c>
    </row>
    <row r="49" spans="1:72">
      <c r="A49" s="1407"/>
      <c r="B49" s="3296"/>
      <c r="C49" s="3296"/>
      <c r="D49" s="3297"/>
      <c r="E49" s="3298">
        <f t="shared" si="7"/>
        <v>0</v>
      </c>
      <c r="F49" s="3299"/>
      <c r="G49" s="3300">
        <f t="shared" si="8"/>
        <v>0</v>
      </c>
      <c r="H49" s="3301">
        <f t="shared" si="9"/>
        <v>0</v>
      </c>
      <c r="I49" s="3308"/>
      <c r="J49" s="3308"/>
      <c r="K49" s="3308"/>
      <c r="L49" s="3308"/>
      <c r="M49" s="3308"/>
      <c r="N49" s="3308"/>
      <c r="O49" s="3308"/>
      <c r="P49" s="3308"/>
      <c r="Q49" s="3308"/>
      <c r="R49" s="3308"/>
      <c r="S49" s="3308"/>
      <c r="T49" s="3308"/>
      <c r="U49" s="3308"/>
      <c r="V49" s="3308"/>
      <c r="W49" s="3308"/>
      <c r="X49" s="3308"/>
      <c r="Y49" s="3308"/>
      <c r="Z49" s="3308"/>
      <c r="AA49" s="3308"/>
      <c r="AB49" s="3308"/>
      <c r="AC49" s="3298">
        <f t="shared" si="10"/>
        <v>0</v>
      </c>
      <c r="AD49" s="3318"/>
      <c r="AE49" s="3318"/>
      <c r="AF49" s="3318"/>
      <c r="AG49" s="3318"/>
      <c r="AH49" s="3318"/>
      <c r="AI49" s="3318"/>
      <c r="AJ49" s="3318"/>
      <c r="AK49" s="3318"/>
      <c r="AL49" s="3318"/>
      <c r="AM49" s="3318"/>
      <c r="AN49" s="3318"/>
      <c r="AO49" s="3318"/>
      <c r="AP49" s="3318"/>
      <c r="AQ49" s="3318"/>
      <c r="AR49" s="3318"/>
      <c r="AS49" s="3318"/>
      <c r="AT49" s="3328"/>
      <c r="AU49" s="3329"/>
      <c r="AV49" s="963">
        <f t="shared" si="11"/>
        <v>0</v>
      </c>
      <c r="AW49" s="963">
        <f t="shared" si="12"/>
        <v>0</v>
      </c>
      <c r="AX49" s="963">
        <f t="shared" si="13"/>
        <v>0</v>
      </c>
      <c r="AY49" s="3343">
        <f t="shared" si="14"/>
        <v>0</v>
      </c>
      <c r="AZ49" s="3298">
        <f t="shared" si="15"/>
        <v>0</v>
      </c>
      <c r="BA49" s="3298">
        <f t="shared" si="16"/>
        <v>0</v>
      </c>
      <c r="BB49" s="3298">
        <f t="shared" si="17"/>
        <v>0</v>
      </c>
      <c r="BC49" s="3298">
        <f t="shared" si="18"/>
        <v>0</v>
      </c>
      <c r="BD49" s="3298">
        <f t="shared" si="19"/>
        <v>0</v>
      </c>
      <c r="BE49" s="3298">
        <f t="shared" si="20"/>
        <v>0</v>
      </c>
      <c r="BF49" s="3298">
        <f t="shared" si="21"/>
        <v>0</v>
      </c>
      <c r="BG49" s="3298">
        <f t="shared" si="22"/>
        <v>0</v>
      </c>
      <c r="BH49" s="3298">
        <f t="shared" si="23"/>
        <v>0</v>
      </c>
      <c r="BI49" s="3298">
        <f t="shared" si="24"/>
        <v>0</v>
      </c>
      <c r="BJ49" s="3298">
        <f t="shared" si="25"/>
        <v>0</v>
      </c>
      <c r="BK49" s="3298">
        <f t="shared" si="26"/>
        <v>0</v>
      </c>
      <c r="BL49" s="3298">
        <f t="shared" si="27"/>
        <v>0</v>
      </c>
      <c r="BM49" s="3298">
        <f t="shared" si="28"/>
        <v>0</v>
      </c>
      <c r="BN49" s="3298">
        <f t="shared" si="29"/>
        <v>0</v>
      </c>
      <c r="BO49" s="3298">
        <f t="shared" si="30"/>
        <v>0</v>
      </c>
      <c r="BP49" s="3298">
        <f t="shared" si="31"/>
        <v>0</v>
      </c>
      <c r="BQ49" s="3298">
        <f t="shared" si="32"/>
        <v>0</v>
      </c>
      <c r="BR49" s="3298">
        <f t="shared" si="33"/>
        <v>0</v>
      </c>
      <c r="BS49" s="3298">
        <f t="shared" si="34"/>
        <v>0</v>
      </c>
      <c r="BT49" s="3350">
        <f t="shared" si="35"/>
        <v>0</v>
      </c>
    </row>
    <row r="50" spans="1:72">
      <c r="A50" s="1407"/>
      <c r="B50" s="3296"/>
      <c r="C50" s="3296"/>
      <c r="D50" s="3297"/>
      <c r="E50" s="3298">
        <f t="shared" si="7"/>
        <v>0</v>
      </c>
      <c r="F50" s="3299"/>
      <c r="G50" s="3300">
        <f t="shared" si="8"/>
        <v>0</v>
      </c>
      <c r="H50" s="3301">
        <f t="shared" si="9"/>
        <v>0</v>
      </c>
      <c r="I50" s="3308"/>
      <c r="J50" s="3308"/>
      <c r="K50" s="3308"/>
      <c r="L50" s="3308"/>
      <c r="M50" s="3308"/>
      <c r="N50" s="3308"/>
      <c r="O50" s="3308"/>
      <c r="P50" s="3308"/>
      <c r="Q50" s="3308"/>
      <c r="R50" s="3308"/>
      <c r="S50" s="3308"/>
      <c r="T50" s="3308"/>
      <c r="U50" s="3308"/>
      <c r="V50" s="3308"/>
      <c r="W50" s="3308"/>
      <c r="X50" s="3308"/>
      <c r="Y50" s="3308"/>
      <c r="Z50" s="3308"/>
      <c r="AA50" s="3308"/>
      <c r="AB50" s="3308"/>
      <c r="AC50" s="3298">
        <f t="shared" si="10"/>
        <v>0</v>
      </c>
      <c r="AD50" s="3318"/>
      <c r="AE50" s="3318"/>
      <c r="AF50" s="3318"/>
      <c r="AG50" s="3318"/>
      <c r="AH50" s="3318"/>
      <c r="AI50" s="3318"/>
      <c r="AJ50" s="3318"/>
      <c r="AK50" s="3318"/>
      <c r="AL50" s="3318"/>
      <c r="AM50" s="3318"/>
      <c r="AN50" s="3318"/>
      <c r="AO50" s="3318"/>
      <c r="AP50" s="3318"/>
      <c r="AQ50" s="3318"/>
      <c r="AR50" s="3318"/>
      <c r="AS50" s="3318"/>
      <c r="AT50" s="3328"/>
      <c r="AU50" s="3329"/>
      <c r="AV50" s="963">
        <f t="shared" si="11"/>
        <v>0</v>
      </c>
      <c r="AW50" s="963">
        <f t="shared" si="12"/>
        <v>0</v>
      </c>
      <c r="AX50" s="963">
        <f t="shared" si="13"/>
        <v>0</v>
      </c>
      <c r="AY50" s="3343">
        <f t="shared" si="14"/>
        <v>0</v>
      </c>
      <c r="AZ50" s="3298">
        <f t="shared" si="15"/>
        <v>0</v>
      </c>
      <c r="BA50" s="3298">
        <f t="shared" si="16"/>
        <v>0</v>
      </c>
      <c r="BB50" s="3298">
        <f t="shared" si="17"/>
        <v>0</v>
      </c>
      <c r="BC50" s="3298">
        <f t="shared" si="18"/>
        <v>0</v>
      </c>
      <c r="BD50" s="3298">
        <f t="shared" si="19"/>
        <v>0</v>
      </c>
      <c r="BE50" s="3298">
        <f t="shared" si="20"/>
        <v>0</v>
      </c>
      <c r="BF50" s="3298">
        <f t="shared" si="21"/>
        <v>0</v>
      </c>
      <c r="BG50" s="3298">
        <f t="shared" si="22"/>
        <v>0</v>
      </c>
      <c r="BH50" s="3298">
        <f t="shared" si="23"/>
        <v>0</v>
      </c>
      <c r="BI50" s="3298">
        <f t="shared" si="24"/>
        <v>0</v>
      </c>
      <c r="BJ50" s="3298">
        <f t="shared" si="25"/>
        <v>0</v>
      </c>
      <c r="BK50" s="3298">
        <f t="shared" si="26"/>
        <v>0</v>
      </c>
      <c r="BL50" s="3298">
        <f t="shared" si="27"/>
        <v>0</v>
      </c>
      <c r="BM50" s="3298">
        <f t="shared" si="28"/>
        <v>0</v>
      </c>
      <c r="BN50" s="3298">
        <f t="shared" si="29"/>
        <v>0</v>
      </c>
      <c r="BO50" s="3298">
        <f t="shared" si="30"/>
        <v>0</v>
      </c>
      <c r="BP50" s="3298">
        <f t="shared" si="31"/>
        <v>0</v>
      </c>
      <c r="BQ50" s="3298">
        <f t="shared" si="32"/>
        <v>0</v>
      </c>
      <c r="BR50" s="3298">
        <f t="shared" si="33"/>
        <v>0</v>
      </c>
      <c r="BS50" s="3298">
        <f t="shared" si="34"/>
        <v>0</v>
      </c>
      <c r="BT50" s="3350">
        <f t="shared" si="35"/>
        <v>0</v>
      </c>
    </row>
    <row r="51" spans="1:72">
      <c r="A51" s="1407"/>
      <c r="B51" s="3296"/>
      <c r="C51" s="3296"/>
      <c r="D51" s="3297"/>
      <c r="E51" s="3298">
        <f t="shared" si="7"/>
        <v>0</v>
      </c>
      <c r="F51" s="3299"/>
      <c r="G51" s="3300">
        <f t="shared" si="8"/>
        <v>0</v>
      </c>
      <c r="H51" s="3301">
        <f t="shared" si="9"/>
        <v>0</v>
      </c>
      <c r="I51" s="3308"/>
      <c r="J51" s="3308"/>
      <c r="K51" s="3308"/>
      <c r="L51" s="3308"/>
      <c r="M51" s="3308"/>
      <c r="N51" s="3308"/>
      <c r="O51" s="3308"/>
      <c r="P51" s="3308"/>
      <c r="Q51" s="3308"/>
      <c r="R51" s="3308"/>
      <c r="S51" s="3308"/>
      <c r="T51" s="3308"/>
      <c r="U51" s="3308"/>
      <c r="V51" s="3308"/>
      <c r="W51" s="3308"/>
      <c r="X51" s="3308"/>
      <c r="Y51" s="3308"/>
      <c r="Z51" s="3308"/>
      <c r="AA51" s="3308"/>
      <c r="AB51" s="3308"/>
      <c r="AC51" s="3298">
        <f t="shared" si="10"/>
        <v>0</v>
      </c>
      <c r="AD51" s="3318"/>
      <c r="AE51" s="3318"/>
      <c r="AF51" s="3318"/>
      <c r="AG51" s="3318"/>
      <c r="AH51" s="3318"/>
      <c r="AI51" s="3318"/>
      <c r="AJ51" s="3318"/>
      <c r="AK51" s="3318"/>
      <c r="AL51" s="3318"/>
      <c r="AM51" s="3318"/>
      <c r="AN51" s="3318"/>
      <c r="AO51" s="3318"/>
      <c r="AP51" s="3318"/>
      <c r="AQ51" s="3318"/>
      <c r="AR51" s="3318"/>
      <c r="AS51" s="3318"/>
      <c r="AT51" s="3328"/>
      <c r="AU51" s="3329"/>
      <c r="AV51" s="963">
        <f t="shared" si="11"/>
        <v>0</v>
      </c>
      <c r="AW51" s="963">
        <f t="shared" si="12"/>
        <v>0</v>
      </c>
      <c r="AX51" s="963">
        <f t="shared" si="13"/>
        <v>0</v>
      </c>
      <c r="AY51" s="3343">
        <f t="shared" si="14"/>
        <v>0</v>
      </c>
      <c r="AZ51" s="3298">
        <f t="shared" si="15"/>
        <v>0</v>
      </c>
      <c r="BA51" s="3298">
        <f t="shared" si="16"/>
        <v>0</v>
      </c>
      <c r="BB51" s="3298">
        <f t="shared" si="17"/>
        <v>0</v>
      </c>
      <c r="BC51" s="3298">
        <f t="shared" si="18"/>
        <v>0</v>
      </c>
      <c r="BD51" s="3298">
        <f t="shared" si="19"/>
        <v>0</v>
      </c>
      <c r="BE51" s="3298">
        <f t="shared" si="20"/>
        <v>0</v>
      </c>
      <c r="BF51" s="3298">
        <f t="shared" si="21"/>
        <v>0</v>
      </c>
      <c r="BG51" s="3298">
        <f t="shared" si="22"/>
        <v>0</v>
      </c>
      <c r="BH51" s="3298">
        <f t="shared" si="23"/>
        <v>0</v>
      </c>
      <c r="BI51" s="3298">
        <f t="shared" si="24"/>
        <v>0</v>
      </c>
      <c r="BJ51" s="3298">
        <f t="shared" si="25"/>
        <v>0</v>
      </c>
      <c r="BK51" s="3298">
        <f t="shared" si="26"/>
        <v>0</v>
      </c>
      <c r="BL51" s="3298">
        <f t="shared" si="27"/>
        <v>0</v>
      </c>
      <c r="BM51" s="3298">
        <f t="shared" si="28"/>
        <v>0</v>
      </c>
      <c r="BN51" s="3298">
        <f t="shared" si="29"/>
        <v>0</v>
      </c>
      <c r="BO51" s="3298">
        <f t="shared" si="30"/>
        <v>0</v>
      </c>
      <c r="BP51" s="3298">
        <f t="shared" si="31"/>
        <v>0</v>
      </c>
      <c r="BQ51" s="3298">
        <f t="shared" si="32"/>
        <v>0</v>
      </c>
      <c r="BR51" s="3298">
        <f t="shared" si="33"/>
        <v>0</v>
      </c>
      <c r="BS51" s="3298">
        <f t="shared" si="34"/>
        <v>0</v>
      </c>
      <c r="BT51" s="3350">
        <f t="shared" si="35"/>
        <v>0</v>
      </c>
    </row>
    <row r="52" spans="1:72">
      <c r="A52" s="1407"/>
      <c r="B52" s="3296"/>
      <c r="C52" s="3296"/>
      <c r="D52" s="3297"/>
      <c r="E52" s="3298">
        <f t="shared" si="7"/>
        <v>0</v>
      </c>
      <c r="F52" s="3299"/>
      <c r="G52" s="3300">
        <f t="shared" si="8"/>
        <v>0</v>
      </c>
      <c r="H52" s="3301">
        <f t="shared" si="9"/>
        <v>0</v>
      </c>
      <c r="I52" s="3308"/>
      <c r="J52" s="3308"/>
      <c r="K52" s="3308"/>
      <c r="L52" s="3308"/>
      <c r="M52" s="3308"/>
      <c r="N52" s="3308"/>
      <c r="O52" s="3308"/>
      <c r="P52" s="3308"/>
      <c r="Q52" s="3308"/>
      <c r="R52" s="3308"/>
      <c r="S52" s="3308"/>
      <c r="T52" s="3308"/>
      <c r="U52" s="3308"/>
      <c r="V52" s="3308"/>
      <c r="W52" s="3308"/>
      <c r="X52" s="3308"/>
      <c r="Y52" s="3308"/>
      <c r="Z52" s="3308"/>
      <c r="AA52" s="3308"/>
      <c r="AB52" s="3308"/>
      <c r="AC52" s="3298">
        <f t="shared" si="10"/>
        <v>0</v>
      </c>
      <c r="AD52" s="3318"/>
      <c r="AE52" s="3318"/>
      <c r="AF52" s="3318"/>
      <c r="AG52" s="3318"/>
      <c r="AH52" s="3318"/>
      <c r="AI52" s="3318"/>
      <c r="AJ52" s="3318"/>
      <c r="AK52" s="3318"/>
      <c r="AL52" s="3318"/>
      <c r="AM52" s="3318"/>
      <c r="AN52" s="3318"/>
      <c r="AO52" s="3318"/>
      <c r="AP52" s="3318"/>
      <c r="AQ52" s="3318"/>
      <c r="AR52" s="3318"/>
      <c r="AS52" s="3318"/>
      <c r="AT52" s="3328"/>
      <c r="AU52" s="3329"/>
      <c r="AV52" s="963">
        <f t="shared" si="11"/>
        <v>0</v>
      </c>
      <c r="AW52" s="963">
        <f t="shared" si="12"/>
        <v>0</v>
      </c>
      <c r="AX52" s="963">
        <f t="shared" si="13"/>
        <v>0</v>
      </c>
      <c r="AY52" s="3343">
        <f t="shared" si="14"/>
        <v>0</v>
      </c>
      <c r="AZ52" s="3298">
        <f t="shared" si="15"/>
        <v>0</v>
      </c>
      <c r="BA52" s="3298">
        <f t="shared" si="16"/>
        <v>0</v>
      </c>
      <c r="BB52" s="3298">
        <f t="shared" si="17"/>
        <v>0</v>
      </c>
      <c r="BC52" s="3298">
        <f t="shared" si="18"/>
        <v>0</v>
      </c>
      <c r="BD52" s="3298">
        <f t="shared" si="19"/>
        <v>0</v>
      </c>
      <c r="BE52" s="3298">
        <f t="shared" si="20"/>
        <v>0</v>
      </c>
      <c r="BF52" s="3298">
        <f t="shared" si="21"/>
        <v>0</v>
      </c>
      <c r="BG52" s="3298">
        <f t="shared" si="22"/>
        <v>0</v>
      </c>
      <c r="BH52" s="3298">
        <f t="shared" si="23"/>
        <v>0</v>
      </c>
      <c r="BI52" s="3298">
        <f t="shared" si="24"/>
        <v>0</v>
      </c>
      <c r="BJ52" s="3298">
        <f t="shared" si="25"/>
        <v>0</v>
      </c>
      <c r="BK52" s="3298">
        <f t="shared" si="26"/>
        <v>0</v>
      </c>
      <c r="BL52" s="3298">
        <f t="shared" si="27"/>
        <v>0</v>
      </c>
      <c r="BM52" s="3298">
        <f t="shared" si="28"/>
        <v>0</v>
      </c>
      <c r="BN52" s="3298">
        <f t="shared" si="29"/>
        <v>0</v>
      </c>
      <c r="BO52" s="3298">
        <f t="shared" si="30"/>
        <v>0</v>
      </c>
      <c r="BP52" s="3298">
        <f t="shared" si="31"/>
        <v>0</v>
      </c>
      <c r="BQ52" s="3298">
        <f t="shared" si="32"/>
        <v>0</v>
      </c>
      <c r="BR52" s="3298">
        <f t="shared" si="33"/>
        <v>0</v>
      </c>
      <c r="BS52" s="3298">
        <f t="shared" si="34"/>
        <v>0</v>
      </c>
      <c r="BT52" s="3350">
        <f t="shared" si="35"/>
        <v>0</v>
      </c>
    </row>
    <row r="53" spans="1:72">
      <c r="A53" s="1407"/>
      <c r="B53" s="3296"/>
      <c r="C53" s="3296"/>
      <c r="D53" s="3297"/>
      <c r="E53" s="3298">
        <f t="shared" si="7"/>
        <v>0</v>
      </c>
      <c r="F53" s="3299"/>
      <c r="G53" s="3300">
        <f t="shared" si="8"/>
        <v>0</v>
      </c>
      <c r="H53" s="3301">
        <f t="shared" si="9"/>
        <v>0</v>
      </c>
      <c r="I53" s="3308"/>
      <c r="J53" s="3308"/>
      <c r="K53" s="3308"/>
      <c r="L53" s="3308"/>
      <c r="M53" s="3308"/>
      <c r="N53" s="3308"/>
      <c r="O53" s="3308"/>
      <c r="P53" s="3308"/>
      <c r="Q53" s="3308"/>
      <c r="R53" s="3308"/>
      <c r="S53" s="3308"/>
      <c r="T53" s="3308"/>
      <c r="U53" s="3308"/>
      <c r="V53" s="3308"/>
      <c r="W53" s="3308"/>
      <c r="X53" s="3308"/>
      <c r="Y53" s="3308"/>
      <c r="Z53" s="3308"/>
      <c r="AA53" s="3308"/>
      <c r="AB53" s="3308"/>
      <c r="AC53" s="3298">
        <f t="shared" si="10"/>
        <v>0</v>
      </c>
      <c r="AD53" s="3318"/>
      <c r="AE53" s="3318"/>
      <c r="AF53" s="3318"/>
      <c r="AG53" s="3318"/>
      <c r="AH53" s="3318"/>
      <c r="AI53" s="3318"/>
      <c r="AJ53" s="3318"/>
      <c r="AK53" s="3318"/>
      <c r="AL53" s="3318"/>
      <c r="AM53" s="3318"/>
      <c r="AN53" s="3318"/>
      <c r="AO53" s="3318"/>
      <c r="AP53" s="3318"/>
      <c r="AQ53" s="3318"/>
      <c r="AR53" s="3318"/>
      <c r="AS53" s="3318"/>
      <c r="AT53" s="3328"/>
      <c r="AU53" s="3329"/>
      <c r="AV53" s="963">
        <f t="shared" si="11"/>
        <v>0</v>
      </c>
      <c r="AW53" s="963">
        <f t="shared" si="12"/>
        <v>0</v>
      </c>
      <c r="AX53" s="963">
        <f t="shared" si="13"/>
        <v>0</v>
      </c>
      <c r="AY53" s="3343">
        <f t="shared" si="14"/>
        <v>0</v>
      </c>
      <c r="AZ53" s="3298">
        <f t="shared" si="15"/>
        <v>0</v>
      </c>
      <c r="BA53" s="3298">
        <f t="shared" si="16"/>
        <v>0</v>
      </c>
      <c r="BB53" s="3298">
        <f t="shared" si="17"/>
        <v>0</v>
      </c>
      <c r="BC53" s="3298">
        <f t="shared" si="18"/>
        <v>0</v>
      </c>
      <c r="BD53" s="3298">
        <f t="shared" si="19"/>
        <v>0</v>
      </c>
      <c r="BE53" s="3298">
        <f t="shared" si="20"/>
        <v>0</v>
      </c>
      <c r="BF53" s="3298">
        <f t="shared" si="21"/>
        <v>0</v>
      </c>
      <c r="BG53" s="3298">
        <f t="shared" si="22"/>
        <v>0</v>
      </c>
      <c r="BH53" s="3298">
        <f t="shared" si="23"/>
        <v>0</v>
      </c>
      <c r="BI53" s="3298">
        <f t="shared" si="24"/>
        <v>0</v>
      </c>
      <c r="BJ53" s="3298">
        <f t="shared" si="25"/>
        <v>0</v>
      </c>
      <c r="BK53" s="3298">
        <f t="shared" si="26"/>
        <v>0</v>
      </c>
      <c r="BL53" s="3298">
        <f t="shared" si="27"/>
        <v>0</v>
      </c>
      <c r="BM53" s="3298">
        <f t="shared" si="28"/>
        <v>0</v>
      </c>
      <c r="BN53" s="3298">
        <f t="shared" si="29"/>
        <v>0</v>
      </c>
      <c r="BO53" s="3298">
        <f t="shared" si="30"/>
        <v>0</v>
      </c>
      <c r="BP53" s="3298">
        <f t="shared" si="31"/>
        <v>0</v>
      </c>
      <c r="BQ53" s="3298">
        <f t="shared" si="32"/>
        <v>0</v>
      </c>
      <c r="BR53" s="3298">
        <f t="shared" si="33"/>
        <v>0</v>
      </c>
      <c r="BS53" s="3298">
        <f t="shared" si="34"/>
        <v>0</v>
      </c>
      <c r="BT53" s="3350">
        <f t="shared" si="35"/>
        <v>0</v>
      </c>
    </row>
    <row r="54" spans="1:72">
      <c r="A54" s="1407"/>
      <c r="B54" s="3296"/>
      <c r="C54" s="3296"/>
      <c r="D54" s="3297"/>
      <c r="E54" s="3298">
        <f t="shared" si="7"/>
        <v>0</v>
      </c>
      <c r="F54" s="3299"/>
      <c r="G54" s="3300">
        <f t="shared" si="8"/>
        <v>0</v>
      </c>
      <c r="H54" s="3301">
        <f t="shared" si="9"/>
        <v>0</v>
      </c>
      <c r="I54" s="3308"/>
      <c r="J54" s="3308"/>
      <c r="K54" s="3308"/>
      <c r="L54" s="3308"/>
      <c r="M54" s="3308"/>
      <c r="N54" s="3308"/>
      <c r="O54" s="3308"/>
      <c r="P54" s="3308"/>
      <c r="Q54" s="3308"/>
      <c r="R54" s="3308"/>
      <c r="S54" s="3308"/>
      <c r="T54" s="3308"/>
      <c r="U54" s="3308"/>
      <c r="V54" s="3308"/>
      <c r="W54" s="3308"/>
      <c r="X54" s="3308"/>
      <c r="Y54" s="3308"/>
      <c r="Z54" s="3308"/>
      <c r="AA54" s="3308"/>
      <c r="AB54" s="3308"/>
      <c r="AC54" s="3298">
        <f t="shared" si="10"/>
        <v>0</v>
      </c>
      <c r="AD54" s="3318"/>
      <c r="AE54" s="3318"/>
      <c r="AF54" s="3318"/>
      <c r="AG54" s="3318"/>
      <c r="AH54" s="3318"/>
      <c r="AI54" s="3318"/>
      <c r="AJ54" s="3318"/>
      <c r="AK54" s="3318"/>
      <c r="AL54" s="3318"/>
      <c r="AM54" s="3318"/>
      <c r="AN54" s="3318"/>
      <c r="AO54" s="3318"/>
      <c r="AP54" s="3318"/>
      <c r="AQ54" s="3318"/>
      <c r="AR54" s="3318"/>
      <c r="AS54" s="3318"/>
      <c r="AT54" s="3328"/>
      <c r="AU54" s="3329"/>
      <c r="AV54" s="963">
        <f t="shared" si="11"/>
        <v>0</v>
      </c>
      <c r="AW54" s="963">
        <f t="shared" si="12"/>
        <v>0</v>
      </c>
      <c r="AX54" s="963">
        <f t="shared" si="13"/>
        <v>0</v>
      </c>
      <c r="AY54" s="3343">
        <f t="shared" si="14"/>
        <v>0</v>
      </c>
      <c r="AZ54" s="3298">
        <f t="shared" si="15"/>
        <v>0</v>
      </c>
      <c r="BA54" s="3298">
        <f t="shared" si="16"/>
        <v>0</v>
      </c>
      <c r="BB54" s="3298">
        <f t="shared" si="17"/>
        <v>0</v>
      </c>
      <c r="BC54" s="3298">
        <f t="shared" si="18"/>
        <v>0</v>
      </c>
      <c r="BD54" s="3298">
        <f t="shared" si="19"/>
        <v>0</v>
      </c>
      <c r="BE54" s="3298">
        <f t="shared" si="20"/>
        <v>0</v>
      </c>
      <c r="BF54" s="3298">
        <f t="shared" si="21"/>
        <v>0</v>
      </c>
      <c r="BG54" s="3298">
        <f t="shared" si="22"/>
        <v>0</v>
      </c>
      <c r="BH54" s="3298">
        <f t="shared" si="23"/>
        <v>0</v>
      </c>
      <c r="BI54" s="3298">
        <f t="shared" si="24"/>
        <v>0</v>
      </c>
      <c r="BJ54" s="3298">
        <f t="shared" si="25"/>
        <v>0</v>
      </c>
      <c r="BK54" s="3298">
        <f t="shared" si="26"/>
        <v>0</v>
      </c>
      <c r="BL54" s="3298">
        <f t="shared" si="27"/>
        <v>0</v>
      </c>
      <c r="BM54" s="3298">
        <f t="shared" si="28"/>
        <v>0</v>
      </c>
      <c r="BN54" s="3298">
        <f t="shared" si="29"/>
        <v>0</v>
      </c>
      <c r="BO54" s="3298">
        <f t="shared" si="30"/>
        <v>0</v>
      </c>
      <c r="BP54" s="3298">
        <f t="shared" si="31"/>
        <v>0</v>
      </c>
      <c r="BQ54" s="3298">
        <f t="shared" si="32"/>
        <v>0</v>
      </c>
      <c r="BR54" s="3298">
        <f t="shared" si="33"/>
        <v>0</v>
      </c>
      <c r="BS54" s="3298">
        <f t="shared" si="34"/>
        <v>0</v>
      </c>
      <c r="BT54" s="3350">
        <f t="shared" si="35"/>
        <v>0</v>
      </c>
    </row>
    <row r="55" spans="1:72">
      <c r="A55" s="1407"/>
      <c r="B55" s="3296"/>
      <c r="C55" s="3296"/>
      <c r="D55" s="3297"/>
      <c r="E55" s="3298">
        <f t="shared" si="7"/>
        <v>0</v>
      </c>
      <c r="F55" s="3299"/>
      <c r="G55" s="3300">
        <f t="shared" si="8"/>
        <v>0</v>
      </c>
      <c r="H55" s="3301">
        <f t="shared" si="9"/>
        <v>0</v>
      </c>
      <c r="I55" s="3308"/>
      <c r="J55" s="3308"/>
      <c r="K55" s="3308"/>
      <c r="L55" s="3308"/>
      <c r="M55" s="3308"/>
      <c r="N55" s="3308"/>
      <c r="O55" s="3308"/>
      <c r="P55" s="3308"/>
      <c r="Q55" s="3308"/>
      <c r="R55" s="3308"/>
      <c r="S55" s="3308"/>
      <c r="T55" s="3308"/>
      <c r="U55" s="3308"/>
      <c r="V55" s="3308"/>
      <c r="W55" s="3308"/>
      <c r="X55" s="3308"/>
      <c r="Y55" s="3308"/>
      <c r="Z55" s="3308"/>
      <c r="AA55" s="3308"/>
      <c r="AB55" s="3308"/>
      <c r="AC55" s="3298">
        <f t="shared" si="10"/>
        <v>0</v>
      </c>
      <c r="AD55" s="3318"/>
      <c r="AE55" s="3318"/>
      <c r="AF55" s="3318"/>
      <c r="AG55" s="3318"/>
      <c r="AH55" s="3318"/>
      <c r="AI55" s="3318"/>
      <c r="AJ55" s="3318"/>
      <c r="AK55" s="3318"/>
      <c r="AL55" s="3318"/>
      <c r="AM55" s="3318"/>
      <c r="AN55" s="3318"/>
      <c r="AO55" s="3318"/>
      <c r="AP55" s="3318"/>
      <c r="AQ55" s="3318"/>
      <c r="AR55" s="3318"/>
      <c r="AS55" s="3318"/>
      <c r="AT55" s="3328"/>
      <c r="AU55" s="3329"/>
      <c r="AV55" s="963">
        <f t="shared" si="11"/>
        <v>0</v>
      </c>
      <c r="AW55" s="963">
        <f t="shared" si="12"/>
        <v>0</v>
      </c>
      <c r="AX55" s="963">
        <f t="shared" si="13"/>
        <v>0</v>
      </c>
      <c r="AY55" s="3343">
        <f t="shared" si="14"/>
        <v>0</v>
      </c>
      <c r="AZ55" s="3298">
        <f t="shared" si="15"/>
        <v>0</v>
      </c>
      <c r="BA55" s="3298">
        <f t="shared" si="16"/>
        <v>0</v>
      </c>
      <c r="BB55" s="3298">
        <f t="shared" si="17"/>
        <v>0</v>
      </c>
      <c r="BC55" s="3298">
        <f t="shared" si="18"/>
        <v>0</v>
      </c>
      <c r="BD55" s="3298">
        <f t="shared" si="19"/>
        <v>0</v>
      </c>
      <c r="BE55" s="3298">
        <f t="shared" si="20"/>
        <v>0</v>
      </c>
      <c r="BF55" s="3298">
        <f t="shared" si="21"/>
        <v>0</v>
      </c>
      <c r="BG55" s="3298">
        <f t="shared" si="22"/>
        <v>0</v>
      </c>
      <c r="BH55" s="3298">
        <f t="shared" si="23"/>
        <v>0</v>
      </c>
      <c r="BI55" s="3298">
        <f t="shared" si="24"/>
        <v>0</v>
      </c>
      <c r="BJ55" s="3298">
        <f t="shared" si="25"/>
        <v>0</v>
      </c>
      <c r="BK55" s="3298">
        <f t="shared" si="26"/>
        <v>0</v>
      </c>
      <c r="BL55" s="3298">
        <f t="shared" si="27"/>
        <v>0</v>
      </c>
      <c r="BM55" s="3298">
        <f t="shared" si="28"/>
        <v>0</v>
      </c>
      <c r="BN55" s="3298">
        <f t="shared" si="29"/>
        <v>0</v>
      </c>
      <c r="BO55" s="3298">
        <f t="shared" si="30"/>
        <v>0</v>
      </c>
      <c r="BP55" s="3298">
        <f t="shared" si="31"/>
        <v>0</v>
      </c>
      <c r="BQ55" s="3298">
        <f t="shared" si="32"/>
        <v>0</v>
      </c>
      <c r="BR55" s="3298">
        <f t="shared" si="33"/>
        <v>0</v>
      </c>
      <c r="BS55" s="3298">
        <f t="shared" si="34"/>
        <v>0</v>
      </c>
      <c r="BT55" s="3350">
        <f t="shared" si="35"/>
        <v>0</v>
      </c>
    </row>
    <row r="56" spans="1:72">
      <c r="A56" s="1407"/>
      <c r="B56" s="3296"/>
      <c r="C56" s="3296"/>
      <c r="D56" s="3297"/>
      <c r="E56" s="3298">
        <f t="shared" si="7"/>
        <v>0</v>
      </c>
      <c r="F56" s="3299"/>
      <c r="G56" s="3300">
        <f t="shared" si="8"/>
        <v>0</v>
      </c>
      <c r="H56" s="3301">
        <f t="shared" si="9"/>
        <v>0</v>
      </c>
      <c r="I56" s="3308"/>
      <c r="J56" s="3308"/>
      <c r="K56" s="3308"/>
      <c r="L56" s="3308"/>
      <c r="M56" s="3308"/>
      <c r="N56" s="3308"/>
      <c r="O56" s="3308"/>
      <c r="P56" s="3308"/>
      <c r="Q56" s="3308"/>
      <c r="R56" s="3308"/>
      <c r="S56" s="3308"/>
      <c r="T56" s="3308"/>
      <c r="U56" s="3308"/>
      <c r="V56" s="3308"/>
      <c r="W56" s="3308"/>
      <c r="X56" s="3308"/>
      <c r="Y56" s="3308"/>
      <c r="Z56" s="3308"/>
      <c r="AA56" s="3308"/>
      <c r="AB56" s="3308"/>
      <c r="AC56" s="3298">
        <f t="shared" si="10"/>
        <v>0</v>
      </c>
      <c r="AD56" s="3318"/>
      <c r="AE56" s="3318"/>
      <c r="AF56" s="3318"/>
      <c r="AG56" s="3318"/>
      <c r="AH56" s="3318"/>
      <c r="AI56" s="3318"/>
      <c r="AJ56" s="3318"/>
      <c r="AK56" s="3318"/>
      <c r="AL56" s="3318"/>
      <c r="AM56" s="3318"/>
      <c r="AN56" s="3318"/>
      <c r="AO56" s="3318"/>
      <c r="AP56" s="3318"/>
      <c r="AQ56" s="3318"/>
      <c r="AR56" s="3318"/>
      <c r="AS56" s="3318"/>
      <c r="AT56" s="3328"/>
      <c r="AU56" s="3329"/>
      <c r="AV56" s="963">
        <f t="shared" si="11"/>
        <v>0</v>
      </c>
      <c r="AW56" s="963">
        <f t="shared" si="12"/>
        <v>0</v>
      </c>
      <c r="AX56" s="963">
        <f t="shared" si="13"/>
        <v>0</v>
      </c>
      <c r="AY56" s="3343">
        <f t="shared" si="14"/>
        <v>0</v>
      </c>
      <c r="AZ56" s="3298">
        <f t="shared" si="15"/>
        <v>0</v>
      </c>
      <c r="BA56" s="3298">
        <f t="shared" si="16"/>
        <v>0</v>
      </c>
      <c r="BB56" s="3298">
        <f t="shared" si="17"/>
        <v>0</v>
      </c>
      <c r="BC56" s="3298">
        <f t="shared" si="18"/>
        <v>0</v>
      </c>
      <c r="BD56" s="3298">
        <f t="shared" si="19"/>
        <v>0</v>
      </c>
      <c r="BE56" s="3298">
        <f t="shared" si="20"/>
        <v>0</v>
      </c>
      <c r="BF56" s="3298">
        <f t="shared" si="21"/>
        <v>0</v>
      </c>
      <c r="BG56" s="3298">
        <f t="shared" si="22"/>
        <v>0</v>
      </c>
      <c r="BH56" s="3298">
        <f t="shared" si="23"/>
        <v>0</v>
      </c>
      <c r="BI56" s="3298">
        <f t="shared" si="24"/>
        <v>0</v>
      </c>
      <c r="BJ56" s="3298">
        <f t="shared" si="25"/>
        <v>0</v>
      </c>
      <c r="BK56" s="3298">
        <f t="shared" si="26"/>
        <v>0</v>
      </c>
      <c r="BL56" s="3298">
        <f t="shared" si="27"/>
        <v>0</v>
      </c>
      <c r="BM56" s="3298">
        <f t="shared" si="28"/>
        <v>0</v>
      </c>
      <c r="BN56" s="3298">
        <f t="shared" si="29"/>
        <v>0</v>
      </c>
      <c r="BO56" s="3298">
        <f t="shared" si="30"/>
        <v>0</v>
      </c>
      <c r="BP56" s="3298">
        <f t="shared" si="31"/>
        <v>0</v>
      </c>
      <c r="BQ56" s="3298">
        <f t="shared" si="32"/>
        <v>0</v>
      </c>
      <c r="BR56" s="3298">
        <f t="shared" si="33"/>
        <v>0</v>
      </c>
      <c r="BS56" s="3298">
        <f t="shared" si="34"/>
        <v>0</v>
      </c>
      <c r="BT56" s="3350">
        <f t="shared" si="35"/>
        <v>0</v>
      </c>
    </row>
    <row r="57" spans="1:72">
      <c r="A57" s="1407"/>
      <c r="B57" s="3296"/>
      <c r="C57" s="3296"/>
      <c r="D57" s="3297"/>
      <c r="E57" s="3298">
        <f t="shared" si="7"/>
        <v>0</v>
      </c>
      <c r="F57" s="3299"/>
      <c r="G57" s="3300">
        <f t="shared" si="8"/>
        <v>0</v>
      </c>
      <c r="H57" s="3301">
        <f t="shared" si="9"/>
        <v>0</v>
      </c>
      <c r="I57" s="3308"/>
      <c r="J57" s="3308"/>
      <c r="K57" s="3308"/>
      <c r="L57" s="3308"/>
      <c r="M57" s="3308"/>
      <c r="N57" s="3308"/>
      <c r="O57" s="3308"/>
      <c r="P57" s="3308"/>
      <c r="Q57" s="3308"/>
      <c r="R57" s="3308"/>
      <c r="S57" s="3308"/>
      <c r="T57" s="3308"/>
      <c r="U57" s="3308"/>
      <c r="V57" s="3308"/>
      <c r="W57" s="3308"/>
      <c r="X57" s="3308"/>
      <c r="Y57" s="3308"/>
      <c r="Z57" s="3308"/>
      <c r="AA57" s="3308"/>
      <c r="AB57" s="3308"/>
      <c r="AC57" s="3298">
        <f t="shared" si="10"/>
        <v>0</v>
      </c>
      <c r="AD57" s="3318"/>
      <c r="AE57" s="3318"/>
      <c r="AF57" s="3318"/>
      <c r="AG57" s="3318"/>
      <c r="AH57" s="3318"/>
      <c r="AI57" s="3318"/>
      <c r="AJ57" s="3318"/>
      <c r="AK57" s="3318"/>
      <c r="AL57" s="3318"/>
      <c r="AM57" s="3318"/>
      <c r="AN57" s="3318"/>
      <c r="AO57" s="3318"/>
      <c r="AP57" s="3318"/>
      <c r="AQ57" s="3318"/>
      <c r="AR57" s="3318"/>
      <c r="AS57" s="3318"/>
      <c r="AT57" s="3328"/>
      <c r="AU57" s="3329"/>
      <c r="AV57" s="963">
        <f t="shared" si="11"/>
        <v>0</v>
      </c>
      <c r="AW57" s="963">
        <f t="shared" si="12"/>
        <v>0</v>
      </c>
      <c r="AX57" s="963">
        <f t="shared" si="13"/>
        <v>0</v>
      </c>
      <c r="AY57" s="3343">
        <f t="shared" si="14"/>
        <v>0</v>
      </c>
      <c r="AZ57" s="3298">
        <f t="shared" si="15"/>
        <v>0</v>
      </c>
      <c r="BA57" s="3298">
        <f t="shared" si="16"/>
        <v>0</v>
      </c>
      <c r="BB57" s="3298">
        <f t="shared" si="17"/>
        <v>0</v>
      </c>
      <c r="BC57" s="3298">
        <f t="shared" si="18"/>
        <v>0</v>
      </c>
      <c r="BD57" s="3298">
        <f t="shared" si="19"/>
        <v>0</v>
      </c>
      <c r="BE57" s="3298">
        <f t="shared" si="20"/>
        <v>0</v>
      </c>
      <c r="BF57" s="3298">
        <f t="shared" si="21"/>
        <v>0</v>
      </c>
      <c r="BG57" s="3298">
        <f t="shared" si="22"/>
        <v>0</v>
      </c>
      <c r="BH57" s="3298">
        <f t="shared" si="23"/>
        <v>0</v>
      </c>
      <c r="BI57" s="3298">
        <f t="shared" si="24"/>
        <v>0</v>
      </c>
      <c r="BJ57" s="3298">
        <f t="shared" si="25"/>
        <v>0</v>
      </c>
      <c r="BK57" s="3298">
        <f t="shared" si="26"/>
        <v>0</v>
      </c>
      <c r="BL57" s="3298">
        <f t="shared" si="27"/>
        <v>0</v>
      </c>
      <c r="BM57" s="3298">
        <f t="shared" si="28"/>
        <v>0</v>
      </c>
      <c r="BN57" s="3298">
        <f t="shared" si="29"/>
        <v>0</v>
      </c>
      <c r="BO57" s="3298">
        <f t="shared" si="30"/>
        <v>0</v>
      </c>
      <c r="BP57" s="3298">
        <f t="shared" si="31"/>
        <v>0</v>
      </c>
      <c r="BQ57" s="3298">
        <f t="shared" si="32"/>
        <v>0</v>
      </c>
      <c r="BR57" s="3298">
        <f t="shared" si="33"/>
        <v>0</v>
      </c>
      <c r="BS57" s="3298">
        <f t="shared" si="34"/>
        <v>0</v>
      </c>
      <c r="BT57" s="3350">
        <f t="shared" si="35"/>
        <v>0</v>
      </c>
    </row>
    <row r="58" spans="1:72">
      <c r="A58" s="1407"/>
      <c r="B58" s="3296"/>
      <c r="C58" s="3296"/>
      <c r="D58" s="3297"/>
      <c r="E58" s="3298">
        <f t="shared" si="7"/>
        <v>0</v>
      </c>
      <c r="F58" s="3299"/>
      <c r="G58" s="3300">
        <f t="shared" si="8"/>
        <v>0</v>
      </c>
      <c r="H58" s="3301">
        <f t="shared" si="9"/>
        <v>0</v>
      </c>
      <c r="I58" s="3308"/>
      <c r="J58" s="3308"/>
      <c r="K58" s="3308"/>
      <c r="L58" s="3308"/>
      <c r="M58" s="3308"/>
      <c r="N58" s="3308"/>
      <c r="O58" s="3308"/>
      <c r="P58" s="3308"/>
      <c r="Q58" s="3308"/>
      <c r="R58" s="3308"/>
      <c r="S58" s="3308"/>
      <c r="T58" s="3308"/>
      <c r="U58" s="3308"/>
      <c r="V58" s="3308"/>
      <c r="W58" s="3308"/>
      <c r="X58" s="3308"/>
      <c r="Y58" s="3308"/>
      <c r="Z58" s="3308"/>
      <c r="AA58" s="3308"/>
      <c r="AB58" s="3308"/>
      <c r="AC58" s="3298">
        <f t="shared" si="10"/>
        <v>0</v>
      </c>
      <c r="AD58" s="3318"/>
      <c r="AE58" s="3318"/>
      <c r="AF58" s="3318"/>
      <c r="AG58" s="3318"/>
      <c r="AH58" s="3318"/>
      <c r="AI58" s="3318"/>
      <c r="AJ58" s="3318"/>
      <c r="AK58" s="3318"/>
      <c r="AL58" s="3318"/>
      <c r="AM58" s="3318"/>
      <c r="AN58" s="3318"/>
      <c r="AO58" s="3318"/>
      <c r="AP58" s="3318"/>
      <c r="AQ58" s="3318"/>
      <c r="AR58" s="3318"/>
      <c r="AS58" s="3318"/>
      <c r="AT58" s="3328"/>
      <c r="AU58" s="3329"/>
      <c r="AV58" s="963">
        <f t="shared" si="11"/>
        <v>0</v>
      </c>
      <c r="AW58" s="963">
        <f t="shared" si="12"/>
        <v>0</v>
      </c>
      <c r="AX58" s="963">
        <f t="shared" si="13"/>
        <v>0</v>
      </c>
      <c r="AY58" s="3343">
        <f t="shared" si="14"/>
        <v>0</v>
      </c>
      <c r="AZ58" s="3298">
        <f t="shared" si="15"/>
        <v>0</v>
      </c>
      <c r="BA58" s="3298">
        <f t="shared" si="16"/>
        <v>0</v>
      </c>
      <c r="BB58" s="3298">
        <f t="shared" si="17"/>
        <v>0</v>
      </c>
      <c r="BC58" s="3298">
        <f t="shared" si="18"/>
        <v>0</v>
      </c>
      <c r="BD58" s="3298">
        <f t="shared" si="19"/>
        <v>0</v>
      </c>
      <c r="BE58" s="3298">
        <f t="shared" si="20"/>
        <v>0</v>
      </c>
      <c r="BF58" s="3298">
        <f t="shared" si="21"/>
        <v>0</v>
      </c>
      <c r="BG58" s="3298">
        <f t="shared" si="22"/>
        <v>0</v>
      </c>
      <c r="BH58" s="3298">
        <f t="shared" si="23"/>
        <v>0</v>
      </c>
      <c r="BI58" s="3298">
        <f t="shared" si="24"/>
        <v>0</v>
      </c>
      <c r="BJ58" s="3298">
        <f t="shared" si="25"/>
        <v>0</v>
      </c>
      <c r="BK58" s="3298">
        <f t="shared" si="26"/>
        <v>0</v>
      </c>
      <c r="BL58" s="3298">
        <f t="shared" si="27"/>
        <v>0</v>
      </c>
      <c r="BM58" s="3298">
        <f t="shared" si="28"/>
        <v>0</v>
      </c>
      <c r="BN58" s="3298">
        <f t="shared" si="29"/>
        <v>0</v>
      </c>
      <c r="BO58" s="3298">
        <f t="shared" si="30"/>
        <v>0</v>
      </c>
      <c r="BP58" s="3298">
        <f t="shared" si="31"/>
        <v>0</v>
      </c>
      <c r="BQ58" s="3298">
        <f t="shared" si="32"/>
        <v>0</v>
      </c>
      <c r="BR58" s="3298">
        <f t="shared" si="33"/>
        <v>0</v>
      </c>
      <c r="BS58" s="3298">
        <f t="shared" si="34"/>
        <v>0</v>
      </c>
      <c r="BT58" s="3350">
        <f t="shared" si="35"/>
        <v>0</v>
      </c>
    </row>
    <row r="59" spans="1:72">
      <c r="A59" s="1407"/>
      <c r="B59" s="3296"/>
      <c r="C59" s="3296"/>
      <c r="D59" s="3297"/>
      <c r="E59" s="3298">
        <f t="shared" si="7"/>
        <v>0</v>
      </c>
      <c r="F59" s="3299"/>
      <c r="G59" s="3300">
        <f t="shared" si="8"/>
        <v>0</v>
      </c>
      <c r="H59" s="3301">
        <f t="shared" si="9"/>
        <v>0</v>
      </c>
      <c r="I59" s="3308"/>
      <c r="J59" s="3308"/>
      <c r="K59" s="3308"/>
      <c r="L59" s="3308"/>
      <c r="M59" s="3308"/>
      <c r="N59" s="3308"/>
      <c r="O59" s="3308"/>
      <c r="P59" s="3308"/>
      <c r="Q59" s="3308"/>
      <c r="R59" s="3308"/>
      <c r="S59" s="3308"/>
      <c r="T59" s="3308"/>
      <c r="U59" s="3308"/>
      <c r="V59" s="3308"/>
      <c r="W59" s="3308"/>
      <c r="X59" s="3308"/>
      <c r="Y59" s="3308"/>
      <c r="Z59" s="3308"/>
      <c r="AA59" s="3308"/>
      <c r="AB59" s="3308"/>
      <c r="AC59" s="3298">
        <f t="shared" si="10"/>
        <v>0</v>
      </c>
      <c r="AD59" s="3318"/>
      <c r="AE59" s="3318"/>
      <c r="AF59" s="3318"/>
      <c r="AG59" s="3318"/>
      <c r="AH59" s="3318"/>
      <c r="AI59" s="3318"/>
      <c r="AJ59" s="3318"/>
      <c r="AK59" s="3318"/>
      <c r="AL59" s="3318"/>
      <c r="AM59" s="3318"/>
      <c r="AN59" s="3318"/>
      <c r="AO59" s="3318"/>
      <c r="AP59" s="3318"/>
      <c r="AQ59" s="3318"/>
      <c r="AR59" s="3318"/>
      <c r="AS59" s="3318"/>
      <c r="AT59" s="3328"/>
      <c r="AU59" s="3329"/>
      <c r="AV59" s="963">
        <f t="shared" si="11"/>
        <v>0</v>
      </c>
      <c r="AW59" s="963">
        <f t="shared" si="12"/>
        <v>0</v>
      </c>
      <c r="AX59" s="963">
        <f t="shared" si="13"/>
        <v>0</v>
      </c>
      <c r="AY59" s="3343">
        <f t="shared" si="14"/>
        <v>0</v>
      </c>
      <c r="AZ59" s="3298">
        <f t="shared" si="15"/>
        <v>0</v>
      </c>
      <c r="BA59" s="3298">
        <f t="shared" si="16"/>
        <v>0</v>
      </c>
      <c r="BB59" s="3298">
        <f t="shared" si="17"/>
        <v>0</v>
      </c>
      <c r="BC59" s="3298">
        <f t="shared" si="18"/>
        <v>0</v>
      </c>
      <c r="BD59" s="3298">
        <f t="shared" si="19"/>
        <v>0</v>
      </c>
      <c r="BE59" s="3298">
        <f t="shared" si="20"/>
        <v>0</v>
      </c>
      <c r="BF59" s="3298">
        <f t="shared" si="21"/>
        <v>0</v>
      </c>
      <c r="BG59" s="3298">
        <f t="shared" si="22"/>
        <v>0</v>
      </c>
      <c r="BH59" s="3298">
        <f t="shared" si="23"/>
        <v>0</v>
      </c>
      <c r="BI59" s="3298">
        <f t="shared" si="24"/>
        <v>0</v>
      </c>
      <c r="BJ59" s="3298">
        <f t="shared" si="25"/>
        <v>0</v>
      </c>
      <c r="BK59" s="3298">
        <f t="shared" si="26"/>
        <v>0</v>
      </c>
      <c r="BL59" s="3298">
        <f t="shared" si="27"/>
        <v>0</v>
      </c>
      <c r="BM59" s="3298">
        <f t="shared" si="28"/>
        <v>0</v>
      </c>
      <c r="BN59" s="3298">
        <f t="shared" si="29"/>
        <v>0</v>
      </c>
      <c r="BO59" s="3298">
        <f t="shared" si="30"/>
        <v>0</v>
      </c>
      <c r="BP59" s="3298">
        <f t="shared" si="31"/>
        <v>0</v>
      </c>
      <c r="BQ59" s="3298">
        <f t="shared" si="32"/>
        <v>0</v>
      </c>
      <c r="BR59" s="3298">
        <f t="shared" si="33"/>
        <v>0</v>
      </c>
      <c r="BS59" s="3298">
        <f t="shared" si="34"/>
        <v>0</v>
      </c>
      <c r="BT59" s="3350">
        <f t="shared" si="35"/>
        <v>0</v>
      </c>
    </row>
    <row r="60" spans="1:72">
      <c r="A60" s="1407"/>
      <c r="B60" s="3296"/>
      <c r="C60" s="3296"/>
      <c r="D60" s="3297"/>
      <c r="E60" s="3298">
        <f t="shared" si="7"/>
        <v>0</v>
      </c>
      <c r="F60" s="3299"/>
      <c r="G60" s="3300">
        <f t="shared" si="8"/>
        <v>0</v>
      </c>
      <c r="H60" s="3301">
        <f t="shared" si="9"/>
        <v>0</v>
      </c>
      <c r="I60" s="3308"/>
      <c r="J60" s="3308"/>
      <c r="K60" s="3308"/>
      <c r="L60" s="3308"/>
      <c r="M60" s="3308"/>
      <c r="N60" s="3308"/>
      <c r="O60" s="3308"/>
      <c r="P60" s="3308"/>
      <c r="Q60" s="3308"/>
      <c r="R60" s="3308"/>
      <c r="S60" s="3308"/>
      <c r="T60" s="3308"/>
      <c r="U60" s="3308"/>
      <c r="V60" s="3308"/>
      <c r="W60" s="3308"/>
      <c r="X60" s="3308"/>
      <c r="Y60" s="3308"/>
      <c r="Z60" s="3308"/>
      <c r="AA60" s="3308"/>
      <c r="AB60" s="3308"/>
      <c r="AC60" s="3298">
        <f t="shared" si="10"/>
        <v>0</v>
      </c>
      <c r="AD60" s="3318"/>
      <c r="AE60" s="3318"/>
      <c r="AF60" s="3318"/>
      <c r="AG60" s="3318"/>
      <c r="AH60" s="3318"/>
      <c r="AI60" s="3318"/>
      <c r="AJ60" s="3318"/>
      <c r="AK60" s="3318"/>
      <c r="AL60" s="3318"/>
      <c r="AM60" s="3318"/>
      <c r="AN60" s="3318"/>
      <c r="AO60" s="3318"/>
      <c r="AP60" s="3318"/>
      <c r="AQ60" s="3318"/>
      <c r="AR60" s="3318"/>
      <c r="AS60" s="3318"/>
      <c r="AT60" s="3328"/>
      <c r="AU60" s="3329"/>
      <c r="AV60" s="963">
        <f t="shared" si="11"/>
        <v>0</v>
      </c>
      <c r="AW60" s="963">
        <f t="shared" si="12"/>
        <v>0</v>
      </c>
      <c r="AX60" s="963">
        <f t="shared" si="13"/>
        <v>0</v>
      </c>
      <c r="AY60" s="3343">
        <f t="shared" si="14"/>
        <v>0</v>
      </c>
      <c r="AZ60" s="3298">
        <f t="shared" si="15"/>
        <v>0</v>
      </c>
      <c r="BA60" s="3298">
        <f t="shared" si="16"/>
        <v>0</v>
      </c>
      <c r="BB60" s="3298">
        <f t="shared" si="17"/>
        <v>0</v>
      </c>
      <c r="BC60" s="3298">
        <f t="shared" si="18"/>
        <v>0</v>
      </c>
      <c r="BD60" s="3298">
        <f t="shared" si="19"/>
        <v>0</v>
      </c>
      <c r="BE60" s="3298">
        <f t="shared" si="20"/>
        <v>0</v>
      </c>
      <c r="BF60" s="3298">
        <f t="shared" si="21"/>
        <v>0</v>
      </c>
      <c r="BG60" s="3298">
        <f t="shared" si="22"/>
        <v>0</v>
      </c>
      <c r="BH60" s="3298">
        <f t="shared" si="23"/>
        <v>0</v>
      </c>
      <c r="BI60" s="3298">
        <f t="shared" si="24"/>
        <v>0</v>
      </c>
      <c r="BJ60" s="3298">
        <f t="shared" si="25"/>
        <v>0</v>
      </c>
      <c r="BK60" s="3298">
        <f t="shared" si="26"/>
        <v>0</v>
      </c>
      <c r="BL60" s="3298">
        <f t="shared" si="27"/>
        <v>0</v>
      </c>
      <c r="BM60" s="3298">
        <f t="shared" si="28"/>
        <v>0</v>
      </c>
      <c r="BN60" s="3298">
        <f t="shared" si="29"/>
        <v>0</v>
      </c>
      <c r="BO60" s="3298">
        <f t="shared" si="30"/>
        <v>0</v>
      </c>
      <c r="BP60" s="3298">
        <f t="shared" si="31"/>
        <v>0</v>
      </c>
      <c r="BQ60" s="3298">
        <f t="shared" si="32"/>
        <v>0</v>
      </c>
      <c r="BR60" s="3298">
        <f t="shared" si="33"/>
        <v>0</v>
      </c>
      <c r="BS60" s="3298">
        <f t="shared" si="34"/>
        <v>0</v>
      </c>
      <c r="BT60" s="3350">
        <f t="shared" si="35"/>
        <v>0</v>
      </c>
    </row>
    <row r="61" spans="1:72">
      <c r="A61" s="1407"/>
      <c r="B61" s="3296"/>
      <c r="C61" s="3296"/>
      <c r="D61" s="3297"/>
      <c r="E61" s="3298">
        <f t="shared" si="7"/>
        <v>0</v>
      </c>
      <c r="F61" s="3299"/>
      <c r="G61" s="3300">
        <f t="shared" si="8"/>
        <v>0</v>
      </c>
      <c r="H61" s="3301">
        <f t="shared" si="9"/>
        <v>0</v>
      </c>
      <c r="I61" s="3308"/>
      <c r="J61" s="3308"/>
      <c r="K61" s="3308"/>
      <c r="L61" s="3308"/>
      <c r="M61" s="3308"/>
      <c r="N61" s="3308"/>
      <c r="O61" s="3308"/>
      <c r="P61" s="3308"/>
      <c r="Q61" s="3308"/>
      <c r="R61" s="3308"/>
      <c r="S61" s="3308"/>
      <c r="T61" s="3308"/>
      <c r="U61" s="3308"/>
      <c r="V61" s="3308"/>
      <c r="W61" s="3308"/>
      <c r="X61" s="3308"/>
      <c r="Y61" s="3308"/>
      <c r="Z61" s="3308"/>
      <c r="AA61" s="3308"/>
      <c r="AB61" s="3308"/>
      <c r="AC61" s="3298">
        <f t="shared" si="10"/>
        <v>0</v>
      </c>
      <c r="AD61" s="3318"/>
      <c r="AE61" s="3318"/>
      <c r="AF61" s="3318"/>
      <c r="AG61" s="3318"/>
      <c r="AH61" s="3318"/>
      <c r="AI61" s="3318"/>
      <c r="AJ61" s="3318"/>
      <c r="AK61" s="3318"/>
      <c r="AL61" s="3318"/>
      <c r="AM61" s="3318"/>
      <c r="AN61" s="3318"/>
      <c r="AO61" s="3318"/>
      <c r="AP61" s="3318"/>
      <c r="AQ61" s="3318"/>
      <c r="AR61" s="3318"/>
      <c r="AS61" s="3318"/>
      <c r="AT61" s="3328"/>
      <c r="AU61" s="3329"/>
      <c r="AV61" s="963">
        <f t="shared" si="11"/>
        <v>0</v>
      </c>
      <c r="AW61" s="963">
        <f t="shared" si="12"/>
        <v>0</v>
      </c>
      <c r="AX61" s="963">
        <f t="shared" si="13"/>
        <v>0</v>
      </c>
      <c r="AY61" s="3343">
        <f t="shared" si="14"/>
        <v>0</v>
      </c>
      <c r="AZ61" s="3298">
        <f t="shared" si="15"/>
        <v>0</v>
      </c>
      <c r="BA61" s="3298">
        <f t="shared" si="16"/>
        <v>0</v>
      </c>
      <c r="BB61" s="3298">
        <f t="shared" si="17"/>
        <v>0</v>
      </c>
      <c r="BC61" s="3298">
        <f t="shared" si="18"/>
        <v>0</v>
      </c>
      <c r="BD61" s="3298">
        <f t="shared" si="19"/>
        <v>0</v>
      </c>
      <c r="BE61" s="3298">
        <f t="shared" si="20"/>
        <v>0</v>
      </c>
      <c r="BF61" s="3298">
        <f t="shared" si="21"/>
        <v>0</v>
      </c>
      <c r="BG61" s="3298">
        <f t="shared" si="22"/>
        <v>0</v>
      </c>
      <c r="BH61" s="3298">
        <f t="shared" si="23"/>
        <v>0</v>
      </c>
      <c r="BI61" s="3298">
        <f t="shared" si="24"/>
        <v>0</v>
      </c>
      <c r="BJ61" s="3298">
        <f t="shared" si="25"/>
        <v>0</v>
      </c>
      <c r="BK61" s="3298">
        <f t="shared" si="26"/>
        <v>0</v>
      </c>
      <c r="BL61" s="3298">
        <f t="shared" si="27"/>
        <v>0</v>
      </c>
      <c r="BM61" s="3298">
        <f t="shared" si="28"/>
        <v>0</v>
      </c>
      <c r="BN61" s="3298">
        <f t="shared" si="29"/>
        <v>0</v>
      </c>
      <c r="BO61" s="3298">
        <f t="shared" si="30"/>
        <v>0</v>
      </c>
      <c r="BP61" s="3298">
        <f t="shared" si="31"/>
        <v>0</v>
      </c>
      <c r="BQ61" s="3298">
        <f t="shared" si="32"/>
        <v>0</v>
      </c>
      <c r="BR61" s="3298">
        <f t="shared" si="33"/>
        <v>0</v>
      </c>
      <c r="BS61" s="3298">
        <f t="shared" si="34"/>
        <v>0</v>
      </c>
      <c r="BT61" s="3350">
        <f t="shared" si="35"/>
        <v>0</v>
      </c>
    </row>
    <row r="62" spans="1:72">
      <c r="A62" s="1407"/>
      <c r="B62" s="3296"/>
      <c r="C62" s="3296"/>
      <c r="D62" s="3297"/>
      <c r="E62" s="3298">
        <f t="shared" si="7"/>
        <v>0</v>
      </c>
      <c r="F62" s="3299"/>
      <c r="G62" s="3300">
        <f t="shared" si="8"/>
        <v>0</v>
      </c>
      <c r="H62" s="3301">
        <f t="shared" si="9"/>
        <v>0</v>
      </c>
      <c r="I62" s="3308"/>
      <c r="J62" s="3308"/>
      <c r="K62" s="3308"/>
      <c r="L62" s="3308"/>
      <c r="M62" s="3308"/>
      <c r="N62" s="3308"/>
      <c r="O62" s="3308"/>
      <c r="P62" s="3308"/>
      <c r="Q62" s="3308"/>
      <c r="R62" s="3308"/>
      <c r="S62" s="3308"/>
      <c r="T62" s="3308"/>
      <c r="U62" s="3308"/>
      <c r="V62" s="3308"/>
      <c r="W62" s="3308"/>
      <c r="X62" s="3308"/>
      <c r="Y62" s="3308"/>
      <c r="Z62" s="3308"/>
      <c r="AA62" s="3308"/>
      <c r="AB62" s="3308"/>
      <c r="AC62" s="3298">
        <f t="shared" si="10"/>
        <v>0</v>
      </c>
      <c r="AD62" s="3318"/>
      <c r="AE62" s="3318"/>
      <c r="AF62" s="3318"/>
      <c r="AG62" s="3318"/>
      <c r="AH62" s="3318"/>
      <c r="AI62" s="3318"/>
      <c r="AJ62" s="3318"/>
      <c r="AK62" s="3318"/>
      <c r="AL62" s="3318"/>
      <c r="AM62" s="3318"/>
      <c r="AN62" s="3318"/>
      <c r="AO62" s="3318"/>
      <c r="AP62" s="3318"/>
      <c r="AQ62" s="3318"/>
      <c r="AR62" s="3318"/>
      <c r="AS62" s="3318"/>
      <c r="AT62" s="3328"/>
      <c r="AU62" s="3329"/>
      <c r="AV62" s="963">
        <f t="shared" si="11"/>
        <v>0</v>
      </c>
      <c r="AW62" s="963">
        <f t="shared" si="12"/>
        <v>0</v>
      </c>
      <c r="AX62" s="963">
        <f t="shared" si="13"/>
        <v>0</v>
      </c>
      <c r="AY62" s="3343">
        <f t="shared" si="14"/>
        <v>0</v>
      </c>
      <c r="AZ62" s="3298">
        <f t="shared" si="15"/>
        <v>0</v>
      </c>
      <c r="BA62" s="3298">
        <f t="shared" si="16"/>
        <v>0</v>
      </c>
      <c r="BB62" s="3298">
        <f t="shared" si="17"/>
        <v>0</v>
      </c>
      <c r="BC62" s="3298">
        <f t="shared" si="18"/>
        <v>0</v>
      </c>
      <c r="BD62" s="3298">
        <f t="shared" si="19"/>
        <v>0</v>
      </c>
      <c r="BE62" s="3298">
        <f t="shared" si="20"/>
        <v>0</v>
      </c>
      <c r="BF62" s="3298">
        <f t="shared" si="21"/>
        <v>0</v>
      </c>
      <c r="BG62" s="3298">
        <f t="shared" si="22"/>
        <v>0</v>
      </c>
      <c r="BH62" s="3298">
        <f t="shared" si="23"/>
        <v>0</v>
      </c>
      <c r="BI62" s="3298">
        <f t="shared" si="24"/>
        <v>0</v>
      </c>
      <c r="BJ62" s="3298">
        <f t="shared" si="25"/>
        <v>0</v>
      </c>
      <c r="BK62" s="3298">
        <f t="shared" si="26"/>
        <v>0</v>
      </c>
      <c r="BL62" s="3298">
        <f t="shared" si="27"/>
        <v>0</v>
      </c>
      <c r="BM62" s="3298">
        <f t="shared" si="28"/>
        <v>0</v>
      </c>
      <c r="BN62" s="3298">
        <f t="shared" si="29"/>
        <v>0</v>
      </c>
      <c r="BO62" s="3298">
        <f t="shared" si="30"/>
        <v>0</v>
      </c>
      <c r="BP62" s="3298">
        <f t="shared" si="31"/>
        <v>0</v>
      </c>
      <c r="BQ62" s="3298">
        <f t="shared" si="32"/>
        <v>0</v>
      </c>
      <c r="BR62" s="3298">
        <f t="shared" si="33"/>
        <v>0</v>
      </c>
      <c r="BS62" s="3298">
        <f t="shared" si="34"/>
        <v>0</v>
      </c>
      <c r="BT62" s="3350">
        <f t="shared" si="35"/>
        <v>0</v>
      </c>
    </row>
    <row r="63" spans="1:72">
      <c r="A63" s="1407"/>
      <c r="B63" s="3296"/>
      <c r="C63" s="3296"/>
      <c r="D63" s="3297"/>
      <c r="E63" s="3298">
        <f t="shared" si="7"/>
        <v>0</v>
      </c>
      <c r="F63" s="3299"/>
      <c r="G63" s="3300">
        <f t="shared" si="8"/>
        <v>0</v>
      </c>
      <c r="H63" s="3301">
        <f t="shared" si="9"/>
        <v>0</v>
      </c>
      <c r="I63" s="3308"/>
      <c r="J63" s="3308"/>
      <c r="K63" s="3308"/>
      <c r="L63" s="3308"/>
      <c r="M63" s="3308"/>
      <c r="N63" s="3308"/>
      <c r="O63" s="3308"/>
      <c r="P63" s="3308"/>
      <c r="Q63" s="3308"/>
      <c r="R63" s="3308"/>
      <c r="S63" s="3308"/>
      <c r="T63" s="3308"/>
      <c r="U63" s="3308"/>
      <c r="V63" s="3308"/>
      <c r="W63" s="3308"/>
      <c r="X63" s="3308"/>
      <c r="Y63" s="3308"/>
      <c r="Z63" s="3308"/>
      <c r="AA63" s="3308"/>
      <c r="AB63" s="3308"/>
      <c r="AC63" s="3298">
        <f t="shared" si="10"/>
        <v>0</v>
      </c>
      <c r="AD63" s="3318"/>
      <c r="AE63" s="3318"/>
      <c r="AF63" s="3318"/>
      <c r="AG63" s="3318"/>
      <c r="AH63" s="3318"/>
      <c r="AI63" s="3318"/>
      <c r="AJ63" s="3318"/>
      <c r="AK63" s="3318"/>
      <c r="AL63" s="3318"/>
      <c r="AM63" s="3318"/>
      <c r="AN63" s="3318"/>
      <c r="AO63" s="3318"/>
      <c r="AP63" s="3318"/>
      <c r="AQ63" s="3318"/>
      <c r="AR63" s="3318"/>
      <c r="AS63" s="3318"/>
      <c r="AT63" s="3328"/>
      <c r="AU63" s="3329"/>
      <c r="AV63" s="963">
        <f t="shared" si="11"/>
        <v>0</v>
      </c>
      <c r="AW63" s="963">
        <f t="shared" si="12"/>
        <v>0</v>
      </c>
      <c r="AX63" s="963">
        <f t="shared" si="13"/>
        <v>0</v>
      </c>
      <c r="AY63" s="3343">
        <f t="shared" si="14"/>
        <v>0</v>
      </c>
      <c r="AZ63" s="3298">
        <f t="shared" si="15"/>
        <v>0</v>
      </c>
      <c r="BA63" s="3298">
        <f t="shared" si="16"/>
        <v>0</v>
      </c>
      <c r="BB63" s="3298">
        <f t="shared" si="17"/>
        <v>0</v>
      </c>
      <c r="BC63" s="3298">
        <f t="shared" si="18"/>
        <v>0</v>
      </c>
      <c r="BD63" s="3298">
        <f t="shared" si="19"/>
        <v>0</v>
      </c>
      <c r="BE63" s="3298">
        <f t="shared" si="20"/>
        <v>0</v>
      </c>
      <c r="BF63" s="3298">
        <f t="shared" si="21"/>
        <v>0</v>
      </c>
      <c r="BG63" s="3298">
        <f t="shared" si="22"/>
        <v>0</v>
      </c>
      <c r="BH63" s="3298">
        <f t="shared" si="23"/>
        <v>0</v>
      </c>
      <c r="BI63" s="3298">
        <f t="shared" si="24"/>
        <v>0</v>
      </c>
      <c r="BJ63" s="3298">
        <f t="shared" si="25"/>
        <v>0</v>
      </c>
      <c r="BK63" s="3298">
        <f t="shared" si="26"/>
        <v>0</v>
      </c>
      <c r="BL63" s="3298">
        <f t="shared" si="27"/>
        <v>0</v>
      </c>
      <c r="BM63" s="3298">
        <f t="shared" si="28"/>
        <v>0</v>
      </c>
      <c r="BN63" s="3298">
        <f t="shared" si="29"/>
        <v>0</v>
      </c>
      <c r="BO63" s="3298">
        <f t="shared" si="30"/>
        <v>0</v>
      </c>
      <c r="BP63" s="3298">
        <f t="shared" si="31"/>
        <v>0</v>
      </c>
      <c r="BQ63" s="3298">
        <f t="shared" si="32"/>
        <v>0</v>
      </c>
      <c r="BR63" s="3298">
        <f t="shared" si="33"/>
        <v>0</v>
      </c>
      <c r="BS63" s="3298">
        <f t="shared" si="34"/>
        <v>0</v>
      </c>
      <c r="BT63" s="3350">
        <f t="shared" si="35"/>
        <v>0</v>
      </c>
    </row>
    <row r="64" spans="1:72">
      <c r="A64" s="1407"/>
      <c r="B64" s="3296"/>
      <c r="C64" s="3296"/>
      <c r="D64" s="3297"/>
      <c r="E64" s="3298">
        <f t="shared" si="7"/>
        <v>0</v>
      </c>
      <c r="F64" s="3299"/>
      <c r="G64" s="3300">
        <f t="shared" si="8"/>
        <v>0</v>
      </c>
      <c r="H64" s="3301">
        <f t="shared" si="9"/>
        <v>0</v>
      </c>
      <c r="I64" s="3308"/>
      <c r="J64" s="3308"/>
      <c r="K64" s="3308"/>
      <c r="L64" s="3308"/>
      <c r="M64" s="3308"/>
      <c r="N64" s="3308"/>
      <c r="O64" s="3308"/>
      <c r="P64" s="3308"/>
      <c r="Q64" s="3308"/>
      <c r="R64" s="3308"/>
      <c r="S64" s="3308"/>
      <c r="T64" s="3308"/>
      <c r="U64" s="3308"/>
      <c r="V64" s="3308"/>
      <c r="W64" s="3308"/>
      <c r="X64" s="3308"/>
      <c r="Y64" s="3308"/>
      <c r="Z64" s="3308"/>
      <c r="AA64" s="3308"/>
      <c r="AB64" s="3308"/>
      <c r="AC64" s="3298">
        <f t="shared" si="10"/>
        <v>0</v>
      </c>
      <c r="AD64" s="3318"/>
      <c r="AE64" s="3318"/>
      <c r="AF64" s="3318"/>
      <c r="AG64" s="3318"/>
      <c r="AH64" s="3318"/>
      <c r="AI64" s="3318"/>
      <c r="AJ64" s="3318"/>
      <c r="AK64" s="3318"/>
      <c r="AL64" s="3318"/>
      <c r="AM64" s="3318"/>
      <c r="AN64" s="3318"/>
      <c r="AO64" s="3318"/>
      <c r="AP64" s="3318"/>
      <c r="AQ64" s="3318"/>
      <c r="AR64" s="3318"/>
      <c r="AS64" s="3318"/>
      <c r="AT64" s="3328"/>
      <c r="AU64" s="3329"/>
      <c r="AV64" s="963">
        <f t="shared" si="11"/>
        <v>0</v>
      </c>
      <c r="AW64" s="963">
        <f t="shared" si="12"/>
        <v>0</v>
      </c>
      <c r="AX64" s="963">
        <f t="shared" si="13"/>
        <v>0</v>
      </c>
      <c r="AY64" s="3343">
        <f t="shared" si="14"/>
        <v>0</v>
      </c>
      <c r="AZ64" s="3298">
        <f t="shared" si="15"/>
        <v>0</v>
      </c>
      <c r="BA64" s="3298">
        <f t="shared" si="16"/>
        <v>0</v>
      </c>
      <c r="BB64" s="3298">
        <f t="shared" si="17"/>
        <v>0</v>
      </c>
      <c r="BC64" s="3298">
        <f t="shared" si="18"/>
        <v>0</v>
      </c>
      <c r="BD64" s="3298">
        <f t="shared" si="19"/>
        <v>0</v>
      </c>
      <c r="BE64" s="3298">
        <f t="shared" si="20"/>
        <v>0</v>
      </c>
      <c r="BF64" s="3298">
        <f t="shared" si="21"/>
        <v>0</v>
      </c>
      <c r="BG64" s="3298">
        <f t="shared" si="22"/>
        <v>0</v>
      </c>
      <c r="BH64" s="3298">
        <f t="shared" si="23"/>
        <v>0</v>
      </c>
      <c r="BI64" s="3298">
        <f t="shared" si="24"/>
        <v>0</v>
      </c>
      <c r="BJ64" s="3298">
        <f t="shared" si="25"/>
        <v>0</v>
      </c>
      <c r="BK64" s="3298">
        <f t="shared" si="26"/>
        <v>0</v>
      </c>
      <c r="BL64" s="3298">
        <f t="shared" si="27"/>
        <v>0</v>
      </c>
      <c r="BM64" s="3298">
        <f t="shared" si="28"/>
        <v>0</v>
      </c>
      <c r="BN64" s="3298">
        <f t="shared" si="29"/>
        <v>0</v>
      </c>
      <c r="BO64" s="3298">
        <f t="shared" si="30"/>
        <v>0</v>
      </c>
      <c r="BP64" s="3298">
        <f t="shared" si="31"/>
        <v>0</v>
      </c>
      <c r="BQ64" s="3298">
        <f t="shared" si="32"/>
        <v>0</v>
      </c>
      <c r="BR64" s="3298">
        <f t="shared" si="33"/>
        <v>0</v>
      </c>
      <c r="BS64" s="3298">
        <f t="shared" si="34"/>
        <v>0</v>
      </c>
      <c r="BT64" s="3350">
        <f t="shared" si="35"/>
        <v>0</v>
      </c>
    </row>
    <row r="65" spans="1:72">
      <c r="A65" s="1407"/>
      <c r="B65" s="3296"/>
      <c r="C65" s="3296"/>
      <c r="D65" s="3297"/>
      <c r="E65" s="3298">
        <f t="shared" si="7"/>
        <v>0</v>
      </c>
      <c r="F65" s="3299"/>
      <c r="G65" s="3300">
        <f t="shared" si="8"/>
        <v>0</v>
      </c>
      <c r="H65" s="3301">
        <f t="shared" si="9"/>
        <v>0</v>
      </c>
      <c r="I65" s="3308"/>
      <c r="J65" s="3308"/>
      <c r="K65" s="3308"/>
      <c r="L65" s="3308"/>
      <c r="M65" s="3308"/>
      <c r="N65" s="3308"/>
      <c r="O65" s="3308"/>
      <c r="P65" s="3308"/>
      <c r="Q65" s="3308"/>
      <c r="R65" s="3308"/>
      <c r="S65" s="3308"/>
      <c r="T65" s="3308"/>
      <c r="U65" s="3308"/>
      <c r="V65" s="3308"/>
      <c r="W65" s="3308"/>
      <c r="X65" s="3308"/>
      <c r="Y65" s="3308"/>
      <c r="Z65" s="3308"/>
      <c r="AA65" s="3308"/>
      <c r="AB65" s="3308"/>
      <c r="AC65" s="3298">
        <f t="shared" si="10"/>
        <v>0</v>
      </c>
      <c r="AD65" s="3318"/>
      <c r="AE65" s="3318"/>
      <c r="AF65" s="3318"/>
      <c r="AG65" s="3318"/>
      <c r="AH65" s="3318"/>
      <c r="AI65" s="3318"/>
      <c r="AJ65" s="3318"/>
      <c r="AK65" s="3318"/>
      <c r="AL65" s="3318"/>
      <c r="AM65" s="3318"/>
      <c r="AN65" s="3318"/>
      <c r="AO65" s="3318"/>
      <c r="AP65" s="3318"/>
      <c r="AQ65" s="3318"/>
      <c r="AR65" s="3318"/>
      <c r="AS65" s="3318"/>
      <c r="AT65" s="3328"/>
      <c r="AU65" s="3329"/>
      <c r="AV65" s="963">
        <f t="shared" si="11"/>
        <v>0</v>
      </c>
      <c r="AW65" s="963">
        <f t="shared" si="12"/>
        <v>0</v>
      </c>
      <c r="AX65" s="963">
        <f t="shared" si="13"/>
        <v>0</v>
      </c>
      <c r="AY65" s="3343">
        <f t="shared" si="14"/>
        <v>0</v>
      </c>
      <c r="AZ65" s="3298">
        <f t="shared" si="15"/>
        <v>0</v>
      </c>
      <c r="BA65" s="3298">
        <f t="shared" si="16"/>
        <v>0</v>
      </c>
      <c r="BB65" s="3298">
        <f t="shared" si="17"/>
        <v>0</v>
      </c>
      <c r="BC65" s="3298">
        <f t="shared" si="18"/>
        <v>0</v>
      </c>
      <c r="BD65" s="3298">
        <f t="shared" si="19"/>
        <v>0</v>
      </c>
      <c r="BE65" s="3298">
        <f t="shared" si="20"/>
        <v>0</v>
      </c>
      <c r="BF65" s="3298">
        <f t="shared" si="21"/>
        <v>0</v>
      </c>
      <c r="BG65" s="3298">
        <f t="shared" si="22"/>
        <v>0</v>
      </c>
      <c r="BH65" s="3298">
        <f t="shared" si="23"/>
        <v>0</v>
      </c>
      <c r="BI65" s="3298">
        <f t="shared" si="24"/>
        <v>0</v>
      </c>
      <c r="BJ65" s="3298">
        <f t="shared" si="25"/>
        <v>0</v>
      </c>
      <c r="BK65" s="3298">
        <f t="shared" si="26"/>
        <v>0</v>
      </c>
      <c r="BL65" s="3298">
        <f t="shared" si="27"/>
        <v>0</v>
      </c>
      <c r="BM65" s="3298">
        <f t="shared" si="28"/>
        <v>0</v>
      </c>
      <c r="BN65" s="3298">
        <f t="shared" si="29"/>
        <v>0</v>
      </c>
      <c r="BO65" s="3298">
        <f t="shared" si="30"/>
        <v>0</v>
      </c>
      <c r="BP65" s="3298">
        <f t="shared" si="31"/>
        <v>0</v>
      </c>
      <c r="BQ65" s="3298">
        <f t="shared" si="32"/>
        <v>0</v>
      </c>
      <c r="BR65" s="3298">
        <f t="shared" si="33"/>
        <v>0</v>
      </c>
      <c r="BS65" s="3298">
        <f t="shared" si="34"/>
        <v>0</v>
      </c>
      <c r="BT65" s="3350">
        <f t="shared" si="35"/>
        <v>0</v>
      </c>
    </row>
    <row r="66" spans="1:72">
      <c r="A66" s="1407"/>
      <c r="B66" s="3296"/>
      <c r="C66" s="3296"/>
      <c r="D66" s="3297"/>
      <c r="E66" s="3298">
        <f t="shared" si="7"/>
        <v>0</v>
      </c>
      <c r="F66" s="3299"/>
      <c r="G66" s="3300">
        <f t="shared" si="8"/>
        <v>0</v>
      </c>
      <c r="H66" s="3301">
        <f t="shared" si="9"/>
        <v>0</v>
      </c>
      <c r="I66" s="3308"/>
      <c r="J66" s="3308"/>
      <c r="K66" s="3308"/>
      <c r="L66" s="3308"/>
      <c r="M66" s="3308"/>
      <c r="N66" s="3308"/>
      <c r="O66" s="3308"/>
      <c r="P66" s="3308"/>
      <c r="Q66" s="3308"/>
      <c r="R66" s="3308"/>
      <c r="S66" s="3308"/>
      <c r="T66" s="3308"/>
      <c r="U66" s="3308"/>
      <c r="V66" s="3308"/>
      <c r="W66" s="3308"/>
      <c r="X66" s="3308"/>
      <c r="Y66" s="3308"/>
      <c r="Z66" s="3308"/>
      <c r="AA66" s="3308"/>
      <c r="AB66" s="3308"/>
      <c r="AC66" s="3298">
        <f t="shared" si="10"/>
        <v>0</v>
      </c>
      <c r="AD66" s="3318"/>
      <c r="AE66" s="3318"/>
      <c r="AF66" s="3318"/>
      <c r="AG66" s="3318"/>
      <c r="AH66" s="3318"/>
      <c r="AI66" s="3318"/>
      <c r="AJ66" s="3318"/>
      <c r="AK66" s="3318"/>
      <c r="AL66" s="3318"/>
      <c r="AM66" s="3318"/>
      <c r="AN66" s="3318"/>
      <c r="AO66" s="3318"/>
      <c r="AP66" s="3318"/>
      <c r="AQ66" s="3318"/>
      <c r="AR66" s="3318"/>
      <c r="AS66" s="3318"/>
      <c r="AT66" s="3328"/>
      <c r="AU66" s="3329"/>
      <c r="AV66" s="963">
        <f t="shared" si="11"/>
        <v>0</v>
      </c>
      <c r="AW66" s="963">
        <f t="shared" si="12"/>
        <v>0</v>
      </c>
      <c r="AX66" s="963">
        <f t="shared" si="13"/>
        <v>0</v>
      </c>
      <c r="AY66" s="3343">
        <f t="shared" si="14"/>
        <v>0</v>
      </c>
      <c r="AZ66" s="3298">
        <f t="shared" si="15"/>
        <v>0</v>
      </c>
      <c r="BA66" s="3298">
        <f t="shared" si="16"/>
        <v>0</v>
      </c>
      <c r="BB66" s="3298">
        <f t="shared" si="17"/>
        <v>0</v>
      </c>
      <c r="BC66" s="3298">
        <f t="shared" si="18"/>
        <v>0</v>
      </c>
      <c r="BD66" s="3298">
        <f t="shared" si="19"/>
        <v>0</v>
      </c>
      <c r="BE66" s="3298">
        <f t="shared" si="20"/>
        <v>0</v>
      </c>
      <c r="BF66" s="3298">
        <f t="shared" si="21"/>
        <v>0</v>
      </c>
      <c r="BG66" s="3298">
        <f t="shared" si="22"/>
        <v>0</v>
      </c>
      <c r="BH66" s="3298">
        <f t="shared" si="23"/>
        <v>0</v>
      </c>
      <c r="BI66" s="3298">
        <f t="shared" si="24"/>
        <v>0</v>
      </c>
      <c r="BJ66" s="3298">
        <f t="shared" si="25"/>
        <v>0</v>
      </c>
      <c r="BK66" s="3298">
        <f t="shared" si="26"/>
        <v>0</v>
      </c>
      <c r="BL66" s="3298">
        <f t="shared" si="27"/>
        <v>0</v>
      </c>
      <c r="BM66" s="3298">
        <f t="shared" si="28"/>
        <v>0</v>
      </c>
      <c r="BN66" s="3298">
        <f t="shared" si="29"/>
        <v>0</v>
      </c>
      <c r="BO66" s="3298">
        <f t="shared" si="30"/>
        <v>0</v>
      </c>
      <c r="BP66" s="3298">
        <f t="shared" si="31"/>
        <v>0</v>
      </c>
      <c r="BQ66" s="3298">
        <f t="shared" si="32"/>
        <v>0</v>
      </c>
      <c r="BR66" s="3298">
        <f t="shared" si="33"/>
        <v>0</v>
      </c>
      <c r="BS66" s="3298">
        <f t="shared" si="34"/>
        <v>0</v>
      </c>
      <c r="BT66" s="3350">
        <f t="shared" si="35"/>
        <v>0</v>
      </c>
    </row>
    <row r="67" spans="1:72">
      <c r="A67" s="1407"/>
      <c r="B67" s="3296"/>
      <c r="C67" s="3296"/>
      <c r="D67" s="3297"/>
      <c r="E67" s="3298">
        <f t="shared" si="7"/>
        <v>0</v>
      </c>
      <c r="F67" s="3299"/>
      <c r="G67" s="3300">
        <f t="shared" si="8"/>
        <v>0</v>
      </c>
      <c r="H67" s="3301">
        <f t="shared" si="9"/>
        <v>0</v>
      </c>
      <c r="I67" s="3308"/>
      <c r="J67" s="3308"/>
      <c r="K67" s="3308"/>
      <c r="L67" s="3308"/>
      <c r="M67" s="3308"/>
      <c r="N67" s="3308"/>
      <c r="O67" s="3308"/>
      <c r="P67" s="3308"/>
      <c r="Q67" s="3308"/>
      <c r="R67" s="3308"/>
      <c r="S67" s="3308"/>
      <c r="T67" s="3308"/>
      <c r="U67" s="3308"/>
      <c r="V67" s="3308"/>
      <c r="W67" s="3308"/>
      <c r="X67" s="3308"/>
      <c r="Y67" s="3308"/>
      <c r="Z67" s="3308"/>
      <c r="AA67" s="3308"/>
      <c r="AB67" s="3308"/>
      <c r="AC67" s="3298">
        <f t="shared" si="10"/>
        <v>0</v>
      </c>
      <c r="AD67" s="3318"/>
      <c r="AE67" s="3318"/>
      <c r="AF67" s="3318"/>
      <c r="AG67" s="3318"/>
      <c r="AH67" s="3318"/>
      <c r="AI67" s="3318"/>
      <c r="AJ67" s="3318"/>
      <c r="AK67" s="3318"/>
      <c r="AL67" s="3318"/>
      <c r="AM67" s="3318"/>
      <c r="AN67" s="3318"/>
      <c r="AO67" s="3318"/>
      <c r="AP67" s="3318"/>
      <c r="AQ67" s="3318"/>
      <c r="AR67" s="3318"/>
      <c r="AS67" s="3318"/>
      <c r="AT67" s="3328"/>
      <c r="AU67" s="3329"/>
      <c r="AV67" s="963">
        <f t="shared" si="11"/>
        <v>0</v>
      </c>
      <c r="AW67" s="963">
        <f t="shared" si="12"/>
        <v>0</v>
      </c>
      <c r="AX67" s="963">
        <f t="shared" si="13"/>
        <v>0</v>
      </c>
      <c r="AY67" s="3343">
        <f t="shared" si="14"/>
        <v>0</v>
      </c>
      <c r="AZ67" s="3298">
        <f t="shared" si="15"/>
        <v>0</v>
      </c>
      <c r="BA67" s="3298">
        <f t="shared" si="16"/>
        <v>0</v>
      </c>
      <c r="BB67" s="3298">
        <f t="shared" si="17"/>
        <v>0</v>
      </c>
      <c r="BC67" s="3298">
        <f t="shared" si="18"/>
        <v>0</v>
      </c>
      <c r="BD67" s="3298">
        <f t="shared" si="19"/>
        <v>0</v>
      </c>
      <c r="BE67" s="3298">
        <f t="shared" si="20"/>
        <v>0</v>
      </c>
      <c r="BF67" s="3298">
        <f t="shared" si="21"/>
        <v>0</v>
      </c>
      <c r="BG67" s="3298">
        <f t="shared" si="22"/>
        <v>0</v>
      </c>
      <c r="BH67" s="3298">
        <f t="shared" si="23"/>
        <v>0</v>
      </c>
      <c r="BI67" s="3298">
        <f t="shared" si="24"/>
        <v>0</v>
      </c>
      <c r="BJ67" s="3298">
        <f t="shared" si="25"/>
        <v>0</v>
      </c>
      <c r="BK67" s="3298">
        <f t="shared" si="26"/>
        <v>0</v>
      </c>
      <c r="BL67" s="3298">
        <f t="shared" si="27"/>
        <v>0</v>
      </c>
      <c r="BM67" s="3298">
        <f t="shared" si="28"/>
        <v>0</v>
      </c>
      <c r="BN67" s="3298">
        <f t="shared" si="29"/>
        <v>0</v>
      </c>
      <c r="BO67" s="3298">
        <f t="shared" si="30"/>
        <v>0</v>
      </c>
      <c r="BP67" s="3298">
        <f t="shared" si="31"/>
        <v>0</v>
      </c>
      <c r="BQ67" s="3298">
        <f t="shared" si="32"/>
        <v>0</v>
      </c>
      <c r="BR67" s="3298">
        <f t="shared" si="33"/>
        <v>0</v>
      </c>
      <c r="BS67" s="3298">
        <f t="shared" si="34"/>
        <v>0</v>
      </c>
      <c r="BT67" s="3350">
        <f t="shared" si="35"/>
        <v>0</v>
      </c>
    </row>
    <row r="68" spans="1:72">
      <c r="A68" s="1407"/>
      <c r="B68" s="3296"/>
      <c r="C68" s="3296"/>
      <c r="D68" s="3297"/>
      <c r="E68" s="3298">
        <f t="shared" si="7"/>
        <v>0</v>
      </c>
      <c r="F68" s="3299"/>
      <c r="G68" s="3300">
        <f t="shared" si="8"/>
        <v>0</v>
      </c>
      <c r="H68" s="3301">
        <f t="shared" si="9"/>
        <v>0</v>
      </c>
      <c r="I68" s="3308"/>
      <c r="J68" s="3308"/>
      <c r="K68" s="3308"/>
      <c r="L68" s="3308"/>
      <c r="M68" s="3308"/>
      <c r="N68" s="3308"/>
      <c r="O68" s="3308"/>
      <c r="P68" s="3308"/>
      <c r="Q68" s="3308"/>
      <c r="R68" s="3308"/>
      <c r="S68" s="3308"/>
      <c r="T68" s="3308"/>
      <c r="U68" s="3308"/>
      <c r="V68" s="3308"/>
      <c r="W68" s="3308"/>
      <c r="X68" s="3308"/>
      <c r="Y68" s="3308"/>
      <c r="Z68" s="3308"/>
      <c r="AA68" s="3308"/>
      <c r="AB68" s="3308"/>
      <c r="AC68" s="3298">
        <f t="shared" si="10"/>
        <v>0</v>
      </c>
      <c r="AD68" s="3318"/>
      <c r="AE68" s="3318"/>
      <c r="AF68" s="3318"/>
      <c r="AG68" s="3318"/>
      <c r="AH68" s="3318"/>
      <c r="AI68" s="3318"/>
      <c r="AJ68" s="3318"/>
      <c r="AK68" s="3318"/>
      <c r="AL68" s="3318"/>
      <c r="AM68" s="3318"/>
      <c r="AN68" s="3318"/>
      <c r="AO68" s="3318"/>
      <c r="AP68" s="3318"/>
      <c r="AQ68" s="3318"/>
      <c r="AR68" s="3318"/>
      <c r="AS68" s="3318"/>
      <c r="AT68" s="3328"/>
      <c r="AU68" s="3329"/>
      <c r="AV68" s="963">
        <f t="shared" si="11"/>
        <v>0</v>
      </c>
      <c r="AW68" s="963">
        <f t="shared" si="12"/>
        <v>0</v>
      </c>
      <c r="AX68" s="963">
        <f t="shared" si="13"/>
        <v>0</v>
      </c>
      <c r="AY68" s="3343">
        <f t="shared" si="14"/>
        <v>0</v>
      </c>
      <c r="AZ68" s="3298">
        <f t="shared" si="15"/>
        <v>0</v>
      </c>
      <c r="BA68" s="3298">
        <f t="shared" si="16"/>
        <v>0</v>
      </c>
      <c r="BB68" s="3298">
        <f t="shared" si="17"/>
        <v>0</v>
      </c>
      <c r="BC68" s="3298">
        <f t="shared" si="18"/>
        <v>0</v>
      </c>
      <c r="BD68" s="3298">
        <f t="shared" si="19"/>
        <v>0</v>
      </c>
      <c r="BE68" s="3298">
        <f t="shared" si="20"/>
        <v>0</v>
      </c>
      <c r="BF68" s="3298">
        <f t="shared" si="21"/>
        <v>0</v>
      </c>
      <c r="BG68" s="3298">
        <f t="shared" si="22"/>
        <v>0</v>
      </c>
      <c r="BH68" s="3298">
        <f t="shared" si="23"/>
        <v>0</v>
      </c>
      <c r="BI68" s="3298">
        <f t="shared" si="24"/>
        <v>0</v>
      </c>
      <c r="BJ68" s="3298">
        <f t="shared" si="25"/>
        <v>0</v>
      </c>
      <c r="BK68" s="3298">
        <f t="shared" si="26"/>
        <v>0</v>
      </c>
      <c r="BL68" s="3298">
        <f t="shared" si="27"/>
        <v>0</v>
      </c>
      <c r="BM68" s="3298">
        <f t="shared" si="28"/>
        <v>0</v>
      </c>
      <c r="BN68" s="3298">
        <f t="shared" si="29"/>
        <v>0</v>
      </c>
      <c r="BO68" s="3298">
        <f t="shared" si="30"/>
        <v>0</v>
      </c>
      <c r="BP68" s="3298">
        <f t="shared" si="31"/>
        <v>0</v>
      </c>
      <c r="BQ68" s="3298">
        <f t="shared" si="32"/>
        <v>0</v>
      </c>
      <c r="BR68" s="3298">
        <f t="shared" si="33"/>
        <v>0</v>
      </c>
      <c r="BS68" s="3298">
        <f t="shared" si="34"/>
        <v>0</v>
      </c>
      <c r="BT68" s="3350">
        <f t="shared" si="35"/>
        <v>0</v>
      </c>
    </row>
    <row r="69" spans="1:72">
      <c r="A69" s="1407"/>
      <c r="B69" s="3296"/>
      <c r="C69" s="3296"/>
      <c r="D69" s="3297"/>
      <c r="E69" s="3298">
        <f t="shared" si="7"/>
        <v>0</v>
      </c>
      <c r="F69" s="3299"/>
      <c r="G69" s="3300">
        <f t="shared" si="8"/>
        <v>0</v>
      </c>
      <c r="H69" s="3301">
        <f t="shared" si="9"/>
        <v>0</v>
      </c>
      <c r="I69" s="3308"/>
      <c r="J69" s="3308"/>
      <c r="K69" s="3308"/>
      <c r="L69" s="3308"/>
      <c r="M69" s="3308"/>
      <c r="N69" s="3308"/>
      <c r="O69" s="3308"/>
      <c r="P69" s="3308"/>
      <c r="Q69" s="3308"/>
      <c r="R69" s="3308"/>
      <c r="S69" s="3308"/>
      <c r="T69" s="3308"/>
      <c r="U69" s="3308"/>
      <c r="V69" s="3308"/>
      <c r="W69" s="3308"/>
      <c r="X69" s="3308"/>
      <c r="Y69" s="3308"/>
      <c r="Z69" s="3308"/>
      <c r="AA69" s="3308"/>
      <c r="AB69" s="3308"/>
      <c r="AC69" s="3298">
        <f t="shared" si="10"/>
        <v>0</v>
      </c>
      <c r="AD69" s="3318"/>
      <c r="AE69" s="3318"/>
      <c r="AF69" s="3318"/>
      <c r="AG69" s="3318"/>
      <c r="AH69" s="3318"/>
      <c r="AI69" s="3318"/>
      <c r="AJ69" s="3318"/>
      <c r="AK69" s="3318"/>
      <c r="AL69" s="3318"/>
      <c r="AM69" s="3318"/>
      <c r="AN69" s="3318"/>
      <c r="AO69" s="3318"/>
      <c r="AP69" s="3318"/>
      <c r="AQ69" s="3318"/>
      <c r="AR69" s="3318"/>
      <c r="AS69" s="3318"/>
      <c r="AT69" s="3328"/>
      <c r="AU69" s="3329"/>
      <c r="AV69" s="963">
        <f t="shared" si="11"/>
        <v>0</v>
      </c>
      <c r="AW69" s="963">
        <f t="shared" si="12"/>
        <v>0</v>
      </c>
      <c r="AX69" s="963">
        <f t="shared" si="13"/>
        <v>0</v>
      </c>
      <c r="AY69" s="3343">
        <f t="shared" si="14"/>
        <v>0</v>
      </c>
      <c r="AZ69" s="3298">
        <f t="shared" si="15"/>
        <v>0</v>
      </c>
      <c r="BA69" s="3298">
        <f t="shared" si="16"/>
        <v>0</v>
      </c>
      <c r="BB69" s="3298">
        <f t="shared" si="17"/>
        <v>0</v>
      </c>
      <c r="BC69" s="3298">
        <f t="shared" si="18"/>
        <v>0</v>
      </c>
      <c r="BD69" s="3298">
        <f t="shared" si="19"/>
        <v>0</v>
      </c>
      <c r="BE69" s="3298">
        <f t="shared" si="20"/>
        <v>0</v>
      </c>
      <c r="BF69" s="3298">
        <f t="shared" si="21"/>
        <v>0</v>
      </c>
      <c r="BG69" s="3298">
        <f t="shared" si="22"/>
        <v>0</v>
      </c>
      <c r="BH69" s="3298">
        <f t="shared" si="23"/>
        <v>0</v>
      </c>
      <c r="BI69" s="3298">
        <f t="shared" si="24"/>
        <v>0</v>
      </c>
      <c r="BJ69" s="3298">
        <f t="shared" si="25"/>
        <v>0</v>
      </c>
      <c r="BK69" s="3298">
        <f t="shared" si="26"/>
        <v>0</v>
      </c>
      <c r="BL69" s="3298">
        <f t="shared" si="27"/>
        <v>0</v>
      </c>
      <c r="BM69" s="3298">
        <f t="shared" si="28"/>
        <v>0</v>
      </c>
      <c r="BN69" s="3298">
        <f t="shared" si="29"/>
        <v>0</v>
      </c>
      <c r="BO69" s="3298">
        <f t="shared" si="30"/>
        <v>0</v>
      </c>
      <c r="BP69" s="3298">
        <f t="shared" si="31"/>
        <v>0</v>
      </c>
      <c r="BQ69" s="3298">
        <f t="shared" si="32"/>
        <v>0</v>
      </c>
      <c r="BR69" s="3298">
        <f t="shared" si="33"/>
        <v>0</v>
      </c>
      <c r="BS69" s="3298">
        <f t="shared" si="34"/>
        <v>0</v>
      </c>
      <c r="BT69" s="3350">
        <f t="shared" si="35"/>
        <v>0</v>
      </c>
    </row>
    <row r="70" spans="1:72">
      <c r="A70" s="1407"/>
      <c r="B70" s="3296"/>
      <c r="C70" s="3296"/>
      <c r="D70" s="3297"/>
      <c r="E70" s="3298">
        <f t="shared" si="7"/>
        <v>0</v>
      </c>
      <c r="F70" s="3299"/>
      <c r="G70" s="3300">
        <f t="shared" si="8"/>
        <v>0</v>
      </c>
      <c r="H70" s="3301">
        <f t="shared" si="9"/>
        <v>0</v>
      </c>
      <c r="I70" s="3308"/>
      <c r="J70" s="3308"/>
      <c r="K70" s="3308"/>
      <c r="L70" s="3308"/>
      <c r="M70" s="3308"/>
      <c r="N70" s="3308"/>
      <c r="O70" s="3308"/>
      <c r="P70" s="3308"/>
      <c r="Q70" s="3308"/>
      <c r="R70" s="3308"/>
      <c r="S70" s="3308"/>
      <c r="T70" s="3308"/>
      <c r="U70" s="3308"/>
      <c r="V70" s="3308"/>
      <c r="W70" s="3308"/>
      <c r="X70" s="3308"/>
      <c r="Y70" s="3308"/>
      <c r="Z70" s="3308"/>
      <c r="AA70" s="3308"/>
      <c r="AB70" s="3308"/>
      <c r="AC70" s="3298">
        <f t="shared" si="10"/>
        <v>0</v>
      </c>
      <c r="AD70" s="3318"/>
      <c r="AE70" s="3318"/>
      <c r="AF70" s="3318"/>
      <c r="AG70" s="3318"/>
      <c r="AH70" s="3318"/>
      <c r="AI70" s="3318"/>
      <c r="AJ70" s="3318"/>
      <c r="AK70" s="3318"/>
      <c r="AL70" s="3318"/>
      <c r="AM70" s="3318"/>
      <c r="AN70" s="3318"/>
      <c r="AO70" s="3318"/>
      <c r="AP70" s="3318"/>
      <c r="AQ70" s="3318"/>
      <c r="AR70" s="3318"/>
      <c r="AS70" s="3318"/>
      <c r="AT70" s="3328"/>
      <c r="AU70" s="3329"/>
      <c r="AV70" s="963">
        <f t="shared" si="11"/>
        <v>0</v>
      </c>
      <c r="AW70" s="963">
        <f t="shared" si="12"/>
        <v>0</v>
      </c>
      <c r="AX70" s="963">
        <f t="shared" si="13"/>
        <v>0</v>
      </c>
      <c r="AY70" s="3343">
        <f t="shared" si="14"/>
        <v>0</v>
      </c>
      <c r="AZ70" s="3298">
        <f t="shared" si="15"/>
        <v>0</v>
      </c>
      <c r="BA70" s="3298">
        <f t="shared" si="16"/>
        <v>0</v>
      </c>
      <c r="BB70" s="3298">
        <f t="shared" si="17"/>
        <v>0</v>
      </c>
      <c r="BC70" s="3298">
        <f t="shared" si="18"/>
        <v>0</v>
      </c>
      <c r="BD70" s="3298">
        <f t="shared" si="19"/>
        <v>0</v>
      </c>
      <c r="BE70" s="3298">
        <f t="shared" si="20"/>
        <v>0</v>
      </c>
      <c r="BF70" s="3298">
        <f t="shared" si="21"/>
        <v>0</v>
      </c>
      <c r="BG70" s="3298">
        <f t="shared" si="22"/>
        <v>0</v>
      </c>
      <c r="BH70" s="3298">
        <f t="shared" si="23"/>
        <v>0</v>
      </c>
      <c r="BI70" s="3298">
        <f t="shared" si="24"/>
        <v>0</v>
      </c>
      <c r="BJ70" s="3298">
        <f t="shared" si="25"/>
        <v>0</v>
      </c>
      <c r="BK70" s="3298">
        <f t="shared" si="26"/>
        <v>0</v>
      </c>
      <c r="BL70" s="3298">
        <f t="shared" si="27"/>
        <v>0</v>
      </c>
      <c r="BM70" s="3298">
        <f t="shared" si="28"/>
        <v>0</v>
      </c>
      <c r="BN70" s="3298">
        <f t="shared" si="29"/>
        <v>0</v>
      </c>
      <c r="BO70" s="3298">
        <f t="shared" si="30"/>
        <v>0</v>
      </c>
      <c r="BP70" s="3298">
        <f t="shared" si="31"/>
        <v>0</v>
      </c>
      <c r="BQ70" s="3298">
        <f t="shared" si="32"/>
        <v>0</v>
      </c>
      <c r="BR70" s="3298">
        <f t="shared" si="33"/>
        <v>0</v>
      </c>
      <c r="BS70" s="3298">
        <f t="shared" si="34"/>
        <v>0</v>
      </c>
      <c r="BT70" s="3350">
        <f t="shared" si="35"/>
        <v>0</v>
      </c>
    </row>
    <row r="71" spans="1:72">
      <c r="A71" s="1407"/>
      <c r="B71" s="3296"/>
      <c r="C71" s="3296"/>
      <c r="D71" s="3297"/>
      <c r="E71" s="3298">
        <f t="shared" si="7"/>
        <v>0</v>
      </c>
      <c r="F71" s="3299"/>
      <c r="G71" s="3300">
        <f t="shared" si="8"/>
        <v>0</v>
      </c>
      <c r="H71" s="3301">
        <f t="shared" si="9"/>
        <v>0</v>
      </c>
      <c r="I71" s="3308"/>
      <c r="J71" s="3308"/>
      <c r="K71" s="3308"/>
      <c r="L71" s="3308"/>
      <c r="M71" s="3308"/>
      <c r="N71" s="3308"/>
      <c r="O71" s="3308"/>
      <c r="P71" s="3308"/>
      <c r="Q71" s="3308"/>
      <c r="R71" s="3308"/>
      <c r="S71" s="3308"/>
      <c r="T71" s="3308"/>
      <c r="U71" s="3308"/>
      <c r="V71" s="3308"/>
      <c r="W71" s="3308"/>
      <c r="X71" s="3308"/>
      <c r="Y71" s="3308"/>
      <c r="Z71" s="3308"/>
      <c r="AA71" s="3308"/>
      <c r="AB71" s="3308"/>
      <c r="AC71" s="3298">
        <f t="shared" si="10"/>
        <v>0</v>
      </c>
      <c r="AD71" s="3318"/>
      <c r="AE71" s="3318"/>
      <c r="AF71" s="3318"/>
      <c r="AG71" s="3318"/>
      <c r="AH71" s="3318"/>
      <c r="AI71" s="3318"/>
      <c r="AJ71" s="3318"/>
      <c r="AK71" s="3318"/>
      <c r="AL71" s="3318"/>
      <c r="AM71" s="3318"/>
      <c r="AN71" s="3318"/>
      <c r="AO71" s="3318"/>
      <c r="AP71" s="3318"/>
      <c r="AQ71" s="3318"/>
      <c r="AR71" s="3318"/>
      <c r="AS71" s="3318"/>
      <c r="AT71" s="3328"/>
      <c r="AU71" s="3329"/>
      <c r="AV71" s="963">
        <f t="shared" si="11"/>
        <v>0</v>
      </c>
      <c r="AW71" s="963">
        <f t="shared" si="12"/>
        <v>0</v>
      </c>
      <c r="AX71" s="963">
        <f t="shared" si="13"/>
        <v>0</v>
      </c>
      <c r="AY71" s="3343">
        <f t="shared" si="14"/>
        <v>0</v>
      </c>
      <c r="AZ71" s="3298">
        <f t="shared" si="15"/>
        <v>0</v>
      </c>
      <c r="BA71" s="3298">
        <f t="shared" si="16"/>
        <v>0</v>
      </c>
      <c r="BB71" s="3298">
        <f t="shared" si="17"/>
        <v>0</v>
      </c>
      <c r="BC71" s="3298">
        <f t="shared" si="18"/>
        <v>0</v>
      </c>
      <c r="BD71" s="3298">
        <f t="shared" si="19"/>
        <v>0</v>
      </c>
      <c r="BE71" s="3298">
        <f t="shared" si="20"/>
        <v>0</v>
      </c>
      <c r="BF71" s="3298">
        <f t="shared" si="21"/>
        <v>0</v>
      </c>
      <c r="BG71" s="3298">
        <f t="shared" si="22"/>
        <v>0</v>
      </c>
      <c r="BH71" s="3298">
        <f t="shared" si="23"/>
        <v>0</v>
      </c>
      <c r="BI71" s="3298">
        <f t="shared" si="24"/>
        <v>0</v>
      </c>
      <c r="BJ71" s="3298">
        <f t="shared" si="25"/>
        <v>0</v>
      </c>
      <c r="BK71" s="3298">
        <f t="shared" si="26"/>
        <v>0</v>
      </c>
      <c r="BL71" s="3298">
        <f t="shared" si="27"/>
        <v>0</v>
      </c>
      <c r="BM71" s="3298">
        <f t="shared" si="28"/>
        <v>0</v>
      </c>
      <c r="BN71" s="3298">
        <f t="shared" si="29"/>
        <v>0</v>
      </c>
      <c r="BO71" s="3298">
        <f t="shared" si="30"/>
        <v>0</v>
      </c>
      <c r="BP71" s="3298">
        <f t="shared" si="31"/>
        <v>0</v>
      </c>
      <c r="BQ71" s="3298">
        <f t="shared" si="32"/>
        <v>0</v>
      </c>
      <c r="BR71" s="3298">
        <f t="shared" si="33"/>
        <v>0</v>
      </c>
      <c r="BS71" s="3298">
        <f t="shared" si="34"/>
        <v>0</v>
      </c>
      <c r="BT71" s="3350">
        <f t="shared" si="35"/>
        <v>0</v>
      </c>
    </row>
    <row r="72" spans="1:72">
      <c r="A72" s="1407"/>
      <c r="B72" s="3296"/>
      <c r="C72" s="3296"/>
      <c r="D72" s="3297"/>
      <c r="E72" s="3298">
        <f t="shared" si="7"/>
        <v>0</v>
      </c>
      <c r="F72" s="3299"/>
      <c r="G72" s="3300">
        <f t="shared" si="8"/>
        <v>0</v>
      </c>
      <c r="H72" s="3301">
        <f t="shared" si="9"/>
        <v>0</v>
      </c>
      <c r="I72" s="3308"/>
      <c r="J72" s="3308"/>
      <c r="K72" s="3308"/>
      <c r="L72" s="3308"/>
      <c r="M72" s="3308"/>
      <c r="N72" s="3308"/>
      <c r="O72" s="3308"/>
      <c r="P72" s="3308"/>
      <c r="Q72" s="3308"/>
      <c r="R72" s="3308"/>
      <c r="S72" s="3308"/>
      <c r="T72" s="3308"/>
      <c r="U72" s="3308"/>
      <c r="V72" s="3308"/>
      <c r="W72" s="3308"/>
      <c r="X72" s="3308"/>
      <c r="Y72" s="3308"/>
      <c r="Z72" s="3308"/>
      <c r="AA72" s="3308"/>
      <c r="AB72" s="3308"/>
      <c r="AC72" s="3298">
        <f t="shared" si="10"/>
        <v>0</v>
      </c>
      <c r="AD72" s="3318"/>
      <c r="AE72" s="3318"/>
      <c r="AF72" s="3318"/>
      <c r="AG72" s="3318"/>
      <c r="AH72" s="3318"/>
      <c r="AI72" s="3318"/>
      <c r="AJ72" s="3318"/>
      <c r="AK72" s="3318"/>
      <c r="AL72" s="3318"/>
      <c r="AM72" s="3318"/>
      <c r="AN72" s="3318"/>
      <c r="AO72" s="3318"/>
      <c r="AP72" s="3318"/>
      <c r="AQ72" s="3318"/>
      <c r="AR72" s="3318"/>
      <c r="AS72" s="3318"/>
      <c r="AT72" s="3328"/>
      <c r="AU72" s="3329"/>
      <c r="AV72" s="963">
        <f t="shared" si="11"/>
        <v>0</v>
      </c>
      <c r="AW72" s="963">
        <f t="shared" si="12"/>
        <v>0</v>
      </c>
      <c r="AX72" s="963">
        <f t="shared" si="13"/>
        <v>0</v>
      </c>
      <c r="AY72" s="3343">
        <f t="shared" si="14"/>
        <v>0</v>
      </c>
      <c r="AZ72" s="3298">
        <f t="shared" si="15"/>
        <v>0</v>
      </c>
      <c r="BA72" s="3298">
        <f t="shared" si="16"/>
        <v>0</v>
      </c>
      <c r="BB72" s="3298">
        <f t="shared" si="17"/>
        <v>0</v>
      </c>
      <c r="BC72" s="3298">
        <f t="shared" si="18"/>
        <v>0</v>
      </c>
      <c r="BD72" s="3298">
        <f t="shared" si="19"/>
        <v>0</v>
      </c>
      <c r="BE72" s="3298">
        <f t="shared" si="20"/>
        <v>0</v>
      </c>
      <c r="BF72" s="3298">
        <f t="shared" si="21"/>
        <v>0</v>
      </c>
      <c r="BG72" s="3298">
        <f t="shared" si="22"/>
        <v>0</v>
      </c>
      <c r="BH72" s="3298">
        <f t="shared" si="23"/>
        <v>0</v>
      </c>
      <c r="BI72" s="3298">
        <f t="shared" si="24"/>
        <v>0</v>
      </c>
      <c r="BJ72" s="3298">
        <f t="shared" si="25"/>
        <v>0</v>
      </c>
      <c r="BK72" s="3298">
        <f t="shared" si="26"/>
        <v>0</v>
      </c>
      <c r="BL72" s="3298">
        <f t="shared" si="27"/>
        <v>0</v>
      </c>
      <c r="BM72" s="3298">
        <f t="shared" si="28"/>
        <v>0</v>
      </c>
      <c r="BN72" s="3298">
        <f t="shared" si="29"/>
        <v>0</v>
      </c>
      <c r="BO72" s="3298">
        <f t="shared" si="30"/>
        <v>0</v>
      </c>
      <c r="BP72" s="3298">
        <f t="shared" si="31"/>
        <v>0</v>
      </c>
      <c r="BQ72" s="3298">
        <f t="shared" si="32"/>
        <v>0</v>
      </c>
      <c r="BR72" s="3298">
        <f t="shared" si="33"/>
        <v>0</v>
      </c>
      <c r="BS72" s="3298">
        <f t="shared" si="34"/>
        <v>0</v>
      </c>
      <c r="BT72" s="3350">
        <f t="shared" si="35"/>
        <v>0</v>
      </c>
    </row>
    <row r="73" spans="1:72">
      <c r="A73" s="1407"/>
      <c r="B73" s="3296"/>
      <c r="C73" s="3296"/>
      <c r="D73" s="3297"/>
      <c r="E73" s="3298">
        <f t="shared" si="7"/>
        <v>0</v>
      </c>
      <c r="F73" s="3299"/>
      <c r="G73" s="3300">
        <f t="shared" si="8"/>
        <v>0</v>
      </c>
      <c r="H73" s="3301">
        <f t="shared" si="9"/>
        <v>0</v>
      </c>
      <c r="I73" s="3308"/>
      <c r="J73" s="3308"/>
      <c r="K73" s="3308"/>
      <c r="L73" s="3308"/>
      <c r="M73" s="3308"/>
      <c r="N73" s="3308"/>
      <c r="O73" s="3308"/>
      <c r="P73" s="3308"/>
      <c r="Q73" s="3308"/>
      <c r="R73" s="3308"/>
      <c r="S73" s="3308"/>
      <c r="T73" s="3308"/>
      <c r="U73" s="3308"/>
      <c r="V73" s="3308"/>
      <c r="W73" s="3308"/>
      <c r="X73" s="3308"/>
      <c r="Y73" s="3308"/>
      <c r="Z73" s="3308"/>
      <c r="AA73" s="3308"/>
      <c r="AB73" s="3308"/>
      <c r="AC73" s="3298">
        <f t="shared" si="10"/>
        <v>0</v>
      </c>
      <c r="AD73" s="3318"/>
      <c r="AE73" s="3318"/>
      <c r="AF73" s="3318"/>
      <c r="AG73" s="3318"/>
      <c r="AH73" s="3318"/>
      <c r="AI73" s="3318"/>
      <c r="AJ73" s="3318"/>
      <c r="AK73" s="3318"/>
      <c r="AL73" s="3318"/>
      <c r="AM73" s="3318"/>
      <c r="AN73" s="3318"/>
      <c r="AO73" s="3318"/>
      <c r="AP73" s="3318"/>
      <c r="AQ73" s="3318"/>
      <c r="AR73" s="3318"/>
      <c r="AS73" s="3318"/>
      <c r="AT73" s="3328"/>
      <c r="AU73" s="3329"/>
      <c r="AV73" s="963">
        <f t="shared" si="11"/>
        <v>0</v>
      </c>
      <c r="AW73" s="963">
        <f t="shared" si="12"/>
        <v>0</v>
      </c>
      <c r="AX73" s="963">
        <f t="shared" si="13"/>
        <v>0</v>
      </c>
      <c r="AY73" s="3343">
        <f t="shared" si="14"/>
        <v>0</v>
      </c>
      <c r="AZ73" s="3298">
        <f t="shared" si="15"/>
        <v>0</v>
      </c>
      <c r="BA73" s="3298">
        <f t="shared" si="16"/>
        <v>0</v>
      </c>
      <c r="BB73" s="3298">
        <f t="shared" si="17"/>
        <v>0</v>
      </c>
      <c r="BC73" s="3298">
        <f t="shared" si="18"/>
        <v>0</v>
      </c>
      <c r="BD73" s="3298">
        <f t="shared" si="19"/>
        <v>0</v>
      </c>
      <c r="BE73" s="3298">
        <f t="shared" si="20"/>
        <v>0</v>
      </c>
      <c r="BF73" s="3298">
        <f t="shared" si="21"/>
        <v>0</v>
      </c>
      <c r="BG73" s="3298">
        <f t="shared" si="22"/>
        <v>0</v>
      </c>
      <c r="BH73" s="3298">
        <f t="shared" si="23"/>
        <v>0</v>
      </c>
      <c r="BI73" s="3298">
        <f t="shared" si="24"/>
        <v>0</v>
      </c>
      <c r="BJ73" s="3298">
        <f t="shared" si="25"/>
        <v>0</v>
      </c>
      <c r="BK73" s="3298">
        <f t="shared" si="26"/>
        <v>0</v>
      </c>
      <c r="BL73" s="3298">
        <f t="shared" si="27"/>
        <v>0</v>
      </c>
      <c r="BM73" s="3298">
        <f t="shared" si="28"/>
        <v>0</v>
      </c>
      <c r="BN73" s="3298">
        <f t="shared" si="29"/>
        <v>0</v>
      </c>
      <c r="BO73" s="3298">
        <f t="shared" si="30"/>
        <v>0</v>
      </c>
      <c r="BP73" s="3298">
        <f t="shared" si="31"/>
        <v>0</v>
      </c>
      <c r="BQ73" s="3298">
        <f t="shared" si="32"/>
        <v>0</v>
      </c>
      <c r="BR73" s="3298">
        <f t="shared" si="33"/>
        <v>0</v>
      </c>
      <c r="BS73" s="3298">
        <f t="shared" si="34"/>
        <v>0</v>
      </c>
      <c r="BT73" s="3350">
        <f t="shared" si="35"/>
        <v>0</v>
      </c>
    </row>
    <row r="74" spans="1:72">
      <c r="A74" s="1407"/>
      <c r="B74" s="3296"/>
      <c r="C74" s="3296"/>
      <c r="D74" s="3297"/>
      <c r="E74" s="3298">
        <f t="shared" si="7"/>
        <v>0</v>
      </c>
      <c r="F74" s="3299"/>
      <c r="G74" s="3300">
        <f t="shared" si="8"/>
        <v>0</v>
      </c>
      <c r="H74" s="3301">
        <f t="shared" si="9"/>
        <v>0</v>
      </c>
      <c r="I74" s="3308"/>
      <c r="J74" s="3308"/>
      <c r="K74" s="3308"/>
      <c r="L74" s="3308"/>
      <c r="M74" s="3308"/>
      <c r="N74" s="3308"/>
      <c r="O74" s="3308"/>
      <c r="P74" s="3308"/>
      <c r="Q74" s="3308"/>
      <c r="R74" s="3308"/>
      <c r="S74" s="3308"/>
      <c r="T74" s="3308"/>
      <c r="U74" s="3308"/>
      <c r="V74" s="3308"/>
      <c r="W74" s="3308"/>
      <c r="X74" s="3308"/>
      <c r="Y74" s="3308"/>
      <c r="Z74" s="3308"/>
      <c r="AA74" s="3308"/>
      <c r="AB74" s="3308"/>
      <c r="AC74" s="3298">
        <f t="shared" si="10"/>
        <v>0</v>
      </c>
      <c r="AD74" s="3318"/>
      <c r="AE74" s="3318"/>
      <c r="AF74" s="3318"/>
      <c r="AG74" s="3318"/>
      <c r="AH74" s="3318"/>
      <c r="AI74" s="3318"/>
      <c r="AJ74" s="3318"/>
      <c r="AK74" s="3318"/>
      <c r="AL74" s="3318"/>
      <c r="AM74" s="3318"/>
      <c r="AN74" s="3318"/>
      <c r="AO74" s="3318"/>
      <c r="AP74" s="3318"/>
      <c r="AQ74" s="3318"/>
      <c r="AR74" s="3318"/>
      <c r="AS74" s="3318"/>
      <c r="AT74" s="3328"/>
      <c r="AU74" s="3329"/>
      <c r="AV74" s="963">
        <f t="shared" si="11"/>
        <v>0</v>
      </c>
      <c r="AW74" s="963">
        <f t="shared" si="12"/>
        <v>0</v>
      </c>
      <c r="AX74" s="963">
        <f t="shared" si="13"/>
        <v>0</v>
      </c>
      <c r="AY74" s="3343">
        <f t="shared" si="14"/>
        <v>0</v>
      </c>
      <c r="AZ74" s="3298">
        <f t="shared" si="15"/>
        <v>0</v>
      </c>
      <c r="BA74" s="3298">
        <f t="shared" si="16"/>
        <v>0</v>
      </c>
      <c r="BB74" s="3298">
        <f t="shared" si="17"/>
        <v>0</v>
      </c>
      <c r="BC74" s="3298">
        <f t="shared" si="18"/>
        <v>0</v>
      </c>
      <c r="BD74" s="3298">
        <f t="shared" si="19"/>
        <v>0</v>
      </c>
      <c r="BE74" s="3298">
        <f t="shared" si="20"/>
        <v>0</v>
      </c>
      <c r="BF74" s="3298">
        <f t="shared" si="21"/>
        <v>0</v>
      </c>
      <c r="BG74" s="3298">
        <f t="shared" si="22"/>
        <v>0</v>
      </c>
      <c r="BH74" s="3298">
        <f t="shared" si="23"/>
        <v>0</v>
      </c>
      <c r="BI74" s="3298">
        <f t="shared" si="24"/>
        <v>0</v>
      </c>
      <c r="BJ74" s="3298">
        <f t="shared" si="25"/>
        <v>0</v>
      </c>
      <c r="BK74" s="3298">
        <f t="shared" si="26"/>
        <v>0</v>
      </c>
      <c r="BL74" s="3298">
        <f t="shared" si="27"/>
        <v>0</v>
      </c>
      <c r="BM74" s="3298">
        <f t="shared" si="28"/>
        <v>0</v>
      </c>
      <c r="BN74" s="3298">
        <f t="shared" si="29"/>
        <v>0</v>
      </c>
      <c r="BO74" s="3298">
        <f t="shared" si="30"/>
        <v>0</v>
      </c>
      <c r="BP74" s="3298">
        <f t="shared" si="31"/>
        <v>0</v>
      </c>
      <c r="BQ74" s="3298">
        <f t="shared" si="32"/>
        <v>0</v>
      </c>
      <c r="BR74" s="3298">
        <f t="shared" si="33"/>
        <v>0</v>
      </c>
      <c r="BS74" s="3298">
        <f t="shared" si="34"/>
        <v>0</v>
      </c>
      <c r="BT74" s="3350">
        <f t="shared" si="35"/>
        <v>0</v>
      </c>
    </row>
    <row r="75" spans="1:72">
      <c r="A75" s="1407"/>
      <c r="B75" s="3296"/>
      <c r="C75" s="3296"/>
      <c r="D75" s="3297"/>
      <c r="E75" s="3298">
        <f t="shared" si="7"/>
        <v>0</v>
      </c>
      <c r="F75" s="3299"/>
      <c r="G75" s="3300">
        <f t="shared" si="8"/>
        <v>0</v>
      </c>
      <c r="H75" s="3301">
        <f t="shared" si="9"/>
        <v>0</v>
      </c>
      <c r="I75" s="3308"/>
      <c r="J75" s="3308"/>
      <c r="K75" s="3308"/>
      <c r="L75" s="3308"/>
      <c r="M75" s="3308"/>
      <c r="N75" s="3308"/>
      <c r="O75" s="3308"/>
      <c r="P75" s="3308"/>
      <c r="Q75" s="3308"/>
      <c r="R75" s="3308"/>
      <c r="S75" s="3308"/>
      <c r="T75" s="3308"/>
      <c r="U75" s="3308"/>
      <c r="V75" s="3308"/>
      <c r="W75" s="3308"/>
      <c r="X75" s="3308"/>
      <c r="Y75" s="3308"/>
      <c r="Z75" s="3308"/>
      <c r="AA75" s="3308"/>
      <c r="AB75" s="3308"/>
      <c r="AC75" s="3298">
        <f t="shared" si="10"/>
        <v>0</v>
      </c>
      <c r="AD75" s="3318"/>
      <c r="AE75" s="3318"/>
      <c r="AF75" s="3318"/>
      <c r="AG75" s="3318"/>
      <c r="AH75" s="3318"/>
      <c r="AI75" s="3318"/>
      <c r="AJ75" s="3318"/>
      <c r="AK75" s="3318"/>
      <c r="AL75" s="3318"/>
      <c r="AM75" s="3318"/>
      <c r="AN75" s="3318"/>
      <c r="AO75" s="3318"/>
      <c r="AP75" s="3318"/>
      <c r="AQ75" s="3318"/>
      <c r="AR75" s="3318"/>
      <c r="AS75" s="3318"/>
      <c r="AT75" s="3328"/>
      <c r="AU75" s="3329"/>
      <c r="AV75" s="963">
        <f t="shared" si="11"/>
        <v>0</v>
      </c>
      <c r="AW75" s="963">
        <f t="shared" si="12"/>
        <v>0</v>
      </c>
      <c r="AX75" s="963">
        <f t="shared" si="13"/>
        <v>0</v>
      </c>
      <c r="AY75" s="3343">
        <f t="shared" si="14"/>
        <v>0</v>
      </c>
      <c r="AZ75" s="3298">
        <f t="shared" si="15"/>
        <v>0</v>
      </c>
      <c r="BA75" s="3298">
        <f t="shared" si="16"/>
        <v>0</v>
      </c>
      <c r="BB75" s="3298">
        <f t="shared" si="17"/>
        <v>0</v>
      </c>
      <c r="BC75" s="3298">
        <f t="shared" si="18"/>
        <v>0</v>
      </c>
      <c r="BD75" s="3298">
        <f t="shared" si="19"/>
        <v>0</v>
      </c>
      <c r="BE75" s="3298">
        <f t="shared" si="20"/>
        <v>0</v>
      </c>
      <c r="BF75" s="3298">
        <f t="shared" si="21"/>
        <v>0</v>
      </c>
      <c r="BG75" s="3298">
        <f t="shared" si="22"/>
        <v>0</v>
      </c>
      <c r="BH75" s="3298">
        <f t="shared" si="23"/>
        <v>0</v>
      </c>
      <c r="BI75" s="3298">
        <f t="shared" si="24"/>
        <v>0</v>
      </c>
      <c r="BJ75" s="3298">
        <f t="shared" si="25"/>
        <v>0</v>
      </c>
      <c r="BK75" s="3298">
        <f t="shared" si="26"/>
        <v>0</v>
      </c>
      <c r="BL75" s="3298">
        <f t="shared" si="27"/>
        <v>0</v>
      </c>
      <c r="BM75" s="3298">
        <f t="shared" si="28"/>
        <v>0</v>
      </c>
      <c r="BN75" s="3298">
        <f t="shared" si="29"/>
        <v>0</v>
      </c>
      <c r="BO75" s="3298">
        <f t="shared" si="30"/>
        <v>0</v>
      </c>
      <c r="BP75" s="3298">
        <f t="shared" si="31"/>
        <v>0</v>
      </c>
      <c r="BQ75" s="3298">
        <f t="shared" si="32"/>
        <v>0</v>
      </c>
      <c r="BR75" s="3298">
        <f t="shared" si="33"/>
        <v>0</v>
      </c>
      <c r="BS75" s="3298">
        <f t="shared" si="34"/>
        <v>0</v>
      </c>
      <c r="BT75" s="3350">
        <f t="shared" si="35"/>
        <v>0</v>
      </c>
    </row>
    <row r="76" spans="1:72">
      <c r="A76" s="1407"/>
      <c r="B76" s="3296"/>
      <c r="C76" s="3296"/>
      <c r="D76" s="3297"/>
      <c r="E76" s="3298">
        <f t="shared" si="7"/>
        <v>0</v>
      </c>
      <c r="F76" s="3299"/>
      <c r="G76" s="3300">
        <f t="shared" si="8"/>
        <v>0</v>
      </c>
      <c r="H76" s="3301">
        <f t="shared" si="9"/>
        <v>0</v>
      </c>
      <c r="I76" s="3308"/>
      <c r="J76" s="3308"/>
      <c r="K76" s="3308"/>
      <c r="L76" s="3308"/>
      <c r="M76" s="3308"/>
      <c r="N76" s="3308"/>
      <c r="O76" s="3308"/>
      <c r="P76" s="3308"/>
      <c r="Q76" s="3308"/>
      <c r="R76" s="3308"/>
      <c r="S76" s="3308"/>
      <c r="T76" s="3308"/>
      <c r="U76" s="3308"/>
      <c r="V76" s="3308"/>
      <c r="W76" s="3308"/>
      <c r="X76" s="3308"/>
      <c r="Y76" s="3308"/>
      <c r="Z76" s="3308"/>
      <c r="AA76" s="3308"/>
      <c r="AB76" s="3308"/>
      <c r="AC76" s="3298">
        <f t="shared" si="10"/>
        <v>0</v>
      </c>
      <c r="AD76" s="3318"/>
      <c r="AE76" s="3318"/>
      <c r="AF76" s="3318"/>
      <c r="AG76" s="3318"/>
      <c r="AH76" s="3318"/>
      <c r="AI76" s="3318"/>
      <c r="AJ76" s="3318"/>
      <c r="AK76" s="3318"/>
      <c r="AL76" s="3318"/>
      <c r="AM76" s="3318"/>
      <c r="AN76" s="3318"/>
      <c r="AO76" s="3318"/>
      <c r="AP76" s="3318"/>
      <c r="AQ76" s="3318"/>
      <c r="AR76" s="3318"/>
      <c r="AS76" s="3318"/>
      <c r="AT76" s="3328"/>
      <c r="AU76" s="3329"/>
      <c r="AV76" s="963">
        <f t="shared" si="11"/>
        <v>0</v>
      </c>
      <c r="AW76" s="963">
        <f t="shared" si="12"/>
        <v>0</v>
      </c>
      <c r="AX76" s="963">
        <f t="shared" si="13"/>
        <v>0</v>
      </c>
      <c r="AY76" s="3343">
        <f t="shared" si="14"/>
        <v>0</v>
      </c>
      <c r="AZ76" s="3298">
        <f t="shared" si="15"/>
        <v>0</v>
      </c>
      <c r="BA76" s="3298">
        <f t="shared" si="16"/>
        <v>0</v>
      </c>
      <c r="BB76" s="3298">
        <f t="shared" si="17"/>
        <v>0</v>
      </c>
      <c r="BC76" s="3298">
        <f t="shared" si="18"/>
        <v>0</v>
      </c>
      <c r="BD76" s="3298">
        <f t="shared" si="19"/>
        <v>0</v>
      </c>
      <c r="BE76" s="3298">
        <f t="shared" si="20"/>
        <v>0</v>
      </c>
      <c r="BF76" s="3298">
        <f t="shared" si="21"/>
        <v>0</v>
      </c>
      <c r="BG76" s="3298">
        <f t="shared" si="22"/>
        <v>0</v>
      </c>
      <c r="BH76" s="3298">
        <f t="shared" si="23"/>
        <v>0</v>
      </c>
      <c r="BI76" s="3298">
        <f t="shared" si="24"/>
        <v>0</v>
      </c>
      <c r="BJ76" s="3298">
        <f t="shared" si="25"/>
        <v>0</v>
      </c>
      <c r="BK76" s="3298">
        <f t="shared" si="26"/>
        <v>0</v>
      </c>
      <c r="BL76" s="3298">
        <f t="shared" si="27"/>
        <v>0</v>
      </c>
      <c r="BM76" s="3298">
        <f t="shared" si="28"/>
        <v>0</v>
      </c>
      <c r="BN76" s="3298">
        <f t="shared" si="29"/>
        <v>0</v>
      </c>
      <c r="BO76" s="3298">
        <f t="shared" si="30"/>
        <v>0</v>
      </c>
      <c r="BP76" s="3298">
        <f t="shared" si="31"/>
        <v>0</v>
      </c>
      <c r="BQ76" s="3298">
        <f t="shared" si="32"/>
        <v>0</v>
      </c>
      <c r="BR76" s="3298">
        <f t="shared" si="33"/>
        <v>0</v>
      </c>
      <c r="BS76" s="3298">
        <f t="shared" si="34"/>
        <v>0</v>
      </c>
      <c r="BT76" s="3350">
        <f t="shared" si="35"/>
        <v>0</v>
      </c>
    </row>
    <row r="77" spans="1:72">
      <c r="A77" s="1407"/>
      <c r="B77" s="3296"/>
      <c r="C77" s="3296"/>
      <c r="D77" s="3297"/>
      <c r="E77" s="3298">
        <f t="shared" si="7"/>
        <v>0</v>
      </c>
      <c r="F77" s="3299"/>
      <c r="G77" s="3300">
        <f t="shared" si="8"/>
        <v>0</v>
      </c>
      <c r="H77" s="3301">
        <f t="shared" si="9"/>
        <v>0</v>
      </c>
      <c r="I77" s="3308"/>
      <c r="J77" s="3308"/>
      <c r="K77" s="3308"/>
      <c r="L77" s="3308"/>
      <c r="M77" s="3308"/>
      <c r="N77" s="3308"/>
      <c r="O77" s="3308"/>
      <c r="P77" s="3308"/>
      <c r="Q77" s="3308"/>
      <c r="R77" s="3308"/>
      <c r="S77" s="3308"/>
      <c r="T77" s="3308"/>
      <c r="U77" s="3308"/>
      <c r="V77" s="3308"/>
      <c r="W77" s="3308"/>
      <c r="X77" s="3308"/>
      <c r="Y77" s="3308"/>
      <c r="Z77" s="3308"/>
      <c r="AA77" s="3308"/>
      <c r="AB77" s="3308"/>
      <c r="AC77" s="3298">
        <f t="shared" si="10"/>
        <v>0</v>
      </c>
      <c r="AD77" s="3318"/>
      <c r="AE77" s="3318"/>
      <c r="AF77" s="3318"/>
      <c r="AG77" s="3318"/>
      <c r="AH77" s="3318"/>
      <c r="AI77" s="3318"/>
      <c r="AJ77" s="3318"/>
      <c r="AK77" s="3318"/>
      <c r="AL77" s="3318"/>
      <c r="AM77" s="3318"/>
      <c r="AN77" s="3318"/>
      <c r="AO77" s="3318"/>
      <c r="AP77" s="3318"/>
      <c r="AQ77" s="3318"/>
      <c r="AR77" s="3318"/>
      <c r="AS77" s="3318"/>
      <c r="AT77" s="3328"/>
      <c r="AU77" s="3329"/>
      <c r="AV77" s="963">
        <f t="shared" si="11"/>
        <v>0</v>
      </c>
      <c r="AW77" s="963">
        <f t="shared" si="12"/>
        <v>0</v>
      </c>
      <c r="AX77" s="963">
        <f t="shared" si="13"/>
        <v>0</v>
      </c>
      <c r="AY77" s="3343">
        <f t="shared" si="14"/>
        <v>0</v>
      </c>
      <c r="AZ77" s="3298">
        <f t="shared" si="15"/>
        <v>0</v>
      </c>
      <c r="BA77" s="3298">
        <f t="shared" si="16"/>
        <v>0</v>
      </c>
      <c r="BB77" s="3298">
        <f t="shared" si="17"/>
        <v>0</v>
      </c>
      <c r="BC77" s="3298">
        <f t="shared" si="18"/>
        <v>0</v>
      </c>
      <c r="BD77" s="3298">
        <f t="shared" si="19"/>
        <v>0</v>
      </c>
      <c r="BE77" s="3298">
        <f t="shared" si="20"/>
        <v>0</v>
      </c>
      <c r="BF77" s="3298">
        <f t="shared" si="21"/>
        <v>0</v>
      </c>
      <c r="BG77" s="3298">
        <f t="shared" si="22"/>
        <v>0</v>
      </c>
      <c r="BH77" s="3298">
        <f t="shared" si="23"/>
        <v>0</v>
      </c>
      <c r="BI77" s="3298">
        <f t="shared" si="24"/>
        <v>0</v>
      </c>
      <c r="BJ77" s="3298">
        <f t="shared" si="25"/>
        <v>0</v>
      </c>
      <c r="BK77" s="3298">
        <f t="shared" si="26"/>
        <v>0</v>
      </c>
      <c r="BL77" s="3298">
        <f t="shared" si="27"/>
        <v>0</v>
      </c>
      <c r="BM77" s="3298">
        <f t="shared" si="28"/>
        <v>0</v>
      </c>
      <c r="BN77" s="3298">
        <f t="shared" si="29"/>
        <v>0</v>
      </c>
      <c r="BO77" s="3298">
        <f t="shared" si="30"/>
        <v>0</v>
      </c>
      <c r="BP77" s="3298">
        <f t="shared" si="31"/>
        <v>0</v>
      </c>
      <c r="BQ77" s="3298">
        <f t="shared" si="32"/>
        <v>0</v>
      </c>
      <c r="BR77" s="3298">
        <f t="shared" si="33"/>
        <v>0</v>
      </c>
      <c r="BS77" s="3298">
        <f t="shared" si="34"/>
        <v>0</v>
      </c>
      <c r="BT77" s="3350">
        <f t="shared" si="35"/>
        <v>0</v>
      </c>
    </row>
    <row r="78" spans="1:72">
      <c r="A78" s="1407"/>
      <c r="B78" s="3296"/>
      <c r="C78" s="3296"/>
      <c r="D78" s="3297"/>
      <c r="E78" s="3298">
        <f t="shared" si="7"/>
        <v>0</v>
      </c>
      <c r="F78" s="3299"/>
      <c r="G78" s="3300">
        <f t="shared" si="8"/>
        <v>0</v>
      </c>
      <c r="H78" s="3301">
        <f t="shared" si="9"/>
        <v>0</v>
      </c>
      <c r="I78" s="3308"/>
      <c r="J78" s="3308"/>
      <c r="K78" s="3308"/>
      <c r="L78" s="3308"/>
      <c r="M78" s="3308"/>
      <c r="N78" s="3308"/>
      <c r="O78" s="3308"/>
      <c r="P78" s="3308"/>
      <c r="Q78" s="3308"/>
      <c r="R78" s="3308"/>
      <c r="S78" s="3308"/>
      <c r="T78" s="3308"/>
      <c r="U78" s="3308"/>
      <c r="V78" s="3308"/>
      <c r="W78" s="3308"/>
      <c r="X78" s="3308"/>
      <c r="Y78" s="3308"/>
      <c r="Z78" s="3308"/>
      <c r="AA78" s="3308"/>
      <c r="AB78" s="3308"/>
      <c r="AC78" s="3298">
        <f t="shared" si="10"/>
        <v>0</v>
      </c>
      <c r="AD78" s="3318"/>
      <c r="AE78" s="3318"/>
      <c r="AF78" s="3318"/>
      <c r="AG78" s="3318"/>
      <c r="AH78" s="3318"/>
      <c r="AI78" s="3318"/>
      <c r="AJ78" s="3318"/>
      <c r="AK78" s="3318"/>
      <c r="AL78" s="3318"/>
      <c r="AM78" s="3318"/>
      <c r="AN78" s="3318"/>
      <c r="AO78" s="3318"/>
      <c r="AP78" s="3318"/>
      <c r="AQ78" s="3318"/>
      <c r="AR78" s="3318"/>
      <c r="AS78" s="3318"/>
      <c r="AT78" s="3328"/>
      <c r="AU78" s="3329"/>
      <c r="AV78" s="963">
        <f t="shared" si="11"/>
        <v>0</v>
      </c>
      <c r="AW78" s="963">
        <f t="shared" si="12"/>
        <v>0</v>
      </c>
      <c r="AX78" s="963">
        <f t="shared" si="13"/>
        <v>0</v>
      </c>
      <c r="AY78" s="3343">
        <f t="shared" si="14"/>
        <v>0</v>
      </c>
      <c r="AZ78" s="3298">
        <f t="shared" si="15"/>
        <v>0</v>
      </c>
      <c r="BA78" s="3298">
        <f t="shared" si="16"/>
        <v>0</v>
      </c>
      <c r="BB78" s="3298">
        <f t="shared" si="17"/>
        <v>0</v>
      </c>
      <c r="BC78" s="3298">
        <f t="shared" si="18"/>
        <v>0</v>
      </c>
      <c r="BD78" s="3298">
        <f t="shared" si="19"/>
        <v>0</v>
      </c>
      <c r="BE78" s="3298">
        <f t="shared" si="20"/>
        <v>0</v>
      </c>
      <c r="BF78" s="3298">
        <f t="shared" si="21"/>
        <v>0</v>
      </c>
      <c r="BG78" s="3298">
        <f t="shared" si="22"/>
        <v>0</v>
      </c>
      <c r="BH78" s="3298">
        <f t="shared" si="23"/>
        <v>0</v>
      </c>
      <c r="BI78" s="3298">
        <f t="shared" si="24"/>
        <v>0</v>
      </c>
      <c r="BJ78" s="3298">
        <f t="shared" si="25"/>
        <v>0</v>
      </c>
      <c r="BK78" s="3298">
        <f t="shared" si="26"/>
        <v>0</v>
      </c>
      <c r="BL78" s="3298">
        <f t="shared" si="27"/>
        <v>0</v>
      </c>
      <c r="BM78" s="3298">
        <f t="shared" si="28"/>
        <v>0</v>
      </c>
      <c r="BN78" s="3298">
        <f t="shared" si="29"/>
        <v>0</v>
      </c>
      <c r="BO78" s="3298">
        <f t="shared" si="30"/>
        <v>0</v>
      </c>
      <c r="BP78" s="3298">
        <f t="shared" si="31"/>
        <v>0</v>
      </c>
      <c r="BQ78" s="3298">
        <f t="shared" si="32"/>
        <v>0</v>
      </c>
      <c r="BR78" s="3298">
        <f t="shared" si="33"/>
        <v>0</v>
      </c>
      <c r="BS78" s="3298">
        <f t="shared" si="34"/>
        <v>0</v>
      </c>
      <c r="BT78" s="3350">
        <f t="shared" si="35"/>
        <v>0</v>
      </c>
    </row>
    <row r="79" spans="1:72">
      <c r="A79" s="1407"/>
      <c r="B79" s="3296"/>
      <c r="C79" s="3296"/>
      <c r="D79" s="3297"/>
      <c r="E79" s="3298">
        <f t="shared" si="7"/>
        <v>0</v>
      </c>
      <c r="F79" s="3299"/>
      <c r="G79" s="3300">
        <f t="shared" si="8"/>
        <v>0</v>
      </c>
      <c r="H79" s="3301">
        <f t="shared" si="9"/>
        <v>0</v>
      </c>
      <c r="I79" s="3308"/>
      <c r="J79" s="3308"/>
      <c r="K79" s="3308"/>
      <c r="L79" s="3308"/>
      <c r="M79" s="3308"/>
      <c r="N79" s="3308"/>
      <c r="O79" s="3308"/>
      <c r="P79" s="3308"/>
      <c r="Q79" s="3308"/>
      <c r="R79" s="3308"/>
      <c r="S79" s="3308"/>
      <c r="T79" s="3308"/>
      <c r="U79" s="3308"/>
      <c r="V79" s="3308"/>
      <c r="W79" s="3308"/>
      <c r="X79" s="3308"/>
      <c r="Y79" s="3308"/>
      <c r="Z79" s="3308"/>
      <c r="AA79" s="3308"/>
      <c r="AB79" s="3308"/>
      <c r="AC79" s="3298">
        <f t="shared" si="10"/>
        <v>0</v>
      </c>
      <c r="AD79" s="3318"/>
      <c r="AE79" s="3318"/>
      <c r="AF79" s="3318"/>
      <c r="AG79" s="3318"/>
      <c r="AH79" s="3318"/>
      <c r="AI79" s="3318"/>
      <c r="AJ79" s="3318"/>
      <c r="AK79" s="3318"/>
      <c r="AL79" s="3318"/>
      <c r="AM79" s="3318"/>
      <c r="AN79" s="3318"/>
      <c r="AO79" s="3318"/>
      <c r="AP79" s="3318"/>
      <c r="AQ79" s="3318"/>
      <c r="AR79" s="3318"/>
      <c r="AS79" s="3318"/>
      <c r="AT79" s="3328"/>
      <c r="AU79" s="3329"/>
      <c r="AV79" s="963">
        <f t="shared" si="11"/>
        <v>0</v>
      </c>
      <c r="AW79" s="963">
        <f t="shared" si="12"/>
        <v>0</v>
      </c>
      <c r="AX79" s="963">
        <f t="shared" si="13"/>
        <v>0</v>
      </c>
      <c r="AY79" s="3343">
        <f t="shared" si="14"/>
        <v>0</v>
      </c>
      <c r="AZ79" s="3298">
        <f t="shared" si="15"/>
        <v>0</v>
      </c>
      <c r="BA79" s="3298">
        <f t="shared" si="16"/>
        <v>0</v>
      </c>
      <c r="BB79" s="3298">
        <f t="shared" si="17"/>
        <v>0</v>
      </c>
      <c r="BC79" s="3298">
        <f t="shared" si="18"/>
        <v>0</v>
      </c>
      <c r="BD79" s="3298">
        <f t="shared" si="19"/>
        <v>0</v>
      </c>
      <c r="BE79" s="3298">
        <f t="shared" si="20"/>
        <v>0</v>
      </c>
      <c r="BF79" s="3298">
        <f t="shared" si="21"/>
        <v>0</v>
      </c>
      <c r="BG79" s="3298">
        <f t="shared" si="22"/>
        <v>0</v>
      </c>
      <c r="BH79" s="3298">
        <f t="shared" si="23"/>
        <v>0</v>
      </c>
      <c r="BI79" s="3298">
        <f t="shared" si="24"/>
        <v>0</v>
      </c>
      <c r="BJ79" s="3298">
        <f t="shared" si="25"/>
        <v>0</v>
      </c>
      <c r="BK79" s="3298">
        <f t="shared" si="26"/>
        <v>0</v>
      </c>
      <c r="BL79" s="3298">
        <f t="shared" si="27"/>
        <v>0</v>
      </c>
      <c r="BM79" s="3298">
        <f t="shared" si="28"/>
        <v>0</v>
      </c>
      <c r="BN79" s="3298">
        <f t="shared" si="29"/>
        <v>0</v>
      </c>
      <c r="BO79" s="3298">
        <f t="shared" si="30"/>
        <v>0</v>
      </c>
      <c r="BP79" s="3298">
        <f t="shared" si="31"/>
        <v>0</v>
      </c>
      <c r="BQ79" s="3298">
        <f t="shared" si="32"/>
        <v>0</v>
      </c>
      <c r="BR79" s="3298">
        <f t="shared" si="33"/>
        <v>0</v>
      </c>
      <c r="BS79" s="3298">
        <f t="shared" si="34"/>
        <v>0</v>
      </c>
      <c r="BT79" s="3350">
        <f t="shared" si="35"/>
        <v>0</v>
      </c>
    </row>
    <row r="80" spans="1:72">
      <c r="A80" s="1407"/>
      <c r="B80" s="3296"/>
      <c r="C80" s="3296"/>
      <c r="D80" s="3297"/>
      <c r="E80" s="3298">
        <f t="shared" si="7"/>
        <v>0</v>
      </c>
      <c r="F80" s="3299"/>
      <c r="G80" s="3300">
        <f t="shared" si="8"/>
        <v>0</v>
      </c>
      <c r="H80" s="3301">
        <f t="shared" si="9"/>
        <v>0</v>
      </c>
      <c r="I80" s="3308"/>
      <c r="J80" s="3308"/>
      <c r="K80" s="3308"/>
      <c r="L80" s="3308"/>
      <c r="M80" s="3308"/>
      <c r="N80" s="3308"/>
      <c r="O80" s="3308"/>
      <c r="P80" s="3308"/>
      <c r="Q80" s="3308"/>
      <c r="R80" s="3308"/>
      <c r="S80" s="3308"/>
      <c r="T80" s="3308"/>
      <c r="U80" s="3308"/>
      <c r="V80" s="3308"/>
      <c r="W80" s="3308"/>
      <c r="X80" s="3308"/>
      <c r="Y80" s="3308"/>
      <c r="Z80" s="3308"/>
      <c r="AA80" s="3308"/>
      <c r="AB80" s="3308"/>
      <c r="AC80" s="3298">
        <f t="shared" si="10"/>
        <v>0</v>
      </c>
      <c r="AD80" s="3318"/>
      <c r="AE80" s="3318"/>
      <c r="AF80" s="3318"/>
      <c r="AG80" s="3318"/>
      <c r="AH80" s="3318"/>
      <c r="AI80" s="3318"/>
      <c r="AJ80" s="3318"/>
      <c r="AK80" s="3318"/>
      <c r="AL80" s="3318"/>
      <c r="AM80" s="3318"/>
      <c r="AN80" s="3318"/>
      <c r="AO80" s="3318"/>
      <c r="AP80" s="3318"/>
      <c r="AQ80" s="3318"/>
      <c r="AR80" s="3318"/>
      <c r="AS80" s="3318"/>
      <c r="AT80" s="3328"/>
      <c r="AU80" s="3329"/>
      <c r="AV80" s="963">
        <f t="shared" si="11"/>
        <v>0</v>
      </c>
      <c r="AW80" s="963">
        <f t="shared" si="12"/>
        <v>0</v>
      </c>
      <c r="AX80" s="963">
        <f t="shared" si="13"/>
        <v>0</v>
      </c>
      <c r="AY80" s="3343">
        <f t="shared" si="14"/>
        <v>0</v>
      </c>
      <c r="AZ80" s="3298">
        <f t="shared" si="15"/>
        <v>0</v>
      </c>
      <c r="BA80" s="3298">
        <f t="shared" si="16"/>
        <v>0</v>
      </c>
      <c r="BB80" s="3298">
        <f t="shared" si="17"/>
        <v>0</v>
      </c>
      <c r="BC80" s="3298">
        <f t="shared" si="18"/>
        <v>0</v>
      </c>
      <c r="BD80" s="3298">
        <f t="shared" si="19"/>
        <v>0</v>
      </c>
      <c r="BE80" s="3298">
        <f t="shared" si="20"/>
        <v>0</v>
      </c>
      <c r="BF80" s="3298">
        <f t="shared" si="21"/>
        <v>0</v>
      </c>
      <c r="BG80" s="3298">
        <f t="shared" si="22"/>
        <v>0</v>
      </c>
      <c r="BH80" s="3298">
        <f t="shared" si="23"/>
        <v>0</v>
      </c>
      <c r="BI80" s="3298">
        <f t="shared" si="24"/>
        <v>0</v>
      </c>
      <c r="BJ80" s="3298">
        <f t="shared" si="25"/>
        <v>0</v>
      </c>
      <c r="BK80" s="3298">
        <f t="shared" si="26"/>
        <v>0</v>
      </c>
      <c r="BL80" s="3298">
        <f t="shared" si="27"/>
        <v>0</v>
      </c>
      <c r="BM80" s="3298">
        <f t="shared" si="28"/>
        <v>0</v>
      </c>
      <c r="BN80" s="3298">
        <f t="shared" si="29"/>
        <v>0</v>
      </c>
      <c r="BO80" s="3298">
        <f t="shared" si="30"/>
        <v>0</v>
      </c>
      <c r="BP80" s="3298">
        <f t="shared" si="31"/>
        <v>0</v>
      </c>
      <c r="BQ80" s="3298">
        <f t="shared" si="32"/>
        <v>0</v>
      </c>
      <c r="BR80" s="3298">
        <f t="shared" si="33"/>
        <v>0</v>
      </c>
      <c r="BS80" s="3298">
        <f t="shared" si="34"/>
        <v>0</v>
      </c>
      <c r="BT80" s="3350">
        <f t="shared" si="35"/>
        <v>0</v>
      </c>
    </row>
    <row r="81" spans="1:72">
      <c r="A81" s="1407"/>
      <c r="B81" s="3296"/>
      <c r="C81" s="3296"/>
      <c r="D81" s="3297"/>
      <c r="E81" s="3298">
        <f t="shared" si="7"/>
        <v>0</v>
      </c>
      <c r="F81" s="3299"/>
      <c r="G81" s="3300">
        <f t="shared" si="8"/>
        <v>0</v>
      </c>
      <c r="H81" s="3301">
        <f t="shared" si="9"/>
        <v>0</v>
      </c>
      <c r="I81" s="3308"/>
      <c r="J81" s="3308"/>
      <c r="K81" s="3308"/>
      <c r="L81" s="3308"/>
      <c r="M81" s="3308"/>
      <c r="N81" s="3308"/>
      <c r="O81" s="3308"/>
      <c r="P81" s="3308"/>
      <c r="Q81" s="3308"/>
      <c r="R81" s="3308"/>
      <c r="S81" s="3308"/>
      <c r="T81" s="3308"/>
      <c r="U81" s="3308"/>
      <c r="V81" s="3308"/>
      <c r="W81" s="3308"/>
      <c r="X81" s="3308"/>
      <c r="Y81" s="3308"/>
      <c r="Z81" s="3308"/>
      <c r="AA81" s="3308"/>
      <c r="AB81" s="3308"/>
      <c r="AC81" s="3298">
        <f t="shared" si="10"/>
        <v>0</v>
      </c>
      <c r="AD81" s="3318"/>
      <c r="AE81" s="3318"/>
      <c r="AF81" s="3318"/>
      <c r="AG81" s="3318"/>
      <c r="AH81" s="3318"/>
      <c r="AI81" s="3318"/>
      <c r="AJ81" s="3318"/>
      <c r="AK81" s="3318"/>
      <c r="AL81" s="3318"/>
      <c r="AM81" s="3318"/>
      <c r="AN81" s="3318"/>
      <c r="AO81" s="3318"/>
      <c r="AP81" s="3318"/>
      <c r="AQ81" s="3318"/>
      <c r="AR81" s="3318"/>
      <c r="AS81" s="3318"/>
      <c r="AT81" s="3328"/>
      <c r="AU81" s="3329"/>
      <c r="AV81" s="963">
        <f t="shared" si="11"/>
        <v>0</v>
      </c>
      <c r="AW81" s="963">
        <f t="shared" si="12"/>
        <v>0</v>
      </c>
      <c r="AX81" s="963">
        <f t="shared" si="13"/>
        <v>0</v>
      </c>
      <c r="AY81" s="3343">
        <f t="shared" si="14"/>
        <v>0</v>
      </c>
      <c r="AZ81" s="3298">
        <f t="shared" si="15"/>
        <v>0</v>
      </c>
      <c r="BA81" s="3298">
        <f t="shared" si="16"/>
        <v>0</v>
      </c>
      <c r="BB81" s="3298">
        <f t="shared" si="17"/>
        <v>0</v>
      </c>
      <c r="BC81" s="3298">
        <f t="shared" si="18"/>
        <v>0</v>
      </c>
      <c r="BD81" s="3298">
        <f t="shared" si="19"/>
        <v>0</v>
      </c>
      <c r="BE81" s="3298">
        <f t="shared" si="20"/>
        <v>0</v>
      </c>
      <c r="BF81" s="3298">
        <f t="shared" si="21"/>
        <v>0</v>
      </c>
      <c r="BG81" s="3298">
        <f t="shared" si="22"/>
        <v>0</v>
      </c>
      <c r="BH81" s="3298">
        <f t="shared" si="23"/>
        <v>0</v>
      </c>
      <c r="BI81" s="3298">
        <f t="shared" si="24"/>
        <v>0</v>
      </c>
      <c r="BJ81" s="3298">
        <f t="shared" si="25"/>
        <v>0</v>
      </c>
      <c r="BK81" s="3298">
        <f t="shared" si="26"/>
        <v>0</v>
      </c>
      <c r="BL81" s="3298">
        <f t="shared" si="27"/>
        <v>0</v>
      </c>
      <c r="BM81" s="3298">
        <f t="shared" si="28"/>
        <v>0</v>
      </c>
      <c r="BN81" s="3298">
        <f t="shared" si="29"/>
        <v>0</v>
      </c>
      <c r="BO81" s="3298">
        <f t="shared" si="30"/>
        <v>0</v>
      </c>
      <c r="BP81" s="3298">
        <f t="shared" si="31"/>
        <v>0</v>
      </c>
      <c r="BQ81" s="3298">
        <f t="shared" si="32"/>
        <v>0</v>
      </c>
      <c r="BR81" s="3298">
        <f t="shared" si="33"/>
        <v>0</v>
      </c>
      <c r="BS81" s="3298">
        <f t="shared" si="34"/>
        <v>0</v>
      </c>
      <c r="BT81" s="3350">
        <f t="shared" si="35"/>
        <v>0</v>
      </c>
    </row>
    <row r="82" spans="1:72">
      <c r="A82" s="1407"/>
      <c r="B82" s="3296"/>
      <c r="C82" s="3296"/>
      <c r="D82" s="3297"/>
      <c r="E82" s="3298">
        <f t="shared" si="7"/>
        <v>0</v>
      </c>
      <c r="F82" s="3299"/>
      <c r="G82" s="3300">
        <f t="shared" si="8"/>
        <v>0</v>
      </c>
      <c r="H82" s="3301">
        <f t="shared" si="9"/>
        <v>0</v>
      </c>
      <c r="I82" s="3308"/>
      <c r="J82" s="3308"/>
      <c r="K82" s="3308"/>
      <c r="L82" s="3308"/>
      <c r="M82" s="3308"/>
      <c r="N82" s="3308"/>
      <c r="O82" s="3308"/>
      <c r="P82" s="3308"/>
      <c r="Q82" s="3308"/>
      <c r="R82" s="3308"/>
      <c r="S82" s="3308"/>
      <c r="T82" s="3308"/>
      <c r="U82" s="3308"/>
      <c r="V82" s="3308"/>
      <c r="W82" s="3308"/>
      <c r="X82" s="3308"/>
      <c r="Y82" s="3308"/>
      <c r="Z82" s="3308"/>
      <c r="AA82" s="3308"/>
      <c r="AB82" s="3308"/>
      <c r="AC82" s="3298">
        <f t="shared" si="10"/>
        <v>0</v>
      </c>
      <c r="AD82" s="3318"/>
      <c r="AE82" s="3318"/>
      <c r="AF82" s="3318"/>
      <c r="AG82" s="3318"/>
      <c r="AH82" s="3318"/>
      <c r="AI82" s="3318"/>
      <c r="AJ82" s="3318"/>
      <c r="AK82" s="3318"/>
      <c r="AL82" s="3318"/>
      <c r="AM82" s="3318"/>
      <c r="AN82" s="3318"/>
      <c r="AO82" s="3318"/>
      <c r="AP82" s="3318"/>
      <c r="AQ82" s="3318"/>
      <c r="AR82" s="3318"/>
      <c r="AS82" s="3318"/>
      <c r="AT82" s="3328"/>
      <c r="AU82" s="3329"/>
      <c r="AV82" s="963">
        <f t="shared" si="11"/>
        <v>0</v>
      </c>
      <c r="AW82" s="963">
        <f t="shared" si="12"/>
        <v>0</v>
      </c>
      <c r="AX82" s="963">
        <f t="shared" si="13"/>
        <v>0</v>
      </c>
      <c r="AY82" s="3343">
        <f t="shared" si="14"/>
        <v>0</v>
      </c>
      <c r="AZ82" s="3298">
        <f t="shared" si="15"/>
        <v>0</v>
      </c>
      <c r="BA82" s="3298">
        <f t="shared" si="16"/>
        <v>0</v>
      </c>
      <c r="BB82" s="3298">
        <f t="shared" si="17"/>
        <v>0</v>
      </c>
      <c r="BC82" s="3298">
        <f t="shared" si="18"/>
        <v>0</v>
      </c>
      <c r="BD82" s="3298">
        <f t="shared" si="19"/>
        <v>0</v>
      </c>
      <c r="BE82" s="3298">
        <f t="shared" si="20"/>
        <v>0</v>
      </c>
      <c r="BF82" s="3298">
        <f t="shared" si="21"/>
        <v>0</v>
      </c>
      <c r="BG82" s="3298">
        <f t="shared" si="22"/>
        <v>0</v>
      </c>
      <c r="BH82" s="3298">
        <f t="shared" si="23"/>
        <v>0</v>
      </c>
      <c r="BI82" s="3298">
        <f t="shared" si="24"/>
        <v>0</v>
      </c>
      <c r="BJ82" s="3298">
        <f t="shared" si="25"/>
        <v>0</v>
      </c>
      <c r="BK82" s="3298">
        <f t="shared" si="26"/>
        <v>0</v>
      </c>
      <c r="BL82" s="3298">
        <f t="shared" si="27"/>
        <v>0</v>
      </c>
      <c r="BM82" s="3298">
        <f t="shared" si="28"/>
        <v>0</v>
      </c>
      <c r="BN82" s="3298">
        <f t="shared" si="29"/>
        <v>0</v>
      </c>
      <c r="BO82" s="3298">
        <f t="shared" si="30"/>
        <v>0</v>
      </c>
      <c r="BP82" s="3298">
        <f t="shared" si="31"/>
        <v>0</v>
      </c>
      <c r="BQ82" s="3298">
        <f t="shared" si="32"/>
        <v>0</v>
      </c>
      <c r="BR82" s="3298">
        <f t="shared" si="33"/>
        <v>0</v>
      </c>
      <c r="BS82" s="3298">
        <f t="shared" si="34"/>
        <v>0</v>
      </c>
      <c r="BT82" s="3350">
        <f t="shared" si="35"/>
        <v>0</v>
      </c>
    </row>
    <row r="83" spans="1:72">
      <c r="A83" s="1407"/>
      <c r="B83" s="3296"/>
      <c r="C83" s="3296"/>
      <c r="D83" s="3297"/>
      <c r="E83" s="3298">
        <f t="shared" si="7"/>
        <v>0</v>
      </c>
      <c r="F83" s="3299"/>
      <c r="G83" s="3300">
        <f t="shared" si="8"/>
        <v>0</v>
      </c>
      <c r="H83" s="3301">
        <f t="shared" si="9"/>
        <v>0</v>
      </c>
      <c r="I83" s="3308"/>
      <c r="J83" s="3308"/>
      <c r="K83" s="3308"/>
      <c r="L83" s="3308"/>
      <c r="M83" s="3308"/>
      <c r="N83" s="3308"/>
      <c r="O83" s="3308"/>
      <c r="P83" s="3308"/>
      <c r="Q83" s="3308"/>
      <c r="R83" s="3308"/>
      <c r="S83" s="3308"/>
      <c r="T83" s="3308"/>
      <c r="U83" s="3308"/>
      <c r="V83" s="3308"/>
      <c r="W83" s="3308"/>
      <c r="X83" s="3308"/>
      <c r="Y83" s="3308"/>
      <c r="Z83" s="3308"/>
      <c r="AA83" s="3308"/>
      <c r="AB83" s="3308"/>
      <c r="AC83" s="3298">
        <f t="shared" si="10"/>
        <v>0</v>
      </c>
      <c r="AD83" s="3318"/>
      <c r="AE83" s="3318"/>
      <c r="AF83" s="3318"/>
      <c r="AG83" s="3318"/>
      <c r="AH83" s="3318"/>
      <c r="AI83" s="3318"/>
      <c r="AJ83" s="3318"/>
      <c r="AK83" s="3318"/>
      <c r="AL83" s="3318"/>
      <c r="AM83" s="3318"/>
      <c r="AN83" s="3318"/>
      <c r="AO83" s="3318"/>
      <c r="AP83" s="3318"/>
      <c r="AQ83" s="3318"/>
      <c r="AR83" s="3318"/>
      <c r="AS83" s="3318"/>
      <c r="AT83" s="3328"/>
      <c r="AU83" s="3329"/>
      <c r="AV83" s="963">
        <f t="shared" si="11"/>
        <v>0</v>
      </c>
      <c r="AW83" s="963">
        <f t="shared" si="12"/>
        <v>0</v>
      </c>
      <c r="AX83" s="963">
        <f t="shared" si="13"/>
        <v>0</v>
      </c>
      <c r="AY83" s="3343">
        <f t="shared" si="14"/>
        <v>0</v>
      </c>
      <c r="AZ83" s="3298">
        <f t="shared" si="15"/>
        <v>0</v>
      </c>
      <c r="BA83" s="3298">
        <f t="shared" si="16"/>
        <v>0</v>
      </c>
      <c r="BB83" s="3298">
        <f t="shared" si="17"/>
        <v>0</v>
      </c>
      <c r="BC83" s="3298">
        <f t="shared" si="18"/>
        <v>0</v>
      </c>
      <c r="BD83" s="3298">
        <f t="shared" si="19"/>
        <v>0</v>
      </c>
      <c r="BE83" s="3298">
        <f t="shared" si="20"/>
        <v>0</v>
      </c>
      <c r="BF83" s="3298">
        <f t="shared" si="21"/>
        <v>0</v>
      </c>
      <c r="BG83" s="3298">
        <f t="shared" si="22"/>
        <v>0</v>
      </c>
      <c r="BH83" s="3298">
        <f t="shared" si="23"/>
        <v>0</v>
      </c>
      <c r="BI83" s="3298">
        <f t="shared" si="24"/>
        <v>0</v>
      </c>
      <c r="BJ83" s="3298">
        <f t="shared" si="25"/>
        <v>0</v>
      </c>
      <c r="BK83" s="3298">
        <f t="shared" si="26"/>
        <v>0</v>
      </c>
      <c r="BL83" s="3298">
        <f t="shared" si="27"/>
        <v>0</v>
      </c>
      <c r="BM83" s="3298">
        <f t="shared" si="28"/>
        <v>0</v>
      </c>
      <c r="BN83" s="3298">
        <f t="shared" si="29"/>
        <v>0</v>
      </c>
      <c r="BO83" s="3298">
        <f t="shared" si="30"/>
        <v>0</v>
      </c>
      <c r="BP83" s="3298">
        <f t="shared" si="31"/>
        <v>0</v>
      </c>
      <c r="BQ83" s="3298">
        <f t="shared" si="32"/>
        <v>0</v>
      </c>
      <c r="BR83" s="3298">
        <f t="shared" si="33"/>
        <v>0</v>
      </c>
      <c r="BS83" s="3298">
        <f t="shared" si="34"/>
        <v>0</v>
      </c>
      <c r="BT83" s="3350">
        <f t="shared" si="35"/>
        <v>0</v>
      </c>
    </row>
    <row r="84" spans="1:72">
      <c r="A84" s="1407"/>
      <c r="B84" s="3296"/>
      <c r="C84" s="3296"/>
      <c r="D84" s="3297"/>
      <c r="E84" s="3298">
        <f t="shared" si="7"/>
        <v>0</v>
      </c>
      <c r="F84" s="3299"/>
      <c r="G84" s="3300">
        <f t="shared" si="8"/>
        <v>0</v>
      </c>
      <c r="H84" s="3301">
        <f t="shared" si="9"/>
        <v>0</v>
      </c>
      <c r="I84" s="3308"/>
      <c r="J84" s="3308"/>
      <c r="K84" s="3308"/>
      <c r="L84" s="3308"/>
      <c r="M84" s="3308"/>
      <c r="N84" s="3308"/>
      <c r="O84" s="3308"/>
      <c r="P84" s="3308"/>
      <c r="Q84" s="3308"/>
      <c r="R84" s="3308"/>
      <c r="S84" s="3308"/>
      <c r="T84" s="3308"/>
      <c r="U84" s="3308"/>
      <c r="V84" s="3308"/>
      <c r="W84" s="3308"/>
      <c r="X84" s="3308"/>
      <c r="Y84" s="3308"/>
      <c r="Z84" s="3308"/>
      <c r="AA84" s="3308"/>
      <c r="AB84" s="3308"/>
      <c r="AC84" s="3298">
        <f t="shared" si="10"/>
        <v>0</v>
      </c>
      <c r="AD84" s="3318"/>
      <c r="AE84" s="3318"/>
      <c r="AF84" s="3318"/>
      <c r="AG84" s="3318"/>
      <c r="AH84" s="3318"/>
      <c r="AI84" s="3318"/>
      <c r="AJ84" s="3318"/>
      <c r="AK84" s="3318"/>
      <c r="AL84" s="3318"/>
      <c r="AM84" s="3318"/>
      <c r="AN84" s="3318"/>
      <c r="AO84" s="3318"/>
      <c r="AP84" s="3318"/>
      <c r="AQ84" s="3318"/>
      <c r="AR84" s="3318"/>
      <c r="AS84" s="3318"/>
      <c r="AT84" s="3328"/>
      <c r="AU84" s="3329"/>
      <c r="AV84" s="963">
        <f t="shared" si="11"/>
        <v>0</v>
      </c>
      <c r="AW84" s="963">
        <f t="shared" si="12"/>
        <v>0</v>
      </c>
      <c r="AX84" s="963">
        <f t="shared" si="13"/>
        <v>0</v>
      </c>
      <c r="AY84" s="3343">
        <f t="shared" si="14"/>
        <v>0</v>
      </c>
      <c r="AZ84" s="3298">
        <f t="shared" si="15"/>
        <v>0</v>
      </c>
      <c r="BA84" s="3298">
        <f t="shared" si="16"/>
        <v>0</v>
      </c>
      <c r="BB84" s="3298">
        <f t="shared" si="17"/>
        <v>0</v>
      </c>
      <c r="BC84" s="3298">
        <f t="shared" si="18"/>
        <v>0</v>
      </c>
      <c r="BD84" s="3298">
        <f t="shared" si="19"/>
        <v>0</v>
      </c>
      <c r="BE84" s="3298">
        <f t="shared" si="20"/>
        <v>0</v>
      </c>
      <c r="BF84" s="3298">
        <f t="shared" si="21"/>
        <v>0</v>
      </c>
      <c r="BG84" s="3298">
        <f t="shared" si="22"/>
        <v>0</v>
      </c>
      <c r="BH84" s="3298">
        <f t="shared" si="23"/>
        <v>0</v>
      </c>
      <c r="BI84" s="3298">
        <f t="shared" si="24"/>
        <v>0</v>
      </c>
      <c r="BJ84" s="3298">
        <f t="shared" si="25"/>
        <v>0</v>
      </c>
      <c r="BK84" s="3298">
        <f t="shared" si="26"/>
        <v>0</v>
      </c>
      <c r="BL84" s="3298">
        <f t="shared" si="27"/>
        <v>0</v>
      </c>
      <c r="BM84" s="3298">
        <f t="shared" si="28"/>
        <v>0</v>
      </c>
      <c r="BN84" s="3298">
        <f t="shared" si="29"/>
        <v>0</v>
      </c>
      <c r="BO84" s="3298">
        <f t="shared" si="30"/>
        <v>0</v>
      </c>
      <c r="BP84" s="3298">
        <f t="shared" si="31"/>
        <v>0</v>
      </c>
      <c r="BQ84" s="3298">
        <f t="shared" si="32"/>
        <v>0</v>
      </c>
      <c r="BR84" s="3298">
        <f t="shared" si="33"/>
        <v>0</v>
      </c>
      <c r="BS84" s="3298">
        <f t="shared" si="34"/>
        <v>0</v>
      </c>
      <c r="BT84" s="3350">
        <f t="shared" si="35"/>
        <v>0</v>
      </c>
    </row>
    <row r="85" spans="1:72">
      <c r="A85" s="1407"/>
      <c r="B85" s="3296"/>
      <c r="C85" s="3296"/>
      <c r="D85" s="3297"/>
      <c r="E85" s="3298">
        <f t="shared" si="7"/>
        <v>0</v>
      </c>
      <c r="F85" s="3299"/>
      <c r="G85" s="3300">
        <f t="shared" si="8"/>
        <v>0</v>
      </c>
      <c r="H85" s="3301">
        <f t="shared" si="9"/>
        <v>0</v>
      </c>
      <c r="I85" s="3308"/>
      <c r="J85" s="3308"/>
      <c r="K85" s="3308"/>
      <c r="L85" s="3308"/>
      <c r="M85" s="3308"/>
      <c r="N85" s="3308"/>
      <c r="O85" s="3308"/>
      <c r="P85" s="3308"/>
      <c r="Q85" s="3308"/>
      <c r="R85" s="3308"/>
      <c r="S85" s="3308"/>
      <c r="T85" s="3308"/>
      <c r="U85" s="3308"/>
      <c r="V85" s="3308"/>
      <c r="W85" s="3308"/>
      <c r="X85" s="3308"/>
      <c r="Y85" s="3308"/>
      <c r="Z85" s="3308"/>
      <c r="AA85" s="3308"/>
      <c r="AB85" s="3308"/>
      <c r="AC85" s="3298">
        <f t="shared" si="10"/>
        <v>0</v>
      </c>
      <c r="AD85" s="3318"/>
      <c r="AE85" s="3318"/>
      <c r="AF85" s="3318"/>
      <c r="AG85" s="3318"/>
      <c r="AH85" s="3318"/>
      <c r="AI85" s="3318"/>
      <c r="AJ85" s="3318"/>
      <c r="AK85" s="3318"/>
      <c r="AL85" s="3318"/>
      <c r="AM85" s="3318"/>
      <c r="AN85" s="3318"/>
      <c r="AO85" s="3318"/>
      <c r="AP85" s="3318"/>
      <c r="AQ85" s="3318"/>
      <c r="AR85" s="3318"/>
      <c r="AS85" s="3318"/>
      <c r="AT85" s="3328"/>
      <c r="AU85" s="3329"/>
      <c r="AV85" s="963">
        <f t="shared" si="11"/>
        <v>0</v>
      </c>
      <c r="AW85" s="963">
        <f t="shared" si="12"/>
        <v>0</v>
      </c>
      <c r="AX85" s="963">
        <f t="shared" si="13"/>
        <v>0</v>
      </c>
      <c r="AY85" s="3343">
        <f t="shared" si="14"/>
        <v>0</v>
      </c>
      <c r="AZ85" s="3298">
        <f t="shared" si="15"/>
        <v>0</v>
      </c>
      <c r="BA85" s="3298">
        <f t="shared" si="16"/>
        <v>0</v>
      </c>
      <c r="BB85" s="3298">
        <f t="shared" si="17"/>
        <v>0</v>
      </c>
      <c r="BC85" s="3298">
        <f t="shared" si="18"/>
        <v>0</v>
      </c>
      <c r="BD85" s="3298">
        <f t="shared" si="19"/>
        <v>0</v>
      </c>
      <c r="BE85" s="3298">
        <f t="shared" si="20"/>
        <v>0</v>
      </c>
      <c r="BF85" s="3298">
        <f t="shared" si="21"/>
        <v>0</v>
      </c>
      <c r="BG85" s="3298">
        <f t="shared" si="22"/>
        <v>0</v>
      </c>
      <c r="BH85" s="3298">
        <f t="shared" si="23"/>
        <v>0</v>
      </c>
      <c r="BI85" s="3298">
        <f t="shared" si="24"/>
        <v>0</v>
      </c>
      <c r="BJ85" s="3298">
        <f t="shared" si="25"/>
        <v>0</v>
      </c>
      <c r="BK85" s="3298">
        <f t="shared" si="26"/>
        <v>0</v>
      </c>
      <c r="BL85" s="3298">
        <f t="shared" si="27"/>
        <v>0</v>
      </c>
      <c r="BM85" s="3298">
        <f t="shared" si="28"/>
        <v>0</v>
      </c>
      <c r="BN85" s="3298">
        <f t="shared" si="29"/>
        <v>0</v>
      </c>
      <c r="BO85" s="3298">
        <f t="shared" si="30"/>
        <v>0</v>
      </c>
      <c r="BP85" s="3298">
        <f t="shared" si="31"/>
        <v>0</v>
      </c>
      <c r="BQ85" s="3298">
        <f t="shared" si="32"/>
        <v>0</v>
      </c>
      <c r="BR85" s="3298">
        <f t="shared" si="33"/>
        <v>0</v>
      </c>
      <c r="BS85" s="3298">
        <f t="shared" si="34"/>
        <v>0</v>
      </c>
      <c r="BT85" s="3350">
        <f t="shared" si="35"/>
        <v>0</v>
      </c>
    </row>
    <row r="86" spans="1:72">
      <c r="A86" s="1407"/>
      <c r="B86" s="3296"/>
      <c r="C86" s="3296"/>
      <c r="D86" s="3297"/>
      <c r="E86" s="3298">
        <f t="shared" si="7"/>
        <v>0</v>
      </c>
      <c r="F86" s="3299"/>
      <c r="G86" s="3300">
        <f t="shared" si="8"/>
        <v>0</v>
      </c>
      <c r="H86" s="3301">
        <f t="shared" si="9"/>
        <v>0</v>
      </c>
      <c r="I86" s="3308"/>
      <c r="J86" s="3308"/>
      <c r="K86" s="3308"/>
      <c r="L86" s="3308"/>
      <c r="M86" s="3308"/>
      <c r="N86" s="3308"/>
      <c r="O86" s="3308"/>
      <c r="P86" s="3308"/>
      <c r="Q86" s="3308"/>
      <c r="R86" s="3308"/>
      <c r="S86" s="3308"/>
      <c r="T86" s="3308"/>
      <c r="U86" s="3308"/>
      <c r="V86" s="3308"/>
      <c r="W86" s="3308"/>
      <c r="X86" s="3308"/>
      <c r="Y86" s="3308"/>
      <c r="Z86" s="3308"/>
      <c r="AA86" s="3308"/>
      <c r="AB86" s="3308"/>
      <c r="AC86" s="3298">
        <f t="shared" si="10"/>
        <v>0</v>
      </c>
      <c r="AD86" s="3318"/>
      <c r="AE86" s="3318"/>
      <c r="AF86" s="3318"/>
      <c r="AG86" s="3318"/>
      <c r="AH86" s="3318"/>
      <c r="AI86" s="3318"/>
      <c r="AJ86" s="3318"/>
      <c r="AK86" s="3318"/>
      <c r="AL86" s="3318"/>
      <c r="AM86" s="3318"/>
      <c r="AN86" s="3318"/>
      <c r="AO86" s="3318"/>
      <c r="AP86" s="3318"/>
      <c r="AQ86" s="3318"/>
      <c r="AR86" s="3318"/>
      <c r="AS86" s="3318"/>
      <c r="AT86" s="3328"/>
      <c r="AU86" s="3329"/>
      <c r="AV86" s="963">
        <f t="shared" si="11"/>
        <v>0</v>
      </c>
      <c r="AW86" s="963">
        <f t="shared" si="12"/>
        <v>0</v>
      </c>
      <c r="AX86" s="963">
        <f t="shared" si="13"/>
        <v>0</v>
      </c>
      <c r="AY86" s="3343">
        <f t="shared" si="14"/>
        <v>0</v>
      </c>
      <c r="AZ86" s="3298">
        <f t="shared" si="15"/>
        <v>0</v>
      </c>
      <c r="BA86" s="3298">
        <f t="shared" si="16"/>
        <v>0</v>
      </c>
      <c r="BB86" s="3298">
        <f t="shared" si="17"/>
        <v>0</v>
      </c>
      <c r="BC86" s="3298">
        <f t="shared" si="18"/>
        <v>0</v>
      </c>
      <c r="BD86" s="3298">
        <f t="shared" si="19"/>
        <v>0</v>
      </c>
      <c r="BE86" s="3298">
        <f t="shared" si="20"/>
        <v>0</v>
      </c>
      <c r="BF86" s="3298">
        <f t="shared" si="21"/>
        <v>0</v>
      </c>
      <c r="BG86" s="3298">
        <f t="shared" si="22"/>
        <v>0</v>
      </c>
      <c r="BH86" s="3298">
        <f t="shared" si="23"/>
        <v>0</v>
      </c>
      <c r="BI86" s="3298">
        <f t="shared" si="24"/>
        <v>0</v>
      </c>
      <c r="BJ86" s="3298">
        <f t="shared" si="25"/>
        <v>0</v>
      </c>
      <c r="BK86" s="3298">
        <f t="shared" si="26"/>
        <v>0</v>
      </c>
      <c r="BL86" s="3298">
        <f t="shared" si="27"/>
        <v>0</v>
      </c>
      <c r="BM86" s="3298">
        <f t="shared" si="28"/>
        <v>0</v>
      </c>
      <c r="BN86" s="3298">
        <f t="shared" si="29"/>
        <v>0</v>
      </c>
      <c r="BO86" s="3298">
        <f t="shared" si="30"/>
        <v>0</v>
      </c>
      <c r="BP86" s="3298">
        <f t="shared" si="31"/>
        <v>0</v>
      </c>
      <c r="BQ86" s="3298">
        <f t="shared" si="32"/>
        <v>0</v>
      </c>
      <c r="BR86" s="3298">
        <f t="shared" si="33"/>
        <v>0</v>
      </c>
      <c r="BS86" s="3298">
        <f t="shared" si="34"/>
        <v>0</v>
      </c>
      <c r="BT86" s="3350">
        <f t="shared" si="35"/>
        <v>0</v>
      </c>
    </row>
    <row r="87" spans="1:72">
      <c r="A87" s="1407"/>
      <c r="B87" s="3296"/>
      <c r="C87" s="3296"/>
      <c r="D87" s="3297"/>
      <c r="E87" s="3298">
        <f t="shared" si="7"/>
        <v>0</v>
      </c>
      <c r="F87" s="3299"/>
      <c r="G87" s="3300">
        <f t="shared" si="8"/>
        <v>0</v>
      </c>
      <c r="H87" s="3301">
        <f t="shared" si="9"/>
        <v>0</v>
      </c>
      <c r="I87" s="3308"/>
      <c r="J87" s="3308"/>
      <c r="K87" s="3308"/>
      <c r="L87" s="3308"/>
      <c r="M87" s="3308"/>
      <c r="N87" s="3308"/>
      <c r="O87" s="3308"/>
      <c r="P87" s="3308"/>
      <c r="Q87" s="3308"/>
      <c r="R87" s="3308"/>
      <c r="S87" s="3308"/>
      <c r="T87" s="3308"/>
      <c r="U87" s="3308"/>
      <c r="V87" s="3308"/>
      <c r="W87" s="3308"/>
      <c r="X87" s="3308"/>
      <c r="Y87" s="3308"/>
      <c r="Z87" s="3308"/>
      <c r="AA87" s="3308"/>
      <c r="AB87" s="3308"/>
      <c r="AC87" s="3298">
        <f t="shared" si="10"/>
        <v>0</v>
      </c>
      <c r="AD87" s="3318"/>
      <c r="AE87" s="3318"/>
      <c r="AF87" s="3318"/>
      <c r="AG87" s="3318"/>
      <c r="AH87" s="3318"/>
      <c r="AI87" s="3318"/>
      <c r="AJ87" s="3318"/>
      <c r="AK87" s="3318"/>
      <c r="AL87" s="3318"/>
      <c r="AM87" s="3318"/>
      <c r="AN87" s="3318"/>
      <c r="AO87" s="3318"/>
      <c r="AP87" s="3318"/>
      <c r="AQ87" s="3318"/>
      <c r="AR87" s="3318"/>
      <c r="AS87" s="3318"/>
      <c r="AT87" s="3328"/>
      <c r="AU87" s="3329"/>
      <c r="AV87" s="963">
        <f t="shared" si="11"/>
        <v>0</v>
      </c>
      <c r="AW87" s="963">
        <f t="shared" si="12"/>
        <v>0</v>
      </c>
      <c r="AX87" s="963">
        <f t="shared" si="13"/>
        <v>0</v>
      </c>
      <c r="AY87" s="3343">
        <f t="shared" si="14"/>
        <v>0</v>
      </c>
      <c r="AZ87" s="3298">
        <f t="shared" si="15"/>
        <v>0</v>
      </c>
      <c r="BA87" s="3298">
        <f t="shared" si="16"/>
        <v>0</v>
      </c>
      <c r="BB87" s="3298">
        <f t="shared" si="17"/>
        <v>0</v>
      </c>
      <c r="BC87" s="3298">
        <f t="shared" si="18"/>
        <v>0</v>
      </c>
      <c r="BD87" s="3298">
        <f t="shared" si="19"/>
        <v>0</v>
      </c>
      <c r="BE87" s="3298">
        <f t="shared" si="20"/>
        <v>0</v>
      </c>
      <c r="BF87" s="3298">
        <f t="shared" si="21"/>
        <v>0</v>
      </c>
      <c r="BG87" s="3298">
        <f t="shared" si="22"/>
        <v>0</v>
      </c>
      <c r="BH87" s="3298">
        <f t="shared" si="23"/>
        <v>0</v>
      </c>
      <c r="BI87" s="3298">
        <f t="shared" si="24"/>
        <v>0</v>
      </c>
      <c r="BJ87" s="3298">
        <f t="shared" si="25"/>
        <v>0</v>
      </c>
      <c r="BK87" s="3298">
        <f t="shared" si="26"/>
        <v>0</v>
      </c>
      <c r="BL87" s="3298">
        <f t="shared" si="27"/>
        <v>0</v>
      </c>
      <c r="BM87" s="3298">
        <f t="shared" si="28"/>
        <v>0</v>
      </c>
      <c r="BN87" s="3298">
        <f t="shared" si="29"/>
        <v>0</v>
      </c>
      <c r="BO87" s="3298">
        <f t="shared" si="30"/>
        <v>0</v>
      </c>
      <c r="BP87" s="3298">
        <f t="shared" si="31"/>
        <v>0</v>
      </c>
      <c r="BQ87" s="3298">
        <f t="shared" si="32"/>
        <v>0</v>
      </c>
      <c r="BR87" s="3298">
        <f t="shared" si="33"/>
        <v>0</v>
      </c>
      <c r="BS87" s="3298">
        <f t="shared" si="34"/>
        <v>0</v>
      </c>
      <c r="BT87" s="3350">
        <f t="shared" si="35"/>
        <v>0</v>
      </c>
    </row>
    <row r="88" spans="1:72">
      <c r="A88" s="1407"/>
      <c r="B88" s="3296"/>
      <c r="C88" s="3296"/>
      <c r="D88" s="3297"/>
      <c r="E88" s="3298">
        <f t="shared" si="7"/>
        <v>0</v>
      </c>
      <c r="F88" s="3299"/>
      <c r="G88" s="3300">
        <f t="shared" si="8"/>
        <v>0</v>
      </c>
      <c r="H88" s="3301">
        <f t="shared" si="9"/>
        <v>0</v>
      </c>
      <c r="I88" s="3308"/>
      <c r="J88" s="3308"/>
      <c r="K88" s="3308"/>
      <c r="L88" s="3308"/>
      <c r="M88" s="3308"/>
      <c r="N88" s="3308"/>
      <c r="O88" s="3308"/>
      <c r="P88" s="3308"/>
      <c r="Q88" s="3308"/>
      <c r="R88" s="3308"/>
      <c r="S88" s="3308"/>
      <c r="T88" s="3308"/>
      <c r="U88" s="3308"/>
      <c r="V88" s="3308"/>
      <c r="W88" s="3308"/>
      <c r="X88" s="3308"/>
      <c r="Y88" s="3308"/>
      <c r="Z88" s="3308"/>
      <c r="AA88" s="3308"/>
      <c r="AB88" s="3308"/>
      <c r="AC88" s="3298">
        <f t="shared" si="10"/>
        <v>0</v>
      </c>
      <c r="AD88" s="3318"/>
      <c r="AE88" s="3318"/>
      <c r="AF88" s="3318"/>
      <c r="AG88" s="3318"/>
      <c r="AH88" s="3318"/>
      <c r="AI88" s="3318"/>
      <c r="AJ88" s="3318"/>
      <c r="AK88" s="3318"/>
      <c r="AL88" s="3318"/>
      <c r="AM88" s="3318"/>
      <c r="AN88" s="3318"/>
      <c r="AO88" s="3318"/>
      <c r="AP88" s="3318"/>
      <c r="AQ88" s="3318"/>
      <c r="AR88" s="3318"/>
      <c r="AS88" s="3318"/>
      <c r="AT88" s="3328"/>
      <c r="AU88" s="3329"/>
      <c r="AV88" s="963">
        <f t="shared" si="11"/>
        <v>0</v>
      </c>
      <c r="AW88" s="963">
        <f t="shared" si="12"/>
        <v>0</v>
      </c>
      <c r="AX88" s="963">
        <f t="shared" si="13"/>
        <v>0</v>
      </c>
      <c r="AY88" s="3343">
        <f t="shared" si="14"/>
        <v>0</v>
      </c>
      <c r="AZ88" s="3298">
        <f t="shared" si="15"/>
        <v>0</v>
      </c>
      <c r="BA88" s="3298">
        <f t="shared" si="16"/>
        <v>0</v>
      </c>
      <c r="BB88" s="3298">
        <f t="shared" si="17"/>
        <v>0</v>
      </c>
      <c r="BC88" s="3298">
        <f t="shared" si="18"/>
        <v>0</v>
      </c>
      <c r="BD88" s="3298">
        <f t="shared" si="19"/>
        <v>0</v>
      </c>
      <c r="BE88" s="3298">
        <f t="shared" si="20"/>
        <v>0</v>
      </c>
      <c r="BF88" s="3298">
        <f t="shared" si="21"/>
        <v>0</v>
      </c>
      <c r="BG88" s="3298">
        <f t="shared" si="22"/>
        <v>0</v>
      </c>
      <c r="BH88" s="3298">
        <f t="shared" si="23"/>
        <v>0</v>
      </c>
      <c r="BI88" s="3298">
        <f t="shared" si="24"/>
        <v>0</v>
      </c>
      <c r="BJ88" s="3298">
        <f t="shared" si="25"/>
        <v>0</v>
      </c>
      <c r="BK88" s="3298">
        <f t="shared" si="26"/>
        <v>0</v>
      </c>
      <c r="BL88" s="3298">
        <f t="shared" si="27"/>
        <v>0</v>
      </c>
      <c r="BM88" s="3298">
        <f t="shared" si="28"/>
        <v>0</v>
      </c>
      <c r="BN88" s="3298">
        <f t="shared" si="29"/>
        <v>0</v>
      </c>
      <c r="BO88" s="3298">
        <f t="shared" si="30"/>
        <v>0</v>
      </c>
      <c r="BP88" s="3298">
        <f t="shared" si="31"/>
        <v>0</v>
      </c>
      <c r="BQ88" s="3298">
        <f t="shared" si="32"/>
        <v>0</v>
      </c>
      <c r="BR88" s="3298">
        <f t="shared" si="33"/>
        <v>0</v>
      </c>
      <c r="BS88" s="3298">
        <f t="shared" si="34"/>
        <v>0</v>
      </c>
      <c r="BT88" s="3350">
        <f t="shared" si="35"/>
        <v>0</v>
      </c>
    </row>
    <row r="89" spans="1:72">
      <c r="A89" s="1407"/>
      <c r="B89" s="3296"/>
      <c r="C89" s="3296"/>
      <c r="D89" s="3297"/>
      <c r="E89" s="3298">
        <f t="shared" si="7"/>
        <v>0</v>
      </c>
      <c r="F89" s="3299"/>
      <c r="G89" s="3300">
        <f t="shared" si="8"/>
        <v>0</v>
      </c>
      <c r="H89" s="3301">
        <f t="shared" si="9"/>
        <v>0</v>
      </c>
      <c r="I89" s="3308"/>
      <c r="J89" s="3308"/>
      <c r="K89" s="3308"/>
      <c r="L89" s="3308"/>
      <c r="M89" s="3308"/>
      <c r="N89" s="3308"/>
      <c r="O89" s="3308"/>
      <c r="P89" s="3308"/>
      <c r="Q89" s="3308"/>
      <c r="R89" s="3308"/>
      <c r="S89" s="3308"/>
      <c r="T89" s="3308"/>
      <c r="U89" s="3308"/>
      <c r="V89" s="3308"/>
      <c r="W89" s="3308"/>
      <c r="X89" s="3308"/>
      <c r="Y89" s="3308"/>
      <c r="Z89" s="3308"/>
      <c r="AA89" s="3308"/>
      <c r="AB89" s="3308"/>
      <c r="AC89" s="3298">
        <f t="shared" si="10"/>
        <v>0</v>
      </c>
      <c r="AD89" s="3318"/>
      <c r="AE89" s="3318"/>
      <c r="AF89" s="3318"/>
      <c r="AG89" s="3318"/>
      <c r="AH89" s="3318"/>
      <c r="AI89" s="3318"/>
      <c r="AJ89" s="3318"/>
      <c r="AK89" s="3318"/>
      <c r="AL89" s="3318"/>
      <c r="AM89" s="3318"/>
      <c r="AN89" s="3318"/>
      <c r="AO89" s="3318"/>
      <c r="AP89" s="3318"/>
      <c r="AQ89" s="3318"/>
      <c r="AR89" s="3318"/>
      <c r="AS89" s="3318"/>
      <c r="AT89" s="3328"/>
      <c r="AU89" s="3329"/>
      <c r="AV89" s="963">
        <f t="shared" si="11"/>
        <v>0</v>
      </c>
      <c r="AW89" s="963">
        <f t="shared" si="12"/>
        <v>0</v>
      </c>
      <c r="AX89" s="963">
        <f t="shared" si="13"/>
        <v>0</v>
      </c>
      <c r="AY89" s="3343">
        <f t="shared" si="14"/>
        <v>0</v>
      </c>
      <c r="AZ89" s="3298">
        <f t="shared" si="15"/>
        <v>0</v>
      </c>
      <c r="BA89" s="3298">
        <f t="shared" si="16"/>
        <v>0</v>
      </c>
      <c r="BB89" s="3298">
        <f t="shared" si="17"/>
        <v>0</v>
      </c>
      <c r="BC89" s="3298">
        <f t="shared" si="18"/>
        <v>0</v>
      </c>
      <c r="BD89" s="3298">
        <f t="shared" si="19"/>
        <v>0</v>
      </c>
      <c r="BE89" s="3298">
        <f t="shared" si="20"/>
        <v>0</v>
      </c>
      <c r="BF89" s="3298">
        <f t="shared" si="21"/>
        <v>0</v>
      </c>
      <c r="BG89" s="3298">
        <f t="shared" si="22"/>
        <v>0</v>
      </c>
      <c r="BH89" s="3298">
        <f t="shared" si="23"/>
        <v>0</v>
      </c>
      <c r="BI89" s="3298">
        <f t="shared" si="24"/>
        <v>0</v>
      </c>
      <c r="BJ89" s="3298">
        <f t="shared" si="25"/>
        <v>0</v>
      </c>
      <c r="BK89" s="3298">
        <f t="shared" si="26"/>
        <v>0</v>
      </c>
      <c r="BL89" s="3298">
        <f t="shared" si="27"/>
        <v>0</v>
      </c>
      <c r="BM89" s="3298">
        <f t="shared" si="28"/>
        <v>0</v>
      </c>
      <c r="BN89" s="3298">
        <f t="shared" si="29"/>
        <v>0</v>
      </c>
      <c r="BO89" s="3298">
        <f t="shared" si="30"/>
        <v>0</v>
      </c>
      <c r="BP89" s="3298">
        <f t="shared" si="31"/>
        <v>0</v>
      </c>
      <c r="BQ89" s="3298">
        <f t="shared" si="32"/>
        <v>0</v>
      </c>
      <c r="BR89" s="3298">
        <f t="shared" si="33"/>
        <v>0</v>
      </c>
      <c r="BS89" s="3298">
        <f t="shared" si="34"/>
        <v>0</v>
      </c>
      <c r="BT89" s="3350">
        <f t="shared" si="35"/>
        <v>0</v>
      </c>
    </row>
    <row r="90" spans="1:72">
      <c r="A90" s="1407"/>
      <c r="B90" s="3296"/>
      <c r="C90" s="3296"/>
      <c r="D90" s="3297"/>
      <c r="E90" s="3298">
        <f t="shared" si="7"/>
        <v>0</v>
      </c>
      <c r="F90" s="3299"/>
      <c r="G90" s="3300">
        <f t="shared" si="8"/>
        <v>0</v>
      </c>
      <c r="H90" s="3301">
        <f t="shared" si="9"/>
        <v>0</v>
      </c>
      <c r="I90" s="3308"/>
      <c r="J90" s="3308"/>
      <c r="K90" s="3308"/>
      <c r="L90" s="3308"/>
      <c r="M90" s="3308"/>
      <c r="N90" s="3308"/>
      <c r="O90" s="3308"/>
      <c r="P90" s="3308"/>
      <c r="Q90" s="3308"/>
      <c r="R90" s="3308"/>
      <c r="S90" s="3308"/>
      <c r="T90" s="3308"/>
      <c r="U90" s="3308"/>
      <c r="V90" s="3308"/>
      <c r="W90" s="3308"/>
      <c r="X90" s="3308"/>
      <c r="Y90" s="3308"/>
      <c r="Z90" s="3308"/>
      <c r="AA90" s="3308"/>
      <c r="AB90" s="3308"/>
      <c r="AC90" s="3298">
        <f t="shared" si="10"/>
        <v>0</v>
      </c>
      <c r="AD90" s="3318"/>
      <c r="AE90" s="3318"/>
      <c r="AF90" s="3318"/>
      <c r="AG90" s="3318"/>
      <c r="AH90" s="3318"/>
      <c r="AI90" s="3318"/>
      <c r="AJ90" s="3318"/>
      <c r="AK90" s="3318"/>
      <c r="AL90" s="3318"/>
      <c r="AM90" s="3318"/>
      <c r="AN90" s="3318"/>
      <c r="AO90" s="3318"/>
      <c r="AP90" s="3318"/>
      <c r="AQ90" s="3318"/>
      <c r="AR90" s="3318"/>
      <c r="AS90" s="3318"/>
      <c r="AT90" s="3328"/>
      <c r="AU90" s="3329"/>
      <c r="AV90" s="963">
        <f t="shared" si="11"/>
        <v>0</v>
      </c>
      <c r="AW90" s="963">
        <f t="shared" si="12"/>
        <v>0</v>
      </c>
      <c r="AX90" s="963">
        <f t="shared" si="13"/>
        <v>0</v>
      </c>
      <c r="AY90" s="3343">
        <f t="shared" si="14"/>
        <v>0</v>
      </c>
      <c r="AZ90" s="3298">
        <f t="shared" si="15"/>
        <v>0</v>
      </c>
      <c r="BA90" s="3298">
        <f t="shared" si="16"/>
        <v>0</v>
      </c>
      <c r="BB90" s="3298">
        <f t="shared" si="17"/>
        <v>0</v>
      </c>
      <c r="BC90" s="3298">
        <f t="shared" si="18"/>
        <v>0</v>
      </c>
      <c r="BD90" s="3298">
        <f t="shared" si="19"/>
        <v>0</v>
      </c>
      <c r="BE90" s="3298">
        <f t="shared" si="20"/>
        <v>0</v>
      </c>
      <c r="BF90" s="3298">
        <f t="shared" si="21"/>
        <v>0</v>
      </c>
      <c r="BG90" s="3298">
        <f t="shared" si="22"/>
        <v>0</v>
      </c>
      <c r="BH90" s="3298">
        <f t="shared" si="23"/>
        <v>0</v>
      </c>
      <c r="BI90" s="3298">
        <f t="shared" si="24"/>
        <v>0</v>
      </c>
      <c r="BJ90" s="3298">
        <f t="shared" si="25"/>
        <v>0</v>
      </c>
      <c r="BK90" s="3298">
        <f t="shared" si="26"/>
        <v>0</v>
      </c>
      <c r="BL90" s="3298">
        <f t="shared" si="27"/>
        <v>0</v>
      </c>
      <c r="BM90" s="3298">
        <f t="shared" si="28"/>
        <v>0</v>
      </c>
      <c r="BN90" s="3298">
        <f t="shared" si="29"/>
        <v>0</v>
      </c>
      <c r="BO90" s="3298">
        <f t="shared" si="30"/>
        <v>0</v>
      </c>
      <c r="BP90" s="3298">
        <f t="shared" si="31"/>
        <v>0</v>
      </c>
      <c r="BQ90" s="3298">
        <f t="shared" si="32"/>
        <v>0</v>
      </c>
      <c r="BR90" s="3298">
        <f t="shared" si="33"/>
        <v>0</v>
      </c>
      <c r="BS90" s="3298">
        <f t="shared" si="34"/>
        <v>0</v>
      </c>
      <c r="BT90" s="3350">
        <f t="shared" si="35"/>
        <v>0</v>
      </c>
    </row>
    <row r="91" spans="1:72">
      <c r="A91" s="1407"/>
      <c r="B91" s="3296"/>
      <c r="C91" s="3296"/>
      <c r="D91" s="3297"/>
      <c r="E91" s="3298">
        <f t="shared" si="7"/>
        <v>0</v>
      </c>
      <c r="F91" s="3299"/>
      <c r="G91" s="3300">
        <f t="shared" si="8"/>
        <v>0</v>
      </c>
      <c r="H91" s="3301">
        <f t="shared" si="9"/>
        <v>0</v>
      </c>
      <c r="I91" s="3308"/>
      <c r="J91" s="3308"/>
      <c r="K91" s="3308"/>
      <c r="L91" s="3308"/>
      <c r="M91" s="3308"/>
      <c r="N91" s="3308"/>
      <c r="O91" s="3308"/>
      <c r="P91" s="3308"/>
      <c r="Q91" s="3308"/>
      <c r="R91" s="3308"/>
      <c r="S91" s="3308"/>
      <c r="T91" s="3308"/>
      <c r="U91" s="3308"/>
      <c r="V91" s="3308"/>
      <c r="W91" s="3308"/>
      <c r="X91" s="3308"/>
      <c r="Y91" s="3308"/>
      <c r="Z91" s="3308"/>
      <c r="AA91" s="3308"/>
      <c r="AB91" s="3308"/>
      <c r="AC91" s="3298">
        <f t="shared" si="10"/>
        <v>0</v>
      </c>
      <c r="AD91" s="3318"/>
      <c r="AE91" s="3318"/>
      <c r="AF91" s="3318"/>
      <c r="AG91" s="3318"/>
      <c r="AH91" s="3318"/>
      <c r="AI91" s="3318"/>
      <c r="AJ91" s="3318"/>
      <c r="AK91" s="3318"/>
      <c r="AL91" s="3318"/>
      <c r="AM91" s="3318"/>
      <c r="AN91" s="3318"/>
      <c r="AO91" s="3318"/>
      <c r="AP91" s="3318"/>
      <c r="AQ91" s="3318"/>
      <c r="AR91" s="3318"/>
      <c r="AS91" s="3318"/>
      <c r="AT91" s="3328"/>
      <c r="AU91" s="3329"/>
      <c r="AV91" s="963">
        <f t="shared" si="11"/>
        <v>0</v>
      </c>
      <c r="AW91" s="963">
        <f t="shared" si="12"/>
        <v>0</v>
      </c>
      <c r="AX91" s="963">
        <f t="shared" si="13"/>
        <v>0</v>
      </c>
      <c r="AY91" s="3343">
        <f t="shared" si="14"/>
        <v>0</v>
      </c>
      <c r="AZ91" s="3298">
        <f t="shared" si="15"/>
        <v>0</v>
      </c>
      <c r="BA91" s="3298">
        <f t="shared" si="16"/>
        <v>0</v>
      </c>
      <c r="BB91" s="3298">
        <f t="shared" si="17"/>
        <v>0</v>
      </c>
      <c r="BC91" s="3298">
        <f t="shared" si="18"/>
        <v>0</v>
      </c>
      <c r="BD91" s="3298">
        <f t="shared" si="19"/>
        <v>0</v>
      </c>
      <c r="BE91" s="3298">
        <f t="shared" si="20"/>
        <v>0</v>
      </c>
      <c r="BF91" s="3298">
        <f t="shared" si="21"/>
        <v>0</v>
      </c>
      <c r="BG91" s="3298">
        <f t="shared" si="22"/>
        <v>0</v>
      </c>
      <c r="BH91" s="3298">
        <f t="shared" si="23"/>
        <v>0</v>
      </c>
      <c r="BI91" s="3298">
        <f t="shared" si="24"/>
        <v>0</v>
      </c>
      <c r="BJ91" s="3298">
        <f t="shared" si="25"/>
        <v>0</v>
      </c>
      <c r="BK91" s="3298">
        <f t="shared" si="26"/>
        <v>0</v>
      </c>
      <c r="BL91" s="3298">
        <f t="shared" si="27"/>
        <v>0</v>
      </c>
      <c r="BM91" s="3298">
        <f t="shared" si="28"/>
        <v>0</v>
      </c>
      <c r="BN91" s="3298">
        <f t="shared" si="29"/>
        <v>0</v>
      </c>
      <c r="BO91" s="3298">
        <f t="shared" si="30"/>
        <v>0</v>
      </c>
      <c r="BP91" s="3298">
        <f t="shared" si="31"/>
        <v>0</v>
      </c>
      <c r="BQ91" s="3298">
        <f t="shared" si="32"/>
        <v>0</v>
      </c>
      <c r="BR91" s="3298">
        <f t="shared" si="33"/>
        <v>0</v>
      </c>
      <c r="BS91" s="3298">
        <f t="shared" si="34"/>
        <v>0</v>
      </c>
      <c r="BT91" s="3350">
        <f t="shared" si="35"/>
        <v>0</v>
      </c>
    </row>
    <row r="92" spans="1:72">
      <c r="A92" s="1407"/>
      <c r="B92" s="3296"/>
      <c r="C92" s="3296"/>
      <c r="D92" s="3297"/>
      <c r="E92" s="3298">
        <f t="shared" si="7"/>
        <v>0</v>
      </c>
      <c r="F92" s="3299"/>
      <c r="G92" s="3300">
        <f t="shared" si="8"/>
        <v>0</v>
      </c>
      <c r="H92" s="3301">
        <f t="shared" si="9"/>
        <v>0</v>
      </c>
      <c r="I92" s="3308"/>
      <c r="J92" s="3308"/>
      <c r="K92" s="3308"/>
      <c r="L92" s="3308"/>
      <c r="M92" s="3308"/>
      <c r="N92" s="3308"/>
      <c r="O92" s="3308"/>
      <c r="P92" s="3308"/>
      <c r="Q92" s="3308"/>
      <c r="R92" s="3308"/>
      <c r="S92" s="3308"/>
      <c r="T92" s="3308"/>
      <c r="U92" s="3308"/>
      <c r="V92" s="3308"/>
      <c r="W92" s="3308"/>
      <c r="X92" s="3308"/>
      <c r="Y92" s="3308"/>
      <c r="Z92" s="3308"/>
      <c r="AA92" s="3308"/>
      <c r="AB92" s="3308"/>
      <c r="AC92" s="3298">
        <f t="shared" si="10"/>
        <v>0</v>
      </c>
      <c r="AD92" s="3318"/>
      <c r="AE92" s="3318"/>
      <c r="AF92" s="3318"/>
      <c r="AG92" s="3318"/>
      <c r="AH92" s="3318"/>
      <c r="AI92" s="3318"/>
      <c r="AJ92" s="3318"/>
      <c r="AK92" s="3318"/>
      <c r="AL92" s="3318"/>
      <c r="AM92" s="3318"/>
      <c r="AN92" s="3318"/>
      <c r="AO92" s="3318"/>
      <c r="AP92" s="3318"/>
      <c r="AQ92" s="3318"/>
      <c r="AR92" s="3318"/>
      <c r="AS92" s="3318"/>
      <c r="AT92" s="3328"/>
      <c r="AU92" s="3329"/>
      <c r="AV92" s="963">
        <f t="shared" si="11"/>
        <v>0</v>
      </c>
      <c r="AW92" s="963">
        <f t="shared" si="12"/>
        <v>0</v>
      </c>
      <c r="AX92" s="963">
        <f t="shared" si="13"/>
        <v>0</v>
      </c>
      <c r="AY92" s="3343">
        <f t="shared" si="14"/>
        <v>0</v>
      </c>
      <c r="AZ92" s="3298">
        <f t="shared" si="15"/>
        <v>0</v>
      </c>
      <c r="BA92" s="3298">
        <f t="shared" si="16"/>
        <v>0</v>
      </c>
      <c r="BB92" s="3298">
        <f t="shared" si="17"/>
        <v>0</v>
      </c>
      <c r="BC92" s="3298">
        <f t="shared" si="18"/>
        <v>0</v>
      </c>
      <c r="BD92" s="3298">
        <f t="shared" si="19"/>
        <v>0</v>
      </c>
      <c r="BE92" s="3298">
        <f t="shared" si="20"/>
        <v>0</v>
      </c>
      <c r="BF92" s="3298">
        <f t="shared" si="21"/>
        <v>0</v>
      </c>
      <c r="BG92" s="3298">
        <f t="shared" si="22"/>
        <v>0</v>
      </c>
      <c r="BH92" s="3298">
        <f t="shared" si="23"/>
        <v>0</v>
      </c>
      <c r="BI92" s="3298">
        <f t="shared" si="24"/>
        <v>0</v>
      </c>
      <c r="BJ92" s="3298">
        <f t="shared" si="25"/>
        <v>0</v>
      </c>
      <c r="BK92" s="3298">
        <f t="shared" si="26"/>
        <v>0</v>
      </c>
      <c r="BL92" s="3298">
        <f t="shared" si="27"/>
        <v>0</v>
      </c>
      <c r="BM92" s="3298">
        <f t="shared" si="28"/>
        <v>0</v>
      </c>
      <c r="BN92" s="3298">
        <f t="shared" si="29"/>
        <v>0</v>
      </c>
      <c r="BO92" s="3298">
        <f t="shared" si="30"/>
        <v>0</v>
      </c>
      <c r="BP92" s="3298">
        <f t="shared" si="31"/>
        <v>0</v>
      </c>
      <c r="BQ92" s="3298">
        <f t="shared" si="32"/>
        <v>0</v>
      </c>
      <c r="BR92" s="3298">
        <f t="shared" si="33"/>
        <v>0</v>
      </c>
      <c r="BS92" s="3298">
        <f t="shared" si="34"/>
        <v>0</v>
      </c>
      <c r="BT92" s="3350">
        <f t="shared" si="35"/>
        <v>0</v>
      </c>
    </row>
    <row r="93" spans="1:72">
      <c r="A93" s="1407"/>
      <c r="B93" s="3296"/>
      <c r="C93" s="3296"/>
      <c r="D93" s="3297"/>
      <c r="E93" s="3298">
        <f t="shared" si="7"/>
        <v>0</v>
      </c>
      <c r="F93" s="3299"/>
      <c r="G93" s="3300">
        <f t="shared" si="8"/>
        <v>0</v>
      </c>
      <c r="H93" s="3301">
        <f t="shared" si="9"/>
        <v>0</v>
      </c>
      <c r="I93" s="3308"/>
      <c r="J93" s="3308"/>
      <c r="K93" s="3308"/>
      <c r="L93" s="3308"/>
      <c r="M93" s="3308"/>
      <c r="N93" s="3308"/>
      <c r="O93" s="3308"/>
      <c r="P93" s="3308"/>
      <c r="Q93" s="3308"/>
      <c r="R93" s="3308"/>
      <c r="S93" s="3308"/>
      <c r="T93" s="3308"/>
      <c r="U93" s="3308"/>
      <c r="V93" s="3308"/>
      <c r="W93" s="3308"/>
      <c r="X93" s="3308"/>
      <c r="Y93" s="3308"/>
      <c r="Z93" s="3308"/>
      <c r="AA93" s="3308"/>
      <c r="AB93" s="3308"/>
      <c r="AC93" s="3298">
        <f t="shared" si="10"/>
        <v>0</v>
      </c>
      <c r="AD93" s="3318"/>
      <c r="AE93" s="3318"/>
      <c r="AF93" s="3318"/>
      <c r="AG93" s="3318"/>
      <c r="AH93" s="3318"/>
      <c r="AI93" s="3318"/>
      <c r="AJ93" s="3318"/>
      <c r="AK93" s="3318"/>
      <c r="AL93" s="3318"/>
      <c r="AM93" s="3318"/>
      <c r="AN93" s="3318"/>
      <c r="AO93" s="3318"/>
      <c r="AP93" s="3318"/>
      <c r="AQ93" s="3318"/>
      <c r="AR93" s="3318"/>
      <c r="AS93" s="3318"/>
      <c r="AT93" s="3328"/>
      <c r="AU93" s="3329"/>
      <c r="AV93" s="963">
        <f t="shared" si="11"/>
        <v>0</v>
      </c>
      <c r="AW93" s="963">
        <f t="shared" si="12"/>
        <v>0</v>
      </c>
      <c r="AX93" s="963">
        <f t="shared" si="13"/>
        <v>0</v>
      </c>
      <c r="AY93" s="3343">
        <f t="shared" si="14"/>
        <v>0</v>
      </c>
      <c r="AZ93" s="3298">
        <f t="shared" si="15"/>
        <v>0</v>
      </c>
      <c r="BA93" s="3298">
        <f t="shared" si="16"/>
        <v>0</v>
      </c>
      <c r="BB93" s="3298">
        <f t="shared" si="17"/>
        <v>0</v>
      </c>
      <c r="BC93" s="3298">
        <f t="shared" si="18"/>
        <v>0</v>
      </c>
      <c r="BD93" s="3298">
        <f t="shared" si="19"/>
        <v>0</v>
      </c>
      <c r="BE93" s="3298">
        <f t="shared" si="20"/>
        <v>0</v>
      </c>
      <c r="BF93" s="3298">
        <f t="shared" si="21"/>
        <v>0</v>
      </c>
      <c r="BG93" s="3298">
        <f t="shared" si="22"/>
        <v>0</v>
      </c>
      <c r="BH93" s="3298">
        <f t="shared" si="23"/>
        <v>0</v>
      </c>
      <c r="BI93" s="3298">
        <f t="shared" si="24"/>
        <v>0</v>
      </c>
      <c r="BJ93" s="3298">
        <f t="shared" si="25"/>
        <v>0</v>
      </c>
      <c r="BK93" s="3298">
        <f t="shared" si="26"/>
        <v>0</v>
      </c>
      <c r="BL93" s="3298">
        <f t="shared" si="27"/>
        <v>0</v>
      </c>
      <c r="BM93" s="3298">
        <f t="shared" si="28"/>
        <v>0</v>
      </c>
      <c r="BN93" s="3298">
        <f t="shared" si="29"/>
        <v>0</v>
      </c>
      <c r="BO93" s="3298">
        <f t="shared" si="30"/>
        <v>0</v>
      </c>
      <c r="BP93" s="3298">
        <f t="shared" si="31"/>
        <v>0</v>
      </c>
      <c r="BQ93" s="3298">
        <f t="shared" si="32"/>
        <v>0</v>
      </c>
      <c r="BR93" s="3298">
        <f t="shared" si="33"/>
        <v>0</v>
      </c>
      <c r="BS93" s="3298">
        <f t="shared" si="34"/>
        <v>0</v>
      </c>
      <c r="BT93" s="3350">
        <f t="shared" si="35"/>
        <v>0</v>
      </c>
    </row>
    <row r="94" spans="1:72">
      <c r="A94" s="1407"/>
      <c r="B94" s="3296"/>
      <c r="C94" s="3296"/>
      <c r="D94" s="3297"/>
      <c r="E94" s="3298">
        <f t="shared" si="7"/>
        <v>0</v>
      </c>
      <c r="F94" s="3299"/>
      <c r="G94" s="3300">
        <f t="shared" si="8"/>
        <v>0</v>
      </c>
      <c r="H94" s="3301">
        <f t="shared" si="9"/>
        <v>0</v>
      </c>
      <c r="I94" s="3308"/>
      <c r="J94" s="3308"/>
      <c r="K94" s="3308"/>
      <c r="L94" s="3308"/>
      <c r="M94" s="3308"/>
      <c r="N94" s="3308"/>
      <c r="O94" s="3308"/>
      <c r="P94" s="3308"/>
      <c r="Q94" s="3308"/>
      <c r="R94" s="3308"/>
      <c r="S94" s="3308"/>
      <c r="T94" s="3308"/>
      <c r="U94" s="3308"/>
      <c r="V94" s="3308"/>
      <c r="W94" s="3308"/>
      <c r="X94" s="3308"/>
      <c r="Y94" s="3308"/>
      <c r="Z94" s="3308"/>
      <c r="AA94" s="3308"/>
      <c r="AB94" s="3308"/>
      <c r="AC94" s="3298">
        <f t="shared" si="10"/>
        <v>0</v>
      </c>
      <c r="AD94" s="3318"/>
      <c r="AE94" s="3318"/>
      <c r="AF94" s="3318"/>
      <c r="AG94" s="3318"/>
      <c r="AH94" s="3318"/>
      <c r="AI94" s="3318"/>
      <c r="AJ94" s="3318"/>
      <c r="AK94" s="3318"/>
      <c r="AL94" s="3318"/>
      <c r="AM94" s="3318"/>
      <c r="AN94" s="3318"/>
      <c r="AO94" s="3318"/>
      <c r="AP94" s="3318"/>
      <c r="AQ94" s="3318"/>
      <c r="AR94" s="3318"/>
      <c r="AS94" s="3318"/>
      <c r="AT94" s="3328"/>
      <c r="AU94" s="3329"/>
      <c r="AV94" s="963">
        <f t="shared" si="11"/>
        <v>0</v>
      </c>
      <c r="AW94" s="963">
        <f t="shared" si="12"/>
        <v>0</v>
      </c>
      <c r="AX94" s="963">
        <f t="shared" si="13"/>
        <v>0</v>
      </c>
      <c r="AY94" s="3343">
        <f t="shared" si="14"/>
        <v>0</v>
      </c>
      <c r="AZ94" s="3298">
        <f t="shared" si="15"/>
        <v>0</v>
      </c>
      <c r="BA94" s="3298">
        <f t="shared" si="16"/>
        <v>0</v>
      </c>
      <c r="BB94" s="3298">
        <f t="shared" si="17"/>
        <v>0</v>
      </c>
      <c r="BC94" s="3298">
        <f t="shared" si="18"/>
        <v>0</v>
      </c>
      <c r="BD94" s="3298">
        <f t="shared" si="19"/>
        <v>0</v>
      </c>
      <c r="BE94" s="3298">
        <f t="shared" si="20"/>
        <v>0</v>
      </c>
      <c r="BF94" s="3298">
        <f t="shared" si="21"/>
        <v>0</v>
      </c>
      <c r="BG94" s="3298">
        <f t="shared" si="22"/>
        <v>0</v>
      </c>
      <c r="BH94" s="3298">
        <f t="shared" si="23"/>
        <v>0</v>
      </c>
      <c r="BI94" s="3298">
        <f t="shared" si="24"/>
        <v>0</v>
      </c>
      <c r="BJ94" s="3298">
        <f t="shared" si="25"/>
        <v>0</v>
      </c>
      <c r="BK94" s="3298">
        <f t="shared" si="26"/>
        <v>0</v>
      </c>
      <c r="BL94" s="3298">
        <f t="shared" si="27"/>
        <v>0</v>
      </c>
      <c r="BM94" s="3298">
        <f t="shared" si="28"/>
        <v>0</v>
      </c>
      <c r="BN94" s="3298">
        <f t="shared" si="29"/>
        <v>0</v>
      </c>
      <c r="BO94" s="3298">
        <f t="shared" si="30"/>
        <v>0</v>
      </c>
      <c r="BP94" s="3298">
        <f t="shared" si="31"/>
        <v>0</v>
      </c>
      <c r="BQ94" s="3298">
        <f t="shared" si="32"/>
        <v>0</v>
      </c>
      <c r="BR94" s="3298">
        <f t="shared" si="33"/>
        <v>0</v>
      </c>
      <c r="BS94" s="3298">
        <f t="shared" si="34"/>
        <v>0</v>
      </c>
      <c r="BT94" s="3350">
        <f t="shared" si="35"/>
        <v>0</v>
      </c>
    </row>
    <row r="95" spans="1:72">
      <c r="A95" s="1407"/>
      <c r="B95" s="3296"/>
      <c r="C95" s="3296"/>
      <c r="D95" s="3297"/>
      <c r="E95" s="3298">
        <f t="shared" si="7"/>
        <v>0</v>
      </c>
      <c r="F95" s="3299"/>
      <c r="G95" s="3300">
        <f t="shared" si="8"/>
        <v>0</v>
      </c>
      <c r="H95" s="3301">
        <f t="shared" si="9"/>
        <v>0</v>
      </c>
      <c r="I95" s="3308"/>
      <c r="J95" s="3308"/>
      <c r="K95" s="3308"/>
      <c r="L95" s="3308"/>
      <c r="M95" s="3308"/>
      <c r="N95" s="3308"/>
      <c r="O95" s="3308"/>
      <c r="P95" s="3308"/>
      <c r="Q95" s="3308"/>
      <c r="R95" s="3308"/>
      <c r="S95" s="3308"/>
      <c r="T95" s="3308"/>
      <c r="U95" s="3308"/>
      <c r="V95" s="3308"/>
      <c r="W95" s="3308"/>
      <c r="X95" s="3308"/>
      <c r="Y95" s="3308"/>
      <c r="Z95" s="3308"/>
      <c r="AA95" s="3308"/>
      <c r="AB95" s="3308"/>
      <c r="AC95" s="3298">
        <f t="shared" si="10"/>
        <v>0</v>
      </c>
      <c r="AD95" s="3318"/>
      <c r="AE95" s="3318"/>
      <c r="AF95" s="3318"/>
      <c r="AG95" s="3318"/>
      <c r="AH95" s="3318"/>
      <c r="AI95" s="3318"/>
      <c r="AJ95" s="3318"/>
      <c r="AK95" s="3318"/>
      <c r="AL95" s="3318"/>
      <c r="AM95" s="3318"/>
      <c r="AN95" s="3318"/>
      <c r="AO95" s="3318"/>
      <c r="AP95" s="3318"/>
      <c r="AQ95" s="3318"/>
      <c r="AR95" s="3318"/>
      <c r="AS95" s="3318"/>
      <c r="AT95" s="3328"/>
      <c r="AU95" s="3329"/>
      <c r="AV95" s="963">
        <f t="shared" si="11"/>
        <v>0</v>
      </c>
      <c r="AW95" s="963">
        <f t="shared" si="12"/>
        <v>0</v>
      </c>
      <c r="AX95" s="963">
        <f t="shared" si="13"/>
        <v>0</v>
      </c>
      <c r="AY95" s="3343">
        <f t="shared" si="14"/>
        <v>0</v>
      </c>
      <c r="AZ95" s="3298">
        <f t="shared" si="15"/>
        <v>0</v>
      </c>
      <c r="BA95" s="3298">
        <f t="shared" si="16"/>
        <v>0</v>
      </c>
      <c r="BB95" s="3298">
        <f t="shared" si="17"/>
        <v>0</v>
      </c>
      <c r="BC95" s="3298">
        <f t="shared" si="18"/>
        <v>0</v>
      </c>
      <c r="BD95" s="3298">
        <f t="shared" si="19"/>
        <v>0</v>
      </c>
      <c r="BE95" s="3298">
        <f t="shared" si="20"/>
        <v>0</v>
      </c>
      <c r="BF95" s="3298">
        <f t="shared" si="21"/>
        <v>0</v>
      </c>
      <c r="BG95" s="3298">
        <f t="shared" si="22"/>
        <v>0</v>
      </c>
      <c r="BH95" s="3298">
        <f t="shared" si="23"/>
        <v>0</v>
      </c>
      <c r="BI95" s="3298">
        <f t="shared" si="24"/>
        <v>0</v>
      </c>
      <c r="BJ95" s="3298">
        <f t="shared" si="25"/>
        <v>0</v>
      </c>
      <c r="BK95" s="3298">
        <f t="shared" si="26"/>
        <v>0</v>
      </c>
      <c r="BL95" s="3298">
        <f t="shared" si="27"/>
        <v>0</v>
      </c>
      <c r="BM95" s="3298">
        <f t="shared" si="28"/>
        <v>0</v>
      </c>
      <c r="BN95" s="3298">
        <f t="shared" si="29"/>
        <v>0</v>
      </c>
      <c r="BO95" s="3298">
        <f t="shared" si="30"/>
        <v>0</v>
      </c>
      <c r="BP95" s="3298">
        <f t="shared" si="31"/>
        <v>0</v>
      </c>
      <c r="BQ95" s="3298">
        <f t="shared" si="32"/>
        <v>0</v>
      </c>
      <c r="BR95" s="3298">
        <f t="shared" si="33"/>
        <v>0</v>
      </c>
      <c r="BS95" s="3298">
        <f t="shared" si="34"/>
        <v>0</v>
      </c>
      <c r="BT95" s="3350">
        <f t="shared" si="35"/>
        <v>0</v>
      </c>
    </row>
    <row r="96" spans="1:72">
      <c r="A96" s="1407"/>
      <c r="B96" s="3296"/>
      <c r="C96" s="3296"/>
      <c r="D96" s="3297"/>
      <c r="E96" s="3298">
        <f t="shared" si="7"/>
        <v>0</v>
      </c>
      <c r="F96" s="3299"/>
      <c r="G96" s="3300">
        <f t="shared" si="8"/>
        <v>0</v>
      </c>
      <c r="H96" s="3301">
        <f t="shared" si="9"/>
        <v>0</v>
      </c>
      <c r="I96" s="3308"/>
      <c r="J96" s="3308"/>
      <c r="K96" s="3308"/>
      <c r="L96" s="3308"/>
      <c r="M96" s="3308"/>
      <c r="N96" s="3308"/>
      <c r="O96" s="3308"/>
      <c r="P96" s="3308"/>
      <c r="Q96" s="3308"/>
      <c r="R96" s="3308"/>
      <c r="S96" s="3308"/>
      <c r="T96" s="3308"/>
      <c r="U96" s="3308"/>
      <c r="V96" s="3308"/>
      <c r="W96" s="3308"/>
      <c r="X96" s="3308"/>
      <c r="Y96" s="3308"/>
      <c r="Z96" s="3308"/>
      <c r="AA96" s="3308"/>
      <c r="AB96" s="3308"/>
      <c r="AC96" s="3298">
        <f t="shared" si="10"/>
        <v>0</v>
      </c>
      <c r="AD96" s="3318"/>
      <c r="AE96" s="3318"/>
      <c r="AF96" s="3318"/>
      <c r="AG96" s="3318"/>
      <c r="AH96" s="3318"/>
      <c r="AI96" s="3318"/>
      <c r="AJ96" s="3318"/>
      <c r="AK96" s="3318"/>
      <c r="AL96" s="3318"/>
      <c r="AM96" s="3318"/>
      <c r="AN96" s="3318"/>
      <c r="AO96" s="3318"/>
      <c r="AP96" s="3318"/>
      <c r="AQ96" s="3318"/>
      <c r="AR96" s="3318"/>
      <c r="AS96" s="3318"/>
      <c r="AT96" s="3328"/>
      <c r="AU96" s="3329"/>
      <c r="AV96" s="963">
        <f t="shared" si="11"/>
        <v>0</v>
      </c>
      <c r="AW96" s="963">
        <f t="shared" si="12"/>
        <v>0</v>
      </c>
      <c r="AX96" s="963">
        <f t="shared" si="13"/>
        <v>0</v>
      </c>
      <c r="AY96" s="3343">
        <f t="shared" si="14"/>
        <v>0</v>
      </c>
      <c r="AZ96" s="3298">
        <f t="shared" si="15"/>
        <v>0</v>
      </c>
      <c r="BA96" s="3298">
        <f t="shared" si="16"/>
        <v>0</v>
      </c>
      <c r="BB96" s="3298">
        <f t="shared" si="17"/>
        <v>0</v>
      </c>
      <c r="BC96" s="3298">
        <f t="shared" si="18"/>
        <v>0</v>
      </c>
      <c r="BD96" s="3298">
        <f t="shared" si="19"/>
        <v>0</v>
      </c>
      <c r="BE96" s="3298">
        <f t="shared" si="20"/>
        <v>0</v>
      </c>
      <c r="BF96" s="3298">
        <f t="shared" si="21"/>
        <v>0</v>
      </c>
      <c r="BG96" s="3298">
        <f t="shared" si="22"/>
        <v>0</v>
      </c>
      <c r="BH96" s="3298">
        <f t="shared" si="23"/>
        <v>0</v>
      </c>
      <c r="BI96" s="3298">
        <f t="shared" si="24"/>
        <v>0</v>
      </c>
      <c r="BJ96" s="3298">
        <f t="shared" si="25"/>
        <v>0</v>
      </c>
      <c r="BK96" s="3298">
        <f t="shared" si="26"/>
        <v>0</v>
      </c>
      <c r="BL96" s="3298">
        <f t="shared" si="27"/>
        <v>0</v>
      </c>
      <c r="BM96" s="3298">
        <f t="shared" si="28"/>
        <v>0</v>
      </c>
      <c r="BN96" s="3298">
        <f t="shared" si="29"/>
        <v>0</v>
      </c>
      <c r="BO96" s="3298">
        <f t="shared" si="30"/>
        <v>0</v>
      </c>
      <c r="BP96" s="3298">
        <f t="shared" si="31"/>
        <v>0</v>
      </c>
      <c r="BQ96" s="3298">
        <f t="shared" si="32"/>
        <v>0</v>
      </c>
      <c r="BR96" s="3298">
        <f t="shared" si="33"/>
        <v>0</v>
      </c>
      <c r="BS96" s="3298">
        <f t="shared" si="34"/>
        <v>0</v>
      </c>
      <c r="BT96" s="3350">
        <f t="shared" si="35"/>
        <v>0</v>
      </c>
    </row>
    <row r="97" spans="1:72">
      <c r="A97" s="1407"/>
      <c r="B97" s="3296"/>
      <c r="C97" s="3296"/>
      <c r="D97" s="3297"/>
      <c r="E97" s="3298">
        <f t="shared" si="7"/>
        <v>0</v>
      </c>
      <c r="F97" s="3299"/>
      <c r="G97" s="3300">
        <f t="shared" si="8"/>
        <v>0</v>
      </c>
      <c r="H97" s="3301">
        <f t="shared" si="9"/>
        <v>0</v>
      </c>
      <c r="I97" s="3308"/>
      <c r="J97" s="3308"/>
      <c r="K97" s="3308"/>
      <c r="L97" s="3308"/>
      <c r="M97" s="3308"/>
      <c r="N97" s="3308"/>
      <c r="O97" s="3308"/>
      <c r="P97" s="3308"/>
      <c r="Q97" s="3308"/>
      <c r="R97" s="3308"/>
      <c r="S97" s="3308"/>
      <c r="T97" s="3308"/>
      <c r="U97" s="3308"/>
      <c r="V97" s="3308"/>
      <c r="W97" s="3308"/>
      <c r="X97" s="3308"/>
      <c r="Y97" s="3308"/>
      <c r="Z97" s="3308"/>
      <c r="AA97" s="3308"/>
      <c r="AB97" s="3308"/>
      <c r="AC97" s="3298">
        <f t="shared" si="10"/>
        <v>0</v>
      </c>
      <c r="AD97" s="3318"/>
      <c r="AE97" s="3318"/>
      <c r="AF97" s="3318"/>
      <c r="AG97" s="3318"/>
      <c r="AH97" s="3318"/>
      <c r="AI97" s="3318"/>
      <c r="AJ97" s="3318"/>
      <c r="AK97" s="3318"/>
      <c r="AL97" s="3318"/>
      <c r="AM97" s="3318"/>
      <c r="AN97" s="3318"/>
      <c r="AO97" s="3318"/>
      <c r="AP97" s="3318"/>
      <c r="AQ97" s="3318"/>
      <c r="AR97" s="3318"/>
      <c r="AS97" s="3318"/>
      <c r="AT97" s="3328"/>
      <c r="AU97" s="3329"/>
      <c r="AV97" s="963">
        <f t="shared" si="11"/>
        <v>0</v>
      </c>
      <c r="AW97" s="963">
        <f t="shared" si="12"/>
        <v>0</v>
      </c>
      <c r="AX97" s="963">
        <f t="shared" si="13"/>
        <v>0</v>
      </c>
      <c r="AY97" s="3343">
        <f t="shared" si="14"/>
        <v>0</v>
      </c>
      <c r="AZ97" s="3298">
        <f t="shared" si="15"/>
        <v>0</v>
      </c>
      <c r="BA97" s="3298">
        <f t="shared" si="16"/>
        <v>0</v>
      </c>
      <c r="BB97" s="3298">
        <f t="shared" si="17"/>
        <v>0</v>
      </c>
      <c r="BC97" s="3298">
        <f t="shared" si="18"/>
        <v>0</v>
      </c>
      <c r="BD97" s="3298">
        <f t="shared" si="19"/>
        <v>0</v>
      </c>
      <c r="BE97" s="3298">
        <f t="shared" si="20"/>
        <v>0</v>
      </c>
      <c r="BF97" s="3298">
        <f t="shared" si="21"/>
        <v>0</v>
      </c>
      <c r="BG97" s="3298">
        <f t="shared" si="22"/>
        <v>0</v>
      </c>
      <c r="BH97" s="3298">
        <f t="shared" si="23"/>
        <v>0</v>
      </c>
      <c r="BI97" s="3298">
        <f t="shared" si="24"/>
        <v>0</v>
      </c>
      <c r="BJ97" s="3298">
        <f t="shared" si="25"/>
        <v>0</v>
      </c>
      <c r="BK97" s="3298">
        <f t="shared" si="26"/>
        <v>0</v>
      </c>
      <c r="BL97" s="3298">
        <f t="shared" si="27"/>
        <v>0</v>
      </c>
      <c r="BM97" s="3298">
        <f t="shared" si="28"/>
        <v>0</v>
      </c>
      <c r="BN97" s="3298">
        <f t="shared" si="29"/>
        <v>0</v>
      </c>
      <c r="BO97" s="3298">
        <f t="shared" si="30"/>
        <v>0</v>
      </c>
      <c r="BP97" s="3298">
        <f t="shared" si="31"/>
        <v>0</v>
      </c>
      <c r="BQ97" s="3298">
        <f t="shared" si="32"/>
        <v>0</v>
      </c>
      <c r="BR97" s="3298">
        <f t="shared" si="33"/>
        <v>0</v>
      </c>
      <c r="BS97" s="3298">
        <f t="shared" si="34"/>
        <v>0</v>
      </c>
      <c r="BT97" s="3350">
        <f t="shared" si="35"/>
        <v>0</v>
      </c>
    </row>
    <row r="98" spans="1:72">
      <c r="A98" s="1407"/>
      <c r="B98" s="3296"/>
      <c r="C98" s="3296"/>
      <c r="D98" s="3297"/>
      <c r="E98" s="3298">
        <f t="shared" si="7"/>
        <v>0</v>
      </c>
      <c r="F98" s="3299"/>
      <c r="G98" s="3300">
        <f t="shared" si="8"/>
        <v>0</v>
      </c>
      <c r="H98" s="3301">
        <f t="shared" si="9"/>
        <v>0</v>
      </c>
      <c r="I98" s="3308"/>
      <c r="J98" s="3308"/>
      <c r="K98" s="3308"/>
      <c r="L98" s="3308"/>
      <c r="M98" s="3308"/>
      <c r="N98" s="3308"/>
      <c r="O98" s="3308"/>
      <c r="P98" s="3308"/>
      <c r="Q98" s="3308"/>
      <c r="R98" s="3308"/>
      <c r="S98" s="3308"/>
      <c r="T98" s="3308"/>
      <c r="U98" s="3308"/>
      <c r="V98" s="3308"/>
      <c r="W98" s="3308"/>
      <c r="X98" s="3308"/>
      <c r="Y98" s="3308"/>
      <c r="Z98" s="3308"/>
      <c r="AA98" s="3308"/>
      <c r="AB98" s="3308"/>
      <c r="AC98" s="3298">
        <f t="shared" si="10"/>
        <v>0</v>
      </c>
      <c r="AD98" s="3318"/>
      <c r="AE98" s="3318"/>
      <c r="AF98" s="3318"/>
      <c r="AG98" s="3318"/>
      <c r="AH98" s="3318"/>
      <c r="AI98" s="3318"/>
      <c r="AJ98" s="3318"/>
      <c r="AK98" s="3318"/>
      <c r="AL98" s="3318"/>
      <c r="AM98" s="3318"/>
      <c r="AN98" s="3318"/>
      <c r="AO98" s="3318"/>
      <c r="AP98" s="3318"/>
      <c r="AQ98" s="3318"/>
      <c r="AR98" s="3318"/>
      <c r="AS98" s="3318"/>
      <c r="AT98" s="3328"/>
      <c r="AU98" s="3329"/>
      <c r="AV98" s="963">
        <f t="shared" si="11"/>
        <v>0</v>
      </c>
      <c r="AW98" s="963">
        <f t="shared" si="12"/>
        <v>0</v>
      </c>
      <c r="AX98" s="963">
        <f t="shared" si="13"/>
        <v>0</v>
      </c>
      <c r="AY98" s="3343">
        <f t="shared" si="14"/>
        <v>0</v>
      </c>
      <c r="AZ98" s="3298">
        <f t="shared" si="15"/>
        <v>0</v>
      </c>
      <c r="BA98" s="3298">
        <f t="shared" si="16"/>
        <v>0</v>
      </c>
      <c r="BB98" s="3298">
        <f t="shared" si="17"/>
        <v>0</v>
      </c>
      <c r="BC98" s="3298">
        <f t="shared" si="18"/>
        <v>0</v>
      </c>
      <c r="BD98" s="3298">
        <f t="shared" si="19"/>
        <v>0</v>
      </c>
      <c r="BE98" s="3298">
        <f t="shared" si="20"/>
        <v>0</v>
      </c>
      <c r="BF98" s="3298">
        <f t="shared" si="21"/>
        <v>0</v>
      </c>
      <c r="BG98" s="3298">
        <f t="shared" si="22"/>
        <v>0</v>
      </c>
      <c r="BH98" s="3298">
        <f t="shared" si="23"/>
        <v>0</v>
      </c>
      <c r="BI98" s="3298">
        <f t="shared" si="24"/>
        <v>0</v>
      </c>
      <c r="BJ98" s="3298">
        <f t="shared" si="25"/>
        <v>0</v>
      </c>
      <c r="BK98" s="3298">
        <f t="shared" si="26"/>
        <v>0</v>
      </c>
      <c r="BL98" s="3298">
        <f t="shared" si="27"/>
        <v>0</v>
      </c>
      <c r="BM98" s="3298">
        <f t="shared" si="28"/>
        <v>0</v>
      </c>
      <c r="BN98" s="3298">
        <f t="shared" si="29"/>
        <v>0</v>
      </c>
      <c r="BO98" s="3298">
        <f t="shared" si="30"/>
        <v>0</v>
      </c>
      <c r="BP98" s="3298">
        <f t="shared" si="31"/>
        <v>0</v>
      </c>
      <c r="BQ98" s="3298">
        <f t="shared" si="32"/>
        <v>0</v>
      </c>
      <c r="BR98" s="3298">
        <f t="shared" si="33"/>
        <v>0</v>
      </c>
      <c r="BS98" s="3298">
        <f t="shared" si="34"/>
        <v>0</v>
      </c>
      <c r="BT98" s="3350">
        <f t="shared" si="35"/>
        <v>0</v>
      </c>
    </row>
    <row r="99" spans="1:72">
      <c r="A99" s="1407"/>
      <c r="B99" s="3296"/>
      <c r="C99" s="3296"/>
      <c r="D99" s="3297"/>
      <c r="E99" s="3298">
        <f t="shared" si="7"/>
        <v>0</v>
      </c>
      <c r="F99" s="3299"/>
      <c r="G99" s="3300">
        <f t="shared" si="8"/>
        <v>0</v>
      </c>
      <c r="H99" s="3301">
        <f t="shared" si="9"/>
        <v>0</v>
      </c>
      <c r="I99" s="3308"/>
      <c r="J99" s="3308"/>
      <c r="K99" s="3308"/>
      <c r="L99" s="3308"/>
      <c r="M99" s="3308"/>
      <c r="N99" s="3308"/>
      <c r="O99" s="3308"/>
      <c r="P99" s="3308"/>
      <c r="Q99" s="3308"/>
      <c r="R99" s="3308"/>
      <c r="S99" s="3308"/>
      <c r="T99" s="3308"/>
      <c r="U99" s="3308"/>
      <c r="V99" s="3308"/>
      <c r="W99" s="3308"/>
      <c r="X99" s="3308"/>
      <c r="Y99" s="3308"/>
      <c r="Z99" s="3308"/>
      <c r="AA99" s="3308"/>
      <c r="AB99" s="3308"/>
      <c r="AC99" s="3298">
        <f t="shared" si="10"/>
        <v>0</v>
      </c>
      <c r="AD99" s="3318"/>
      <c r="AE99" s="3318"/>
      <c r="AF99" s="3318"/>
      <c r="AG99" s="3318"/>
      <c r="AH99" s="3318"/>
      <c r="AI99" s="3318"/>
      <c r="AJ99" s="3318"/>
      <c r="AK99" s="3318"/>
      <c r="AL99" s="3318"/>
      <c r="AM99" s="3318"/>
      <c r="AN99" s="3318"/>
      <c r="AO99" s="3318"/>
      <c r="AP99" s="3318"/>
      <c r="AQ99" s="3318"/>
      <c r="AR99" s="3318"/>
      <c r="AS99" s="3318"/>
      <c r="AT99" s="3328"/>
      <c r="AU99" s="3329"/>
      <c r="AV99" s="963">
        <f t="shared" si="11"/>
        <v>0</v>
      </c>
      <c r="AW99" s="963">
        <f t="shared" si="12"/>
        <v>0</v>
      </c>
      <c r="AX99" s="963">
        <f t="shared" si="13"/>
        <v>0</v>
      </c>
      <c r="AY99" s="3343">
        <f t="shared" si="14"/>
        <v>0</v>
      </c>
      <c r="AZ99" s="3298">
        <f t="shared" si="15"/>
        <v>0</v>
      </c>
      <c r="BA99" s="3298">
        <f t="shared" si="16"/>
        <v>0</v>
      </c>
      <c r="BB99" s="3298">
        <f t="shared" si="17"/>
        <v>0</v>
      </c>
      <c r="BC99" s="3298">
        <f t="shared" si="18"/>
        <v>0</v>
      </c>
      <c r="BD99" s="3298">
        <f t="shared" si="19"/>
        <v>0</v>
      </c>
      <c r="BE99" s="3298">
        <f t="shared" si="20"/>
        <v>0</v>
      </c>
      <c r="BF99" s="3298">
        <f t="shared" si="21"/>
        <v>0</v>
      </c>
      <c r="BG99" s="3298">
        <f t="shared" si="22"/>
        <v>0</v>
      </c>
      <c r="BH99" s="3298">
        <f t="shared" si="23"/>
        <v>0</v>
      </c>
      <c r="BI99" s="3298">
        <f t="shared" si="24"/>
        <v>0</v>
      </c>
      <c r="BJ99" s="3298">
        <f t="shared" si="25"/>
        <v>0</v>
      </c>
      <c r="BK99" s="3298">
        <f t="shared" si="26"/>
        <v>0</v>
      </c>
      <c r="BL99" s="3298">
        <f t="shared" si="27"/>
        <v>0</v>
      </c>
      <c r="BM99" s="3298">
        <f t="shared" si="28"/>
        <v>0</v>
      </c>
      <c r="BN99" s="3298">
        <f t="shared" si="29"/>
        <v>0</v>
      </c>
      <c r="BO99" s="3298">
        <f t="shared" si="30"/>
        <v>0</v>
      </c>
      <c r="BP99" s="3298">
        <f t="shared" si="31"/>
        <v>0</v>
      </c>
      <c r="BQ99" s="3298">
        <f t="shared" si="32"/>
        <v>0</v>
      </c>
      <c r="BR99" s="3298">
        <f t="shared" si="33"/>
        <v>0</v>
      </c>
      <c r="BS99" s="3298">
        <f t="shared" si="34"/>
        <v>0</v>
      </c>
      <c r="BT99" s="3350">
        <f t="shared" si="35"/>
        <v>0</v>
      </c>
    </row>
    <row r="100" spans="1:72">
      <c r="A100" s="1407"/>
      <c r="B100" s="3296"/>
      <c r="C100" s="3296"/>
      <c r="D100" s="3297"/>
      <c r="E100" s="3298">
        <f t="shared" si="7"/>
        <v>0</v>
      </c>
      <c r="F100" s="3299"/>
      <c r="G100" s="3300">
        <f t="shared" si="8"/>
        <v>0</v>
      </c>
      <c r="H100" s="3301">
        <f t="shared" si="9"/>
        <v>0</v>
      </c>
      <c r="I100" s="3308"/>
      <c r="J100" s="3308"/>
      <c r="K100" s="3308"/>
      <c r="L100" s="3308"/>
      <c r="M100" s="3308"/>
      <c r="N100" s="3308"/>
      <c r="O100" s="3308"/>
      <c r="P100" s="3308"/>
      <c r="Q100" s="3308"/>
      <c r="R100" s="3308"/>
      <c r="S100" s="3308"/>
      <c r="T100" s="3308"/>
      <c r="U100" s="3308"/>
      <c r="V100" s="3308"/>
      <c r="W100" s="3308"/>
      <c r="X100" s="3308"/>
      <c r="Y100" s="3308"/>
      <c r="Z100" s="3308"/>
      <c r="AA100" s="3308"/>
      <c r="AB100" s="3308"/>
      <c r="AC100" s="3298">
        <f t="shared" si="10"/>
        <v>0</v>
      </c>
      <c r="AD100" s="3318"/>
      <c r="AE100" s="3318"/>
      <c r="AF100" s="3318"/>
      <c r="AG100" s="3318"/>
      <c r="AH100" s="3318"/>
      <c r="AI100" s="3318"/>
      <c r="AJ100" s="3318"/>
      <c r="AK100" s="3318"/>
      <c r="AL100" s="3318"/>
      <c r="AM100" s="3318"/>
      <c r="AN100" s="3318"/>
      <c r="AO100" s="3318"/>
      <c r="AP100" s="3318"/>
      <c r="AQ100" s="3318"/>
      <c r="AR100" s="3318"/>
      <c r="AS100" s="3318"/>
      <c r="AT100" s="3328"/>
      <c r="AU100" s="3329"/>
      <c r="AV100" s="963">
        <f t="shared" si="11"/>
        <v>0</v>
      </c>
      <c r="AW100" s="963">
        <f t="shared" si="12"/>
        <v>0</v>
      </c>
      <c r="AX100" s="963">
        <f t="shared" si="13"/>
        <v>0</v>
      </c>
      <c r="AY100" s="3343">
        <f t="shared" si="14"/>
        <v>0</v>
      </c>
      <c r="AZ100" s="3298">
        <f t="shared" si="15"/>
        <v>0</v>
      </c>
      <c r="BA100" s="3298">
        <f t="shared" si="16"/>
        <v>0</v>
      </c>
      <c r="BB100" s="3298">
        <f t="shared" si="17"/>
        <v>0</v>
      </c>
      <c r="BC100" s="3298">
        <f t="shared" si="18"/>
        <v>0</v>
      </c>
      <c r="BD100" s="3298">
        <f t="shared" si="19"/>
        <v>0</v>
      </c>
      <c r="BE100" s="3298">
        <f t="shared" si="20"/>
        <v>0</v>
      </c>
      <c r="BF100" s="3298">
        <f t="shared" si="21"/>
        <v>0</v>
      </c>
      <c r="BG100" s="3298">
        <f t="shared" si="22"/>
        <v>0</v>
      </c>
      <c r="BH100" s="3298">
        <f t="shared" si="23"/>
        <v>0</v>
      </c>
      <c r="BI100" s="3298">
        <f t="shared" si="24"/>
        <v>0</v>
      </c>
      <c r="BJ100" s="3298">
        <f t="shared" si="25"/>
        <v>0</v>
      </c>
      <c r="BK100" s="3298">
        <f t="shared" si="26"/>
        <v>0</v>
      </c>
      <c r="BL100" s="3298">
        <f t="shared" si="27"/>
        <v>0</v>
      </c>
      <c r="BM100" s="3298">
        <f t="shared" si="28"/>
        <v>0</v>
      </c>
      <c r="BN100" s="3298">
        <f t="shared" si="29"/>
        <v>0</v>
      </c>
      <c r="BO100" s="3298">
        <f t="shared" si="30"/>
        <v>0</v>
      </c>
      <c r="BP100" s="3298">
        <f t="shared" si="31"/>
        <v>0</v>
      </c>
      <c r="BQ100" s="3298">
        <f t="shared" si="32"/>
        <v>0</v>
      </c>
      <c r="BR100" s="3298">
        <f t="shared" si="33"/>
        <v>0</v>
      </c>
      <c r="BS100" s="3298">
        <f t="shared" si="34"/>
        <v>0</v>
      </c>
      <c r="BT100" s="3350">
        <f t="shared" si="35"/>
        <v>0</v>
      </c>
    </row>
    <row r="101" spans="1:72">
      <c r="A101" s="1407"/>
      <c r="B101" s="3296"/>
      <c r="C101" s="3296"/>
      <c r="D101" s="3297"/>
      <c r="E101" s="3298">
        <f t="shared" si="7"/>
        <v>0</v>
      </c>
      <c r="F101" s="3299"/>
      <c r="G101" s="3300">
        <f t="shared" si="8"/>
        <v>0</v>
      </c>
      <c r="H101" s="3301">
        <f t="shared" si="9"/>
        <v>0</v>
      </c>
      <c r="I101" s="3308"/>
      <c r="J101" s="3308"/>
      <c r="K101" s="3308"/>
      <c r="L101" s="3308"/>
      <c r="M101" s="3308"/>
      <c r="N101" s="3308"/>
      <c r="O101" s="3308"/>
      <c r="P101" s="3308"/>
      <c r="Q101" s="3308"/>
      <c r="R101" s="3308"/>
      <c r="S101" s="3308"/>
      <c r="T101" s="3308"/>
      <c r="U101" s="3308"/>
      <c r="V101" s="3308"/>
      <c r="W101" s="3308"/>
      <c r="X101" s="3308"/>
      <c r="Y101" s="3308"/>
      <c r="Z101" s="3308"/>
      <c r="AA101" s="3308"/>
      <c r="AB101" s="3308"/>
      <c r="AC101" s="3298">
        <f t="shared" si="10"/>
        <v>0</v>
      </c>
      <c r="AD101" s="3318"/>
      <c r="AE101" s="3318"/>
      <c r="AF101" s="3318"/>
      <c r="AG101" s="3318"/>
      <c r="AH101" s="3318"/>
      <c r="AI101" s="3318"/>
      <c r="AJ101" s="3318"/>
      <c r="AK101" s="3318"/>
      <c r="AL101" s="3318"/>
      <c r="AM101" s="3318"/>
      <c r="AN101" s="3318"/>
      <c r="AO101" s="3318"/>
      <c r="AP101" s="3318"/>
      <c r="AQ101" s="3318"/>
      <c r="AR101" s="3318"/>
      <c r="AS101" s="3318"/>
      <c r="AT101" s="3328"/>
      <c r="AU101" s="3329"/>
      <c r="AV101" s="963">
        <f t="shared" si="11"/>
        <v>0</v>
      </c>
      <c r="AW101" s="963">
        <f t="shared" si="12"/>
        <v>0</v>
      </c>
      <c r="AX101" s="963">
        <f t="shared" si="13"/>
        <v>0</v>
      </c>
      <c r="AY101" s="3343">
        <f t="shared" si="14"/>
        <v>0</v>
      </c>
      <c r="AZ101" s="3298">
        <f t="shared" si="15"/>
        <v>0</v>
      </c>
      <c r="BA101" s="3298">
        <f t="shared" si="16"/>
        <v>0</v>
      </c>
      <c r="BB101" s="3298">
        <f t="shared" si="17"/>
        <v>0</v>
      </c>
      <c r="BC101" s="3298">
        <f t="shared" si="18"/>
        <v>0</v>
      </c>
      <c r="BD101" s="3298">
        <f t="shared" si="19"/>
        <v>0</v>
      </c>
      <c r="BE101" s="3298">
        <f t="shared" si="20"/>
        <v>0</v>
      </c>
      <c r="BF101" s="3298">
        <f t="shared" si="21"/>
        <v>0</v>
      </c>
      <c r="BG101" s="3298">
        <f t="shared" si="22"/>
        <v>0</v>
      </c>
      <c r="BH101" s="3298">
        <f t="shared" si="23"/>
        <v>0</v>
      </c>
      <c r="BI101" s="3298">
        <f t="shared" si="24"/>
        <v>0</v>
      </c>
      <c r="BJ101" s="3298">
        <f t="shared" si="25"/>
        <v>0</v>
      </c>
      <c r="BK101" s="3298">
        <f t="shared" si="26"/>
        <v>0</v>
      </c>
      <c r="BL101" s="3298">
        <f t="shared" si="27"/>
        <v>0</v>
      </c>
      <c r="BM101" s="3298">
        <f t="shared" si="28"/>
        <v>0</v>
      </c>
      <c r="BN101" s="3298">
        <f t="shared" si="29"/>
        <v>0</v>
      </c>
      <c r="BO101" s="3298">
        <f t="shared" si="30"/>
        <v>0</v>
      </c>
      <c r="BP101" s="3298">
        <f t="shared" si="31"/>
        <v>0</v>
      </c>
      <c r="BQ101" s="3298">
        <f t="shared" si="32"/>
        <v>0</v>
      </c>
      <c r="BR101" s="3298">
        <f t="shared" si="33"/>
        <v>0</v>
      </c>
      <c r="BS101" s="3298">
        <f t="shared" si="34"/>
        <v>0</v>
      </c>
      <c r="BT101" s="3350">
        <f t="shared" si="35"/>
        <v>0</v>
      </c>
    </row>
    <row r="102" spans="1:72">
      <c r="A102" s="1407"/>
      <c r="B102" s="3296"/>
      <c r="C102" s="3296"/>
      <c r="D102" s="3297"/>
      <c r="E102" s="3298">
        <f t="shared" si="7"/>
        <v>0</v>
      </c>
      <c r="F102" s="3299"/>
      <c r="G102" s="3300">
        <f t="shared" si="8"/>
        <v>0</v>
      </c>
      <c r="H102" s="3301">
        <f t="shared" si="9"/>
        <v>0</v>
      </c>
      <c r="I102" s="3308"/>
      <c r="J102" s="3308"/>
      <c r="K102" s="3308"/>
      <c r="L102" s="3308"/>
      <c r="M102" s="3308"/>
      <c r="N102" s="3308"/>
      <c r="O102" s="3308"/>
      <c r="P102" s="3308"/>
      <c r="Q102" s="3308"/>
      <c r="R102" s="3308"/>
      <c r="S102" s="3308"/>
      <c r="T102" s="3308"/>
      <c r="U102" s="3308"/>
      <c r="V102" s="3308"/>
      <c r="W102" s="3308"/>
      <c r="X102" s="3308"/>
      <c r="Y102" s="3308"/>
      <c r="Z102" s="3308"/>
      <c r="AA102" s="3308"/>
      <c r="AB102" s="3308"/>
      <c r="AC102" s="3298">
        <f t="shared" si="10"/>
        <v>0</v>
      </c>
      <c r="AD102" s="3318"/>
      <c r="AE102" s="3318"/>
      <c r="AF102" s="3318"/>
      <c r="AG102" s="3318"/>
      <c r="AH102" s="3318"/>
      <c r="AI102" s="3318"/>
      <c r="AJ102" s="3318"/>
      <c r="AK102" s="3318"/>
      <c r="AL102" s="3318"/>
      <c r="AM102" s="3318"/>
      <c r="AN102" s="3318"/>
      <c r="AO102" s="3318"/>
      <c r="AP102" s="3318"/>
      <c r="AQ102" s="3318"/>
      <c r="AR102" s="3318"/>
      <c r="AS102" s="3318"/>
      <c r="AT102" s="3328"/>
      <c r="AU102" s="3329"/>
      <c r="AV102" s="963">
        <f t="shared" si="11"/>
        <v>0</v>
      </c>
      <c r="AW102" s="963">
        <f t="shared" si="12"/>
        <v>0</v>
      </c>
      <c r="AX102" s="963">
        <f t="shared" si="13"/>
        <v>0</v>
      </c>
      <c r="AY102" s="3343">
        <f t="shared" si="14"/>
        <v>0</v>
      </c>
      <c r="AZ102" s="3298">
        <f t="shared" si="15"/>
        <v>0</v>
      </c>
      <c r="BA102" s="3298">
        <f t="shared" si="16"/>
        <v>0</v>
      </c>
      <c r="BB102" s="3298">
        <f t="shared" si="17"/>
        <v>0</v>
      </c>
      <c r="BC102" s="3298">
        <f t="shared" si="18"/>
        <v>0</v>
      </c>
      <c r="BD102" s="3298">
        <f t="shared" si="19"/>
        <v>0</v>
      </c>
      <c r="BE102" s="3298">
        <f t="shared" si="20"/>
        <v>0</v>
      </c>
      <c r="BF102" s="3298">
        <f t="shared" si="21"/>
        <v>0</v>
      </c>
      <c r="BG102" s="3298">
        <f t="shared" si="22"/>
        <v>0</v>
      </c>
      <c r="BH102" s="3298">
        <f t="shared" si="23"/>
        <v>0</v>
      </c>
      <c r="BI102" s="3298">
        <f t="shared" si="24"/>
        <v>0</v>
      </c>
      <c r="BJ102" s="3298">
        <f t="shared" si="25"/>
        <v>0</v>
      </c>
      <c r="BK102" s="3298">
        <f t="shared" si="26"/>
        <v>0</v>
      </c>
      <c r="BL102" s="3298">
        <f t="shared" si="27"/>
        <v>0</v>
      </c>
      <c r="BM102" s="3298">
        <f t="shared" si="28"/>
        <v>0</v>
      </c>
      <c r="BN102" s="3298">
        <f t="shared" si="29"/>
        <v>0</v>
      </c>
      <c r="BO102" s="3298">
        <f t="shared" si="30"/>
        <v>0</v>
      </c>
      <c r="BP102" s="3298">
        <f t="shared" si="31"/>
        <v>0</v>
      </c>
      <c r="BQ102" s="3298">
        <f t="shared" si="32"/>
        <v>0</v>
      </c>
      <c r="BR102" s="3298">
        <f t="shared" si="33"/>
        <v>0</v>
      </c>
      <c r="BS102" s="3298">
        <f t="shared" si="34"/>
        <v>0</v>
      </c>
      <c r="BT102" s="3350">
        <f t="shared" si="35"/>
        <v>0</v>
      </c>
    </row>
    <row r="103" spans="1:72">
      <c r="A103" s="1407"/>
      <c r="B103" s="3296"/>
      <c r="C103" s="3296"/>
      <c r="D103" s="3297"/>
      <c r="E103" s="3298">
        <f t="shared" si="7"/>
        <v>0</v>
      </c>
      <c r="F103" s="3299"/>
      <c r="G103" s="3300">
        <f t="shared" si="8"/>
        <v>0</v>
      </c>
      <c r="H103" s="3301">
        <f t="shared" si="9"/>
        <v>0</v>
      </c>
      <c r="I103" s="3308"/>
      <c r="J103" s="3308"/>
      <c r="K103" s="3308"/>
      <c r="L103" s="3308"/>
      <c r="M103" s="3308"/>
      <c r="N103" s="3308"/>
      <c r="O103" s="3308"/>
      <c r="P103" s="3308"/>
      <c r="Q103" s="3308"/>
      <c r="R103" s="3308"/>
      <c r="S103" s="3308"/>
      <c r="T103" s="3308"/>
      <c r="U103" s="3308"/>
      <c r="V103" s="3308"/>
      <c r="W103" s="3308"/>
      <c r="X103" s="3308"/>
      <c r="Y103" s="3308"/>
      <c r="Z103" s="3308"/>
      <c r="AA103" s="3308"/>
      <c r="AB103" s="3308"/>
      <c r="AC103" s="3298">
        <f t="shared" si="10"/>
        <v>0</v>
      </c>
      <c r="AD103" s="3318"/>
      <c r="AE103" s="3318"/>
      <c r="AF103" s="3318"/>
      <c r="AG103" s="3318"/>
      <c r="AH103" s="3318"/>
      <c r="AI103" s="3318"/>
      <c r="AJ103" s="3318"/>
      <c r="AK103" s="3318"/>
      <c r="AL103" s="3318"/>
      <c r="AM103" s="3318"/>
      <c r="AN103" s="3318"/>
      <c r="AO103" s="3318"/>
      <c r="AP103" s="3318"/>
      <c r="AQ103" s="3318"/>
      <c r="AR103" s="3318"/>
      <c r="AS103" s="3318"/>
      <c r="AT103" s="3328"/>
      <c r="AU103" s="3329"/>
      <c r="AV103" s="963">
        <f t="shared" si="11"/>
        <v>0</v>
      </c>
      <c r="AW103" s="963">
        <f t="shared" si="12"/>
        <v>0</v>
      </c>
      <c r="AX103" s="963">
        <f t="shared" si="13"/>
        <v>0</v>
      </c>
      <c r="AY103" s="3343">
        <f t="shared" si="14"/>
        <v>0</v>
      </c>
      <c r="AZ103" s="3298">
        <f t="shared" si="15"/>
        <v>0</v>
      </c>
      <c r="BA103" s="3298">
        <f t="shared" si="16"/>
        <v>0</v>
      </c>
      <c r="BB103" s="3298">
        <f t="shared" si="17"/>
        <v>0</v>
      </c>
      <c r="BC103" s="3298">
        <f t="shared" si="18"/>
        <v>0</v>
      </c>
      <c r="BD103" s="3298">
        <f t="shared" si="19"/>
        <v>0</v>
      </c>
      <c r="BE103" s="3298">
        <f t="shared" si="20"/>
        <v>0</v>
      </c>
      <c r="BF103" s="3298">
        <f t="shared" si="21"/>
        <v>0</v>
      </c>
      <c r="BG103" s="3298">
        <f t="shared" si="22"/>
        <v>0</v>
      </c>
      <c r="BH103" s="3298">
        <f t="shared" si="23"/>
        <v>0</v>
      </c>
      <c r="BI103" s="3298">
        <f t="shared" si="24"/>
        <v>0</v>
      </c>
      <c r="BJ103" s="3298">
        <f t="shared" si="25"/>
        <v>0</v>
      </c>
      <c r="BK103" s="3298">
        <f t="shared" si="26"/>
        <v>0</v>
      </c>
      <c r="BL103" s="3298">
        <f t="shared" si="27"/>
        <v>0</v>
      </c>
      <c r="BM103" s="3298">
        <f t="shared" si="28"/>
        <v>0</v>
      </c>
      <c r="BN103" s="3298">
        <f t="shared" si="29"/>
        <v>0</v>
      </c>
      <c r="BO103" s="3298">
        <f t="shared" si="30"/>
        <v>0</v>
      </c>
      <c r="BP103" s="3298">
        <f t="shared" si="31"/>
        <v>0</v>
      </c>
      <c r="BQ103" s="3298">
        <f t="shared" si="32"/>
        <v>0</v>
      </c>
      <c r="BR103" s="3298">
        <f t="shared" si="33"/>
        <v>0</v>
      </c>
      <c r="BS103" s="3298">
        <f t="shared" si="34"/>
        <v>0</v>
      </c>
      <c r="BT103" s="3350">
        <f t="shared" si="35"/>
        <v>0</v>
      </c>
    </row>
    <row r="104" spans="1:72">
      <c r="A104" s="1407"/>
      <c r="B104" s="3296"/>
      <c r="C104" s="3296"/>
      <c r="D104" s="3297"/>
      <c r="E104" s="3298">
        <f t="shared" si="7"/>
        <v>0</v>
      </c>
      <c r="F104" s="3299"/>
      <c r="G104" s="3300">
        <f t="shared" si="8"/>
        <v>0</v>
      </c>
      <c r="H104" s="3301">
        <f t="shared" si="9"/>
        <v>0</v>
      </c>
      <c r="I104" s="3308"/>
      <c r="J104" s="3308"/>
      <c r="K104" s="3308"/>
      <c r="L104" s="3308"/>
      <c r="M104" s="3308"/>
      <c r="N104" s="3308"/>
      <c r="O104" s="3308"/>
      <c r="P104" s="3308"/>
      <c r="Q104" s="3308"/>
      <c r="R104" s="3308"/>
      <c r="S104" s="3308"/>
      <c r="T104" s="3308"/>
      <c r="U104" s="3308"/>
      <c r="V104" s="3308"/>
      <c r="W104" s="3308"/>
      <c r="X104" s="3308"/>
      <c r="Y104" s="3308"/>
      <c r="Z104" s="3308"/>
      <c r="AA104" s="3308"/>
      <c r="AB104" s="3308"/>
      <c r="AC104" s="3298">
        <f t="shared" si="10"/>
        <v>0</v>
      </c>
      <c r="AD104" s="3318"/>
      <c r="AE104" s="3318"/>
      <c r="AF104" s="3318"/>
      <c r="AG104" s="3318"/>
      <c r="AH104" s="3318"/>
      <c r="AI104" s="3318"/>
      <c r="AJ104" s="3318"/>
      <c r="AK104" s="3318"/>
      <c r="AL104" s="3318"/>
      <c r="AM104" s="3318"/>
      <c r="AN104" s="3318"/>
      <c r="AO104" s="3318"/>
      <c r="AP104" s="3318"/>
      <c r="AQ104" s="3318"/>
      <c r="AR104" s="3318"/>
      <c r="AS104" s="3318"/>
      <c r="AT104" s="3328"/>
      <c r="AU104" s="3329"/>
      <c r="AV104" s="963">
        <f t="shared" si="11"/>
        <v>0</v>
      </c>
      <c r="AW104" s="963">
        <f t="shared" si="12"/>
        <v>0</v>
      </c>
      <c r="AX104" s="963">
        <f t="shared" si="13"/>
        <v>0</v>
      </c>
      <c r="AY104" s="3343">
        <f t="shared" si="14"/>
        <v>0</v>
      </c>
      <c r="AZ104" s="3298">
        <f t="shared" si="15"/>
        <v>0</v>
      </c>
      <c r="BA104" s="3298">
        <f t="shared" si="16"/>
        <v>0</v>
      </c>
      <c r="BB104" s="3298">
        <f t="shared" si="17"/>
        <v>0</v>
      </c>
      <c r="BC104" s="3298">
        <f t="shared" si="18"/>
        <v>0</v>
      </c>
      <c r="BD104" s="3298">
        <f t="shared" si="19"/>
        <v>0</v>
      </c>
      <c r="BE104" s="3298">
        <f t="shared" si="20"/>
        <v>0</v>
      </c>
      <c r="BF104" s="3298">
        <f t="shared" si="21"/>
        <v>0</v>
      </c>
      <c r="BG104" s="3298">
        <f t="shared" si="22"/>
        <v>0</v>
      </c>
      <c r="BH104" s="3298">
        <f t="shared" si="23"/>
        <v>0</v>
      </c>
      <c r="BI104" s="3298">
        <f t="shared" si="24"/>
        <v>0</v>
      </c>
      <c r="BJ104" s="3298">
        <f t="shared" si="25"/>
        <v>0</v>
      </c>
      <c r="BK104" s="3298">
        <f t="shared" si="26"/>
        <v>0</v>
      </c>
      <c r="BL104" s="3298">
        <f t="shared" si="27"/>
        <v>0</v>
      </c>
      <c r="BM104" s="3298">
        <f t="shared" si="28"/>
        <v>0</v>
      </c>
      <c r="BN104" s="3298">
        <f t="shared" si="29"/>
        <v>0</v>
      </c>
      <c r="BO104" s="3298">
        <f t="shared" si="30"/>
        <v>0</v>
      </c>
      <c r="BP104" s="3298">
        <f t="shared" si="31"/>
        <v>0</v>
      </c>
      <c r="BQ104" s="3298">
        <f t="shared" si="32"/>
        <v>0</v>
      </c>
      <c r="BR104" s="3298">
        <f t="shared" si="33"/>
        <v>0</v>
      </c>
      <c r="BS104" s="3298">
        <f t="shared" si="34"/>
        <v>0</v>
      </c>
      <c r="BT104" s="3350">
        <f t="shared" si="35"/>
        <v>0</v>
      </c>
    </row>
    <row r="105" spans="1:72">
      <c r="A105" s="1407"/>
      <c r="B105" s="3296"/>
      <c r="C105" s="3296"/>
      <c r="D105" s="3297"/>
      <c r="E105" s="3298">
        <f t="shared" si="7"/>
        <v>0</v>
      </c>
      <c r="F105" s="3299"/>
      <c r="G105" s="3300">
        <f t="shared" si="8"/>
        <v>0</v>
      </c>
      <c r="H105" s="3301">
        <f t="shared" si="9"/>
        <v>0</v>
      </c>
      <c r="I105" s="3308"/>
      <c r="J105" s="3308"/>
      <c r="K105" s="3308"/>
      <c r="L105" s="3308"/>
      <c r="M105" s="3308"/>
      <c r="N105" s="3308"/>
      <c r="O105" s="3308"/>
      <c r="P105" s="3308"/>
      <c r="Q105" s="3308"/>
      <c r="R105" s="3308"/>
      <c r="S105" s="3308"/>
      <c r="T105" s="3308"/>
      <c r="U105" s="3308"/>
      <c r="V105" s="3308"/>
      <c r="W105" s="3308"/>
      <c r="X105" s="3308"/>
      <c r="Y105" s="3308"/>
      <c r="Z105" s="3308"/>
      <c r="AA105" s="3308"/>
      <c r="AB105" s="3308"/>
      <c r="AC105" s="3298">
        <f t="shared" si="10"/>
        <v>0</v>
      </c>
      <c r="AD105" s="3318"/>
      <c r="AE105" s="3318"/>
      <c r="AF105" s="3318"/>
      <c r="AG105" s="3318"/>
      <c r="AH105" s="3318"/>
      <c r="AI105" s="3318"/>
      <c r="AJ105" s="3318"/>
      <c r="AK105" s="3318"/>
      <c r="AL105" s="3318"/>
      <c r="AM105" s="3318"/>
      <c r="AN105" s="3318"/>
      <c r="AO105" s="3318"/>
      <c r="AP105" s="3318"/>
      <c r="AQ105" s="3318"/>
      <c r="AR105" s="3318"/>
      <c r="AS105" s="3318"/>
      <c r="AT105" s="3328"/>
      <c r="AU105" s="3329"/>
      <c r="AV105" s="963">
        <f t="shared" si="11"/>
        <v>0</v>
      </c>
      <c r="AW105" s="963">
        <f t="shared" si="12"/>
        <v>0</v>
      </c>
      <c r="AX105" s="963">
        <f t="shared" si="13"/>
        <v>0</v>
      </c>
      <c r="AY105" s="3343">
        <f t="shared" si="14"/>
        <v>0</v>
      </c>
      <c r="AZ105" s="3298">
        <f t="shared" si="15"/>
        <v>0</v>
      </c>
      <c r="BA105" s="3298">
        <f t="shared" si="16"/>
        <v>0</v>
      </c>
      <c r="BB105" s="3298">
        <f t="shared" si="17"/>
        <v>0</v>
      </c>
      <c r="BC105" s="3298">
        <f t="shared" si="18"/>
        <v>0</v>
      </c>
      <c r="BD105" s="3298">
        <f t="shared" si="19"/>
        <v>0</v>
      </c>
      <c r="BE105" s="3298">
        <f t="shared" si="20"/>
        <v>0</v>
      </c>
      <c r="BF105" s="3298">
        <f t="shared" si="21"/>
        <v>0</v>
      </c>
      <c r="BG105" s="3298">
        <f t="shared" si="22"/>
        <v>0</v>
      </c>
      <c r="BH105" s="3298">
        <f t="shared" si="23"/>
        <v>0</v>
      </c>
      <c r="BI105" s="3298">
        <f t="shared" si="24"/>
        <v>0</v>
      </c>
      <c r="BJ105" s="3298">
        <f t="shared" si="25"/>
        <v>0</v>
      </c>
      <c r="BK105" s="3298">
        <f t="shared" si="26"/>
        <v>0</v>
      </c>
      <c r="BL105" s="3298">
        <f t="shared" si="27"/>
        <v>0</v>
      </c>
      <c r="BM105" s="3298">
        <f t="shared" si="28"/>
        <v>0</v>
      </c>
      <c r="BN105" s="3298">
        <f t="shared" si="29"/>
        <v>0</v>
      </c>
      <c r="BO105" s="3298">
        <f t="shared" si="30"/>
        <v>0</v>
      </c>
      <c r="BP105" s="3298">
        <f t="shared" si="31"/>
        <v>0</v>
      </c>
      <c r="BQ105" s="3298">
        <f t="shared" si="32"/>
        <v>0</v>
      </c>
      <c r="BR105" s="3298">
        <f t="shared" si="33"/>
        <v>0</v>
      </c>
      <c r="BS105" s="3298">
        <f t="shared" si="34"/>
        <v>0</v>
      </c>
      <c r="BT105" s="3350">
        <f t="shared" si="35"/>
        <v>0</v>
      </c>
    </row>
    <row r="106" spans="1:72">
      <c r="A106" s="1407"/>
      <c r="B106" s="3296"/>
      <c r="C106" s="3296"/>
      <c r="D106" s="3297"/>
      <c r="E106" s="3298">
        <f t="shared" si="7"/>
        <v>0</v>
      </c>
      <c r="F106" s="3299"/>
      <c r="G106" s="3300">
        <f t="shared" si="8"/>
        <v>0</v>
      </c>
      <c r="H106" s="3301">
        <f t="shared" si="9"/>
        <v>0</v>
      </c>
      <c r="I106" s="3308"/>
      <c r="J106" s="3308"/>
      <c r="K106" s="3308"/>
      <c r="L106" s="3308"/>
      <c r="M106" s="3308"/>
      <c r="N106" s="3308"/>
      <c r="O106" s="3308"/>
      <c r="P106" s="3308"/>
      <c r="Q106" s="3308"/>
      <c r="R106" s="3308"/>
      <c r="S106" s="3308"/>
      <c r="T106" s="3308"/>
      <c r="U106" s="3308"/>
      <c r="V106" s="3308"/>
      <c r="W106" s="3308"/>
      <c r="X106" s="3308"/>
      <c r="Y106" s="3308"/>
      <c r="Z106" s="3308"/>
      <c r="AA106" s="3308"/>
      <c r="AB106" s="3308"/>
      <c r="AC106" s="3298">
        <f t="shared" si="10"/>
        <v>0</v>
      </c>
      <c r="AD106" s="3318"/>
      <c r="AE106" s="3318"/>
      <c r="AF106" s="3318"/>
      <c r="AG106" s="3318"/>
      <c r="AH106" s="3318"/>
      <c r="AI106" s="3318"/>
      <c r="AJ106" s="3318"/>
      <c r="AK106" s="3318"/>
      <c r="AL106" s="3318"/>
      <c r="AM106" s="3318"/>
      <c r="AN106" s="3318"/>
      <c r="AO106" s="3318"/>
      <c r="AP106" s="3318"/>
      <c r="AQ106" s="3318"/>
      <c r="AR106" s="3318"/>
      <c r="AS106" s="3318"/>
      <c r="AT106" s="3328"/>
      <c r="AU106" s="3329"/>
      <c r="AV106" s="963">
        <f t="shared" si="11"/>
        <v>0</v>
      </c>
      <c r="AW106" s="963">
        <f t="shared" si="12"/>
        <v>0</v>
      </c>
      <c r="AX106" s="963">
        <f t="shared" si="13"/>
        <v>0</v>
      </c>
      <c r="AY106" s="3343">
        <f t="shared" si="14"/>
        <v>0</v>
      </c>
      <c r="AZ106" s="3298">
        <f t="shared" si="15"/>
        <v>0</v>
      </c>
      <c r="BA106" s="3298">
        <f t="shared" si="16"/>
        <v>0</v>
      </c>
      <c r="BB106" s="3298">
        <f t="shared" si="17"/>
        <v>0</v>
      </c>
      <c r="BC106" s="3298">
        <f t="shared" si="18"/>
        <v>0</v>
      </c>
      <c r="BD106" s="3298">
        <f t="shared" si="19"/>
        <v>0</v>
      </c>
      <c r="BE106" s="3298">
        <f t="shared" si="20"/>
        <v>0</v>
      </c>
      <c r="BF106" s="3298">
        <f t="shared" si="21"/>
        <v>0</v>
      </c>
      <c r="BG106" s="3298">
        <f t="shared" si="22"/>
        <v>0</v>
      </c>
      <c r="BH106" s="3298">
        <f t="shared" si="23"/>
        <v>0</v>
      </c>
      <c r="BI106" s="3298">
        <f t="shared" si="24"/>
        <v>0</v>
      </c>
      <c r="BJ106" s="3298">
        <f t="shared" si="25"/>
        <v>0</v>
      </c>
      <c r="BK106" s="3298">
        <f t="shared" si="26"/>
        <v>0</v>
      </c>
      <c r="BL106" s="3298">
        <f t="shared" si="27"/>
        <v>0</v>
      </c>
      <c r="BM106" s="3298">
        <f t="shared" si="28"/>
        <v>0</v>
      </c>
      <c r="BN106" s="3298">
        <f t="shared" si="29"/>
        <v>0</v>
      </c>
      <c r="BO106" s="3298">
        <f t="shared" si="30"/>
        <v>0</v>
      </c>
      <c r="BP106" s="3298">
        <f t="shared" si="31"/>
        <v>0</v>
      </c>
      <c r="BQ106" s="3298">
        <f t="shared" si="32"/>
        <v>0</v>
      </c>
      <c r="BR106" s="3298">
        <f t="shared" si="33"/>
        <v>0</v>
      </c>
      <c r="BS106" s="3298">
        <f t="shared" si="34"/>
        <v>0</v>
      </c>
      <c r="BT106" s="3350">
        <f t="shared" si="35"/>
        <v>0</v>
      </c>
    </row>
    <row r="107" spans="1:72">
      <c r="A107" s="1407"/>
      <c r="B107" s="3296"/>
      <c r="C107" s="3296"/>
      <c r="D107" s="3297"/>
      <c r="E107" s="3298">
        <f t="shared" si="7"/>
        <v>0</v>
      </c>
      <c r="F107" s="3299"/>
      <c r="G107" s="3300">
        <f t="shared" si="8"/>
        <v>0</v>
      </c>
      <c r="H107" s="3301">
        <f t="shared" si="9"/>
        <v>0</v>
      </c>
      <c r="I107" s="3308"/>
      <c r="J107" s="3308"/>
      <c r="K107" s="3308"/>
      <c r="L107" s="3308"/>
      <c r="M107" s="3308"/>
      <c r="N107" s="3308"/>
      <c r="O107" s="3308"/>
      <c r="P107" s="3308"/>
      <c r="Q107" s="3308"/>
      <c r="R107" s="3308"/>
      <c r="S107" s="3308"/>
      <c r="T107" s="3308"/>
      <c r="U107" s="3308"/>
      <c r="V107" s="3308"/>
      <c r="W107" s="3308"/>
      <c r="X107" s="3308"/>
      <c r="Y107" s="3308"/>
      <c r="Z107" s="3308"/>
      <c r="AA107" s="3308"/>
      <c r="AB107" s="3308"/>
      <c r="AC107" s="3298">
        <f t="shared" si="10"/>
        <v>0</v>
      </c>
      <c r="AD107" s="3318"/>
      <c r="AE107" s="3318"/>
      <c r="AF107" s="3318"/>
      <c r="AG107" s="3318"/>
      <c r="AH107" s="3318"/>
      <c r="AI107" s="3318"/>
      <c r="AJ107" s="3318"/>
      <c r="AK107" s="3318"/>
      <c r="AL107" s="3318"/>
      <c r="AM107" s="3318"/>
      <c r="AN107" s="3318"/>
      <c r="AO107" s="3318"/>
      <c r="AP107" s="3318"/>
      <c r="AQ107" s="3318"/>
      <c r="AR107" s="3318"/>
      <c r="AS107" s="3318"/>
      <c r="AT107" s="3328"/>
      <c r="AU107" s="3329"/>
      <c r="AV107" s="963">
        <f t="shared" si="11"/>
        <v>0</v>
      </c>
      <c r="AW107" s="963">
        <f t="shared" si="12"/>
        <v>0</v>
      </c>
      <c r="AX107" s="963">
        <f t="shared" si="13"/>
        <v>0</v>
      </c>
      <c r="AY107" s="3343">
        <f t="shared" si="14"/>
        <v>0</v>
      </c>
      <c r="AZ107" s="3298">
        <f t="shared" si="15"/>
        <v>0</v>
      </c>
      <c r="BA107" s="3298">
        <f t="shared" si="16"/>
        <v>0</v>
      </c>
      <c r="BB107" s="3298">
        <f t="shared" si="17"/>
        <v>0</v>
      </c>
      <c r="BC107" s="3298">
        <f t="shared" si="18"/>
        <v>0</v>
      </c>
      <c r="BD107" s="3298">
        <f t="shared" si="19"/>
        <v>0</v>
      </c>
      <c r="BE107" s="3298">
        <f t="shared" si="20"/>
        <v>0</v>
      </c>
      <c r="BF107" s="3298">
        <f t="shared" si="21"/>
        <v>0</v>
      </c>
      <c r="BG107" s="3298">
        <f t="shared" si="22"/>
        <v>0</v>
      </c>
      <c r="BH107" s="3298">
        <f t="shared" si="23"/>
        <v>0</v>
      </c>
      <c r="BI107" s="3298">
        <f t="shared" si="24"/>
        <v>0</v>
      </c>
      <c r="BJ107" s="3298">
        <f t="shared" si="25"/>
        <v>0</v>
      </c>
      <c r="BK107" s="3298">
        <f t="shared" si="26"/>
        <v>0</v>
      </c>
      <c r="BL107" s="3298">
        <f t="shared" si="27"/>
        <v>0</v>
      </c>
      <c r="BM107" s="3298">
        <f t="shared" si="28"/>
        <v>0</v>
      </c>
      <c r="BN107" s="3298">
        <f t="shared" si="29"/>
        <v>0</v>
      </c>
      <c r="BO107" s="3298">
        <f t="shared" si="30"/>
        <v>0</v>
      </c>
      <c r="BP107" s="3298">
        <f t="shared" si="31"/>
        <v>0</v>
      </c>
      <c r="BQ107" s="3298">
        <f t="shared" si="32"/>
        <v>0</v>
      </c>
      <c r="BR107" s="3298">
        <f t="shared" si="33"/>
        <v>0</v>
      </c>
      <c r="BS107" s="3298">
        <f t="shared" si="34"/>
        <v>0</v>
      </c>
      <c r="BT107" s="3350">
        <f t="shared" si="35"/>
        <v>0</v>
      </c>
    </row>
    <row r="108" spans="1:72">
      <c r="A108" s="1407"/>
      <c r="B108" s="3296"/>
      <c r="C108" s="3296"/>
      <c r="D108" s="3297"/>
      <c r="E108" s="3298">
        <f t="shared" si="7"/>
        <v>0</v>
      </c>
      <c r="F108" s="3299"/>
      <c r="G108" s="3300">
        <f t="shared" si="8"/>
        <v>0</v>
      </c>
      <c r="H108" s="3301">
        <f t="shared" si="9"/>
        <v>0</v>
      </c>
      <c r="I108" s="3308"/>
      <c r="J108" s="3308"/>
      <c r="K108" s="3308"/>
      <c r="L108" s="3308"/>
      <c r="M108" s="3308"/>
      <c r="N108" s="3308"/>
      <c r="O108" s="3308"/>
      <c r="P108" s="3308"/>
      <c r="Q108" s="3308"/>
      <c r="R108" s="3308"/>
      <c r="S108" s="3308"/>
      <c r="T108" s="3308"/>
      <c r="U108" s="3308"/>
      <c r="V108" s="3308"/>
      <c r="W108" s="3308"/>
      <c r="X108" s="3308"/>
      <c r="Y108" s="3308"/>
      <c r="Z108" s="3308"/>
      <c r="AA108" s="3308"/>
      <c r="AB108" s="3308"/>
      <c r="AC108" s="3298">
        <f t="shared" si="10"/>
        <v>0</v>
      </c>
      <c r="AD108" s="3318"/>
      <c r="AE108" s="3318"/>
      <c r="AF108" s="3318"/>
      <c r="AG108" s="3318"/>
      <c r="AH108" s="3318"/>
      <c r="AI108" s="3318"/>
      <c r="AJ108" s="3318"/>
      <c r="AK108" s="3318"/>
      <c r="AL108" s="3318"/>
      <c r="AM108" s="3318"/>
      <c r="AN108" s="3318"/>
      <c r="AO108" s="3318"/>
      <c r="AP108" s="3318"/>
      <c r="AQ108" s="3318"/>
      <c r="AR108" s="3318"/>
      <c r="AS108" s="3318"/>
      <c r="AT108" s="3328"/>
      <c r="AU108" s="3329"/>
      <c r="AV108" s="963">
        <f t="shared" si="11"/>
        <v>0</v>
      </c>
      <c r="AW108" s="963">
        <f t="shared" si="12"/>
        <v>0</v>
      </c>
      <c r="AX108" s="963">
        <f t="shared" si="13"/>
        <v>0</v>
      </c>
      <c r="AY108" s="3343">
        <f t="shared" si="14"/>
        <v>0</v>
      </c>
      <c r="AZ108" s="3298">
        <f t="shared" si="15"/>
        <v>0</v>
      </c>
      <c r="BA108" s="3298">
        <f t="shared" si="16"/>
        <v>0</v>
      </c>
      <c r="BB108" s="3298">
        <f t="shared" si="17"/>
        <v>0</v>
      </c>
      <c r="BC108" s="3298">
        <f t="shared" si="18"/>
        <v>0</v>
      </c>
      <c r="BD108" s="3298">
        <f t="shared" si="19"/>
        <v>0</v>
      </c>
      <c r="BE108" s="3298">
        <f t="shared" si="20"/>
        <v>0</v>
      </c>
      <c r="BF108" s="3298">
        <f t="shared" si="21"/>
        <v>0</v>
      </c>
      <c r="BG108" s="3298">
        <f t="shared" si="22"/>
        <v>0</v>
      </c>
      <c r="BH108" s="3298">
        <f t="shared" si="23"/>
        <v>0</v>
      </c>
      <c r="BI108" s="3298">
        <f t="shared" si="24"/>
        <v>0</v>
      </c>
      <c r="BJ108" s="3298">
        <f t="shared" si="25"/>
        <v>0</v>
      </c>
      <c r="BK108" s="3298">
        <f t="shared" si="26"/>
        <v>0</v>
      </c>
      <c r="BL108" s="3298">
        <f t="shared" si="27"/>
        <v>0</v>
      </c>
      <c r="BM108" s="3298">
        <f t="shared" si="28"/>
        <v>0</v>
      </c>
      <c r="BN108" s="3298">
        <f t="shared" si="29"/>
        <v>0</v>
      </c>
      <c r="BO108" s="3298">
        <f t="shared" si="30"/>
        <v>0</v>
      </c>
      <c r="BP108" s="3298">
        <f t="shared" si="31"/>
        <v>0</v>
      </c>
      <c r="BQ108" s="3298">
        <f t="shared" si="32"/>
        <v>0</v>
      </c>
      <c r="BR108" s="3298">
        <f t="shared" si="33"/>
        <v>0</v>
      </c>
      <c r="BS108" s="3298">
        <f t="shared" si="34"/>
        <v>0</v>
      </c>
      <c r="BT108" s="3350">
        <f t="shared" si="35"/>
        <v>0</v>
      </c>
    </row>
    <row r="109" spans="1:72">
      <c r="A109" s="1407"/>
      <c r="B109" s="3296"/>
      <c r="C109" s="3296"/>
      <c r="D109" s="3297"/>
      <c r="E109" s="3298">
        <f t="shared" si="7"/>
        <v>0</v>
      </c>
      <c r="F109" s="3299"/>
      <c r="G109" s="3300">
        <f t="shared" si="8"/>
        <v>0</v>
      </c>
      <c r="H109" s="3301">
        <f t="shared" si="9"/>
        <v>0</v>
      </c>
      <c r="I109" s="3308"/>
      <c r="J109" s="3308"/>
      <c r="K109" s="3308"/>
      <c r="L109" s="3308"/>
      <c r="M109" s="3308"/>
      <c r="N109" s="3308"/>
      <c r="O109" s="3308"/>
      <c r="P109" s="3308"/>
      <c r="Q109" s="3308"/>
      <c r="R109" s="3308"/>
      <c r="S109" s="3308"/>
      <c r="T109" s="3308"/>
      <c r="U109" s="3308"/>
      <c r="V109" s="3308"/>
      <c r="W109" s="3308"/>
      <c r="X109" s="3308"/>
      <c r="Y109" s="3308"/>
      <c r="Z109" s="3308"/>
      <c r="AA109" s="3308"/>
      <c r="AB109" s="3308"/>
      <c r="AC109" s="3298">
        <f t="shared" si="10"/>
        <v>0</v>
      </c>
      <c r="AD109" s="3318"/>
      <c r="AE109" s="3318"/>
      <c r="AF109" s="3318"/>
      <c r="AG109" s="3318"/>
      <c r="AH109" s="3318"/>
      <c r="AI109" s="3318"/>
      <c r="AJ109" s="3318"/>
      <c r="AK109" s="3318"/>
      <c r="AL109" s="3318"/>
      <c r="AM109" s="3318"/>
      <c r="AN109" s="3318"/>
      <c r="AO109" s="3318"/>
      <c r="AP109" s="3318"/>
      <c r="AQ109" s="3318"/>
      <c r="AR109" s="3318"/>
      <c r="AS109" s="3318"/>
      <c r="AT109" s="3328"/>
      <c r="AU109" s="3329"/>
      <c r="AV109" s="963">
        <f t="shared" si="11"/>
        <v>0</v>
      </c>
      <c r="AW109" s="963">
        <f t="shared" si="12"/>
        <v>0</v>
      </c>
      <c r="AX109" s="963">
        <f t="shared" si="13"/>
        <v>0</v>
      </c>
      <c r="AY109" s="3343">
        <f t="shared" si="14"/>
        <v>0</v>
      </c>
      <c r="AZ109" s="3298">
        <f t="shared" si="15"/>
        <v>0</v>
      </c>
      <c r="BA109" s="3298">
        <f t="shared" si="16"/>
        <v>0</v>
      </c>
      <c r="BB109" s="3298">
        <f t="shared" si="17"/>
        <v>0</v>
      </c>
      <c r="BC109" s="3298">
        <f t="shared" si="18"/>
        <v>0</v>
      </c>
      <c r="BD109" s="3298">
        <f t="shared" si="19"/>
        <v>0</v>
      </c>
      <c r="BE109" s="3298">
        <f t="shared" si="20"/>
        <v>0</v>
      </c>
      <c r="BF109" s="3298">
        <f t="shared" si="21"/>
        <v>0</v>
      </c>
      <c r="BG109" s="3298">
        <f t="shared" si="22"/>
        <v>0</v>
      </c>
      <c r="BH109" s="3298">
        <f t="shared" si="23"/>
        <v>0</v>
      </c>
      <c r="BI109" s="3298">
        <f t="shared" si="24"/>
        <v>0</v>
      </c>
      <c r="BJ109" s="3298">
        <f t="shared" si="25"/>
        <v>0</v>
      </c>
      <c r="BK109" s="3298">
        <f t="shared" si="26"/>
        <v>0</v>
      </c>
      <c r="BL109" s="3298">
        <f t="shared" si="27"/>
        <v>0</v>
      </c>
      <c r="BM109" s="3298">
        <f t="shared" si="28"/>
        <v>0</v>
      </c>
      <c r="BN109" s="3298">
        <f t="shared" si="29"/>
        <v>0</v>
      </c>
      <c r="BO109" s="3298">
        <f t="shared" si="30"/>
        <v>0</v>
      </c>
      <c r="BP109" s="3298">
        <f t="shared" si="31"/>
        <v>0</v>
      </c>
      <c r="BQ109" s="3298">
        <f t="shared" si="32"/>
        <v>0</v>
      </c>
      <c r="BR109" s="3298">
        <f t="shared" si="33"/>
        <v>0</v>
      </c>
      <c r="BS109" s="3298">
        <f t="shared" si="34"/>
        <v>0</v>
      </c>
      <c r="BT109" s="3350">
        <f t="shared" si="35"/>
        <v>0</v>
      </c>
    </row>
    <row r="110" spans="1:72">
      <c r="A110" s="1407"/>
      <c r="B110" s="1407"/>
      <c r="C110" s="1407"/>
      <c r="D110" s="3297"/>
      <c r="E110" s="3298">
        <f t="shared" si="7"/>
        <v>0</v>
      </c>
      <c r="F110" s="3351"/>
      <c r="G110" s="3300">
        <f t="shared" ref="G110:G141" si="36">H110+AC110+AT110</f>
        <v>0</v>
      </c>
      <c r="H110" s="3301">
        <f t="shared" ref="H110:H141" si="37">SUMIF(I$12:AB$12,"总值",I110:AB110)</f>
        <v>0</v>
      </c>
      <c r="I110" s="3352"/>
      <c r="J110" s="3352"/>
      <c r="K110" s="3308"/>
      <c r="L110" s="3308"/>
      <c r="M110" s="3308"/>
      <c r="N110" s="3308"/>
      <c r="O110" s="3308"/>
      <c r="P110" s="3308"/>
      <c r="Q110" s="3308"/>
      <c r="R110" s="3308"/>
      <c r="S110" s="3308"/>
      <c r="T110" s="3308"/>
      <c r="U110" s="3308"/>
      <c r="V110" s="3308"/>
      <c r="W110" s="3308"/>
      <c r="X110" s="3308"/>
      <c r="Y110" s="3308"/>
      <c r="Z110" s="3308"/>
      <c r="AA110" s="3308"/>
      <c r="AB110" s="3308"/>
      <c r="AC110" s="3298">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53"/>
      <c r="AV110" s="963">
        <f t="shared" si="11"/>
        <v>0</v>
      </c>
      <c r="AW110" s="963">
        <f t="shared" si="12"/>
        <v>0</v>
      </c>
      <c r="AX110" s="963">
        <f t="shared" si="13"/>
        <v>0</v>
      </c>
      <c r="AY110" s="3343">
        <f t="shared" ref="AY110:AY141" si="39">ROUND($AY$6*AZ110/$AZ$5,2)</f>
        <v>0</v>
      </c>
      <c r="AZ110" s="3298">
        <f t="shared" ref="AZ110:AZ141" si="40">BA110+BL110</f>
        <v>0</v>
      </c>
      <c r="BA110" s="3298">
        <f t="shared" ref="BA110:BA141" si="41">SUM(BB110:BK110)</f>
        <v>0</v>
      </c>
      <c r="BB110" s="3298">
        <f t="shared" ref="BB110:BB141" si="42">IF($D110="是",I110-J110,0)</f>
        <v>0</v>
      </c>
      <c r="BC110" s="3298">
        <f t="shared" ref="BC110:BC141" si="43">IF($D110="是",K110-L110,0)</f>
        <v>0</v>
      </c>
      <c r="BD110" s="3298">
        <f t="shared" ref="BD110:BD141" si="44">IF($D110="是",M110-N110,0)</f>
        <v>0</v>
      </c>
      <c r="BE110" s="3298">
        <f t="shared" ref="BE110:BE141" si="45">IF($D110="是",O110-P110,0)</f>
        <v>0</v>
      </c>
      <c r="BF110" s="3298">
        <f t="shared" ref="BF110:BF141" si="46">IF($D110="是",Q110-R110,0)</f>
        <v>0</v>
      </c>
      <c r="BG110" s="3298">
        <f t="shared" ref="BG110:BG141" si="47">IF($D110="是",S110-T110,0)</f>
        <v>0</v>
      </c>
      <c r="BH110" s="3298">
        <f t="shared" ref="BH110:BH141" si="48">IF($D110="是",U110-V110,0)</f>
        <v>0</v>
      </c>
      <c r="BI110" s="3298">
        <f t="shared" ref="BI110:BI141" si="49">IF($D110="是",W110-X110,0)</f>
        <v>0</v>
      </c>
      <c r="BJ110" s="3298">
        <f t="shared" ref="BJ110:BJ141" si="50">IF($D110="是",Y110-Z110,0)</f>
        <v>0</v>
      </c>
      <c r="BK110" s="3298">
        <f t="shared" ref="BK110:BK141" si="51">IF($D110="是",AA110-AB110,0)</f>
        <v>0</v>
      </c>
      <c r="BL110" s="3298">
        <f t="shared" ref="BL110:BL141" si="52">SUM(BM110:BT110)</f>
        <v>0</v>
      </c>
      <c r="BM110" s="3298">
        <f t="shared" ref="BM110:BM141" si="53">IF($D110="是",AD110-AE110,0)</f>
        <v>0</v>
      </c>
      <c r="BN110" s="3298">
        <f t="shared" ref="BN110:BN141" si="54">IF($D110="是",AF110-AG110,0)</f>
        <v>0</v>
      </c>
      <c r="BO110" s="3298">
        <f t="shared" ref="BO110:BO141" si="55">IF($D110="是",AH110-AI110,0)</f>
        <v>0</v>
      </c>
      <c r="BP110" s="3298">
        <f t="shared" ref="BP110:BP141" si="56">IF($D110="是",AJ110-AK110,0)</f>
        <v>0</v>
      </c>
      <c r="BQ110" s="3298">
        <f t="shared" ref="BQ110:BQ141" si="57">IF($D110="是",AL110-AM110,0)</f>
        <v>0</v>
      </c>
      <c r="BR110" s="3298">
        <f t="shared" ref="BR110:BR141" si="58">IF($D110="是",AN110-AO110,0)</f>
        <v>0</v>
      </c>
      <c r="BS110" s="3298">
        <f t="shared" ref="BS110:BS141" si="59">IF($D110="是",AP110-AQ110,0)</f>
        <v>0</v>
      </c>
      <c r="BT110" s="3350">
        <f t="shared" ref="BT110:BT141" si="60">IF($D110="是",AR110-AS110,0)</f>
        <v>0</v>
      </c>
    </row>
    <row r="111" spans="1:72">
      <c r="A111" s="1407"/>
      <c r="B111" s="1407"/>
      <c r="C111" s="1407"/>
      <c r="D111" s="3297"/>
      <c r="E111" s="3298">
        <f t="shared" si="7"/>
        <v>0</v>
      </c>
      <c r="F111" s="3351"/>
      <c r="G111" s="3300">
        <f t="shared" si="36"/>
        <v>0</v>
      </c>
      <c r="H111" s="3301">
        <f t="shared" si="37"/>
        <v>0</v>
      </c>
      <c r="I111" s="3308"/>
      <c r="J111" s="3308"/>
      <c r="K111" s="3308"/>
      <c r="L111" s="3308"/>
      <c r="M111" s="3308"/>
      <c r="N111" s="3308"/>
      <c r="O111" s="3308"/>
      <c r="P111" s="3308"/>
      <c r="Q111" s="3308"/>
      <c r="R111" s="3308"/>
      <c r="S111" s="3308"/>
      <c r="T111" s="3308"/>
      <c r="U111" s="3308"/>
      <c r="V111" s="3308"/>
      <c r="W111" s="3308"/>
      <c r="X111" s="3308"/>
      <c r="Y111" s="3308"/>
      <c r="Z111" s="3308"/>
      <c r="AA111" s="3308"/>
      <c r="AB111" s="3308"/>
      <c r="AC111" s="3298">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53"/>
      <c r="AV111" s="963">
        <f t="shared" si="11"/>
        <v>0</v>
      </c>
      <c r="AW111" s="963">
        <f t="shared" si="12"/>
        <v>0</v>
      </c>
      <c r="AX111" s="963">
        <f t="shared" si="13"/>
        <v>0</v>
      </c>
      <c r="AY111" s="3343">
        <f t="shared" si="39"/>
        <v>0</v>
      </c>
      <c r="AZ111" s="3298">
        <f t="shared" si="40"/>
        <v>0</v>
      </c>
      <c r="BA111" s="3298">
        <f t="shared" si="41"/>
        <v>0</v>
      </c>
      <c r="BB111" s="3298">
        <f t="shared" si="42"/>
        <v>0</v>
      </c>
      <c r="BC111" s="3298">
        <f t="shared" si="43"/>
        <v>0</v>
      </c>
      <c r="BD111" s="3298">
        <f t="shared" si="44"/>
        <v>0</v>
      </c>
      <c r="BE111" s="3298">
        <f t="shared" si="45"/>
        <v>0</v>
      </c>
      <c r="BF111" s="3298">
        <f t="shared" si="46"/>
        <v>0</v>
      </c>
      <c r="BG111" s="3298">
        <f t="shared" si="47"/>
        <v>0</v>
      </c>
      <c r="BH111" s="3298">
        <f t="shared" si="48"/>
        <v>0</v>
      </c>
      <c r="BI111" s="3298">
        <f t="shared" si="49"/>
        <v>0</v>
      </c>
      <c r="BJ111" s="3298">
        <f t="shared" si="50"/>
        <v>0</v>
      </c>
      <c r="BK111" s="3298">
        <f t="shared" si="51"/>
        <v>0</v>
      </c>
      <c r="BL111" s="3298">
        <f t="shared" si="52"/>
        <v>0</v>
      </c>
      <c r="BM111" s="3298">
        <f t="shared" si="53"/>
        <v>0</v>
      </c>
      <c r="BN111" s="3298">
        <f t="shared" si="54"/>
        <v>0</v>
      </c>
      <c r="BO111" s="3298">
        <f t="shared" si="55"/>
        <v>0</v>
      </c>
      <c r="BP111" s="3298">
        <f t="shared" si="56"/>
        <v>0</v>
      </c>
      <c r="BQ111" s="3298">
        <f t="shared" si="57"/>
        <v>0</v>
      </c>
      <c r="BR111" s="3298">
        <f t="shared" si="58"/>
        <v>0</v>
      </c>
      <c r="BS111" s="3298">
        <f t="shared" si="59"/>
        <v>0</v>
      </c>
      <c r="BT111" s="3350">
        <f t="shared" si="60"/>
        <v>0</v>
      </c>
    </row>
    <row r="112" spans="1:72">
      <c r="A112" s="1407"/>
      <c r="B112" s="1407"/>
      <c r="C112" s="1407"/>
      <c r="D112" s="3297"/>
      <c r="E112" s="3298">
        <f t="shared" si="7"/>
        <v>0</v>
      </c>
      <c r="F112" s="3351"/>
      <c r="G112" s="3300">
        <f t="shared" si="36"/>
        <v>0</v>
      </c>
      <c r="H112" s="3301">
        <f t="shared" si="37"/>
        <v>0</v>
      </c>
      <c r="I112" s="3308"/>
      <c r="J112" s="3308"/>
      <c r="K112" s="3308"/>
      <c r="L112" s="3308"/>
      <c r="M112" s="3308"/>
      <c r="N112" s="3308"/>
      <c r="O112" s="3308"/>
      <c r="P112" s="3308"/>
      <c r="Q112" s="3308"/>
      <c r="R112" s="3308"/>
      <c r="S112" s="3308"/>
      <c r="T112" s="3308"/>
      <c r="U112" s="3308"/>
      <c r="V112" s="3308"/>
      <c r="W112" s="3308"/>
      <c r="X112" s="3308"/>
      <c r="Y112" s="3308"/>
      <c r="Z112" s="3308"/>
      <c r="AA112" s="3308"/>
      <c r="AB112" s="3308"/>
      <c r="AC112" s="3298">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53"/>
      <c r="AV112" s="963">
        <f t="shared" si="11"/>
        <v>0</v>
      </c>
      <c r="AW112" s="963">
        <f t="shared" si="12"/>
        <v>0</v>
      </c>
      <c r="AX112" s="963">
        <f t="shared" si="13"/>
        <v>0</v>
      </c>
      <c r="AY112" s="3343">
        <f t="shared" si="39"/>
        <v>0</v>
      </c>
      <c r="AZ112" s="3298">
        <f t="shared" si="40"/>
        <v>0</v>
      </c>
      <c r="BA112" s="3298">
        <f t="shared" si="41"/>
        <v>0</v>
      </c>
      <c r="BB112" s="3298">
        <f t="shared" si="42"/>
        <v>0</v>
      </c>
      <c r="BC112" s="3298">
        <f t="shared" si="43"/>
        <v>0</v>
      </c>
      <c r="BD112" s="3298">
        <f t="shared" si="44"/>
        <v>0</v>
      </c>
      <c r="BE112" s="3298">
        <f t="shared" si="45"/>
        <v>0</v>
      </c>
      <c r="BF112" s="3298">
        <f t="shared" si="46"/>
        <v>0</v>
      </c>
      <c r="BG112" s="3298">
        <f t="shared" si="47"/>
        <v>0</v>
      </c>
      <c r="BH112" s="3298">
        <f t="shared" si="48"/>
        <v>0</v>
      </c>
      <c r="BI112" s="3298">
        <f t="shared" si="49"/>
        <v>0</v>
      </c>
      <c r="BJ112" s="3298">
        <f t="shared" si="50"/>
        <v>0</v>
      </c>
      <c r="BK112" s="3298">
        <f t="shared" si="51"/>
        <v>0</v>
      </c>
      <c r="BL112" s="3298">
        <f t="shared" si="52"/>
        <v>0</v>
      </c>
      <c r="BM112" s="3298">
        <f t="shared" si="53"/>
        <v>0</v>
      </c>
      <c r="BN112" s="3298">
        <f t="shared" si="54"/>
        <v>0</v>
      </c>
      <c r="BO112" s="3298">
        <f t="shared" si="55"/>
        <v>0</v>
      </c>
      <c r="BP112" s="3298">
        <f t="shared" si="56"/>
        <v>0</v>
      </c>
      <c r="BQ112" s="3298">
        <f t="shared" si="57"/>
        <v>0</v>
      </c>
      <c r="BR112" s="3298">
        <f t="shared" si="58"/>
        <v>0</v>
      </c>
      <c r="BS112" s="3298">
        <f t="shared" si="59"/>
        <v>0</v>
      </c>
      <c r="BT112" s="3350">
        <f t="shared" si="60"/>
        <v>0</v>
      </c>
    </row>
    <row r="113" spans="1:72">
      <c r="A113" s="1407"/>
      <c r="B113" s="3296"/>
      <c r="C113" s="3296"/>
      <c r="D113" s="3297"/>
      <c r="E113" s="3298">
        <f t="shared" ref="E113:E144" si="61">IF($C$3="是",ROUND($A$3*G113/$B$3,2),ROUND($A$3*(G113-AT113)/$B$3,2))</f>
        <v>0</v>
      </c>
      <c r="F113" s="3299"/>
      <c r="G113" s="3300">
        <f t="shared" si="36"/>
        <v>0</v>
      </c>
      <c r="H113" s="3301">
        <f t="shared" si="37"/>
        <v>0</v>
      </c>
      <c r="I113" s="3308"/>
      <c r="J113" s="3308"/>
      <c r="K113" s="3308"/>
      <c r="L113" s="3308"/>
      <c r="M113" s="3308"/>
      <c r="N113" s="3308"/>
      <c r="O113" s="3308"/>
      <c r="P113" s="3308"/>
      <c r="Q113" s="3308"/>
      <c r="R113" s="3308"/>
      <c r="S113" s="3308"/>
      <c r="T113" s="3308"/>
      <c r="U113" s="3308"/>
      <c r="V113" s="3308"/>
      <c r="W113" s="3308"/>
      <c r="X113" s="3308"/>
      <c r="Y113" s="3308"/>
      <c r="Z113" s="3308"/>
      <c r="AA113" s="3308"/>
      <c r="AB113" s="3308"/>
      <c r="AC113" s="3298">
        <f t="shared" si="38"/>
        <v>0</v>
      </c>
      <c r="AD113" s="3318"/>
      <c r="AE113" s="3318"/>
      <c r="AF113" s="3318"/>
      <c r="AG113" s="3318"/>
      <c r="AH113" s="3318"/>
      <c r="AI113" s="3318"/>
      <c r="AJ113" s="3318"/>
      <c r="AK113" s="3318"/>
      <c r="AL113" s="3318"/>
      <c r="AM113" s="3318"/>
      <c r="AN113" s="3318"/>
      <c r="AO113" s="3318"/>
      <c r="AP113" s="3318"/>
      <c r="AQ113" s="3318"/>
      <c r="AR113" s="3318"/>
      <c r="AS113" s="3318"/>
      <c r="AT113" s="3328"/>
      <c r="AU113" s="3329"/>
      <c r="AV113" s="963">
        <f t="shared" ref="AV113:AV144" si="62">A113</f>
        <v>0</v>
      </c>
      <c r="AW113" s="963">
        <f t="shared" ref="AW113:AW144" si="63">B113</f>
        <v>0</v>
      </c>
      <c r="AX113" s="963">
        <f t="shared" ref="AX113:AX144" si="64">C113</f>
        <v>0</v>
      </c>
      <c r="AY113" s="3343">
        <f t="shared" si="39"/>
        <v>0</v>
      </c>
      <c r="AZ113" s="3298">
        <f t="shared" si="40"/>
        <v>0</v>
      </c>
      <c r="BA113" s="3298">
        <f t="shared" si="41"/>
        <v>0</v>
      </c>
      <c r="BB113" s="3298">
        <f t="shared" si="42"/>
        <v>0</v>
      </c>
      <c r="BC113" s="3298">
        <f t="shared" si="43"/>
        <v>0</v>
      </c>
      <c r="BD113" s="3298">
        <f t="shared" si="44"/>
        <v>0</v>
      </c>
      <c r="BE113" s="3298">
        <f t="shared" si="45"/>
        <v>0</v>
      </c>
      <c r="BF113" s="3298">
        <f t="shared" si="46"/>
        <v>0</v>
      </c>
      <c r="BG113" s="3298">
        <f t="shared" si="47"/>
        <v>0</v>
      </c>
      <c r="BH113" s="3298">
        <f t="shared" si="48"/>
        <v>0</v>
      </c>
      <c r="BI113" s="3298">
        <f t="shared" si="49"/>
        <v>0</v>
      </c>
      <c r="BJ113" s="3298">
        <f t="shared" si="50"/>
        <v>0</v>
      </c>
      <c r="BK113" s="3298">
        <f t="shared" si="51"/>
        <v>0</v>
      </c>
      <c r="BL113" s="3298">
        <f t="shared" si="52"/>
        <v>0</v>
      </c>
      <c r="BM113" s="3298">
        <f t="shared" si="53"/>
        <v>0</v>
      </c>
      <c r="BN113" s="3298">
        <f t="shared" si="54"/>
        <v>0</v>
      </c>
      <c r="BO113" s="3298">
        <f t="shared" si="55"/>
        <v>0</v>
      </c>
      <c r="BP113" s="3298">
        <f t="shared" si="56"/>
        <v>0</v>
      </c>
      <c r="BQ113" s="3298">
        <f t="shared" si="57"/>
        <v>0</v>
      </c>
      <c r="BR113" s="3298">
        <f t="shared" si="58"/>
        <v>0</v>
      </c>
      <c r="BS113" s="3298">
        <f t="shared" si="59"/>
        <v>0</v>
      </c>
      <c r="BT113" s="3350">
        <f t="shared" si="60"/>
        <v>0</v>
      </c>
    </row>
    <row r="114" spans="1:72">
      <c r="A114" s="1407"/>
      <c r="B114" s="3296"/>
      <c r="C114" s="3296"/>
      <c r="D114" s="3297"/>
      <c r="E114" s="3298">
        <f t="shared" si="61"/>
        <v>0</v>
      </c>
      <c r="F114" s="3299"/>
      <c r="G114" s="3300">
        <f t="shared" si="36"/>
        <v>0</v>
      </c>
      <c r="H114" s="3301">
        <f t="shared" si="37"/>
        <v>0</v>
      </c>
      <c r="I114" s="3308"/>
      <c r="J114" s="3308"/>
      <c r="K114" s="3308"/>
      <c r="L114" s="3308"/>
      <c r="M114" s="3308"/>
      <c r="N114" s="3308"/>
      <c r="O114" s="3308"/>
      <c r="P114" s="3308"/>
      <c r="Q114" s="3308"/>
      <c r="R114" s="3308"/>
      <c r="S114" s="3308"/>
      <c r="T114" s="3308"/>
      <c r="U114" s="3308"/>
      <c r="V114" s="3308"/>
      <c r="W114" s="3308"/>
      <c r="X114" s="3308"/>
      <c r="Y114" s="3308"/>
      <c r="Z114" s="3308"/>
      <c r="AA114" s="3308"/>
      <c r="AB114" s="3308"/>
      <c r="AC114" s="3298">
        <f t="shared" si="38"/>
        <v>0</v>
      </c>
      <c r="AD114" s="3318"/>
      <c r="AE114" s="3318"/>
      <c r="AF114" s="3318"/>
      <c r="AG114" s="3318"/>
      <c r="AH114" s="3318"/>
      <c r="AI114" s="3318"/>
      <c r="AJ114" s="3318"/>
      <c r="AK114" s="3318"/>
      <c r="AL114" s="3318"/>
      <c r="AM114" s="3318"/>
      <c r="AN114" s="3318"/>
      <c r="AO114" s="3318"/>
      <c r="AP114" s="3318"/>
      <c r="AQ114" s="3318"/>
      <c r="AR114" s="3318"/>
      <c r="AS114" s="3318"/>
      <c r="AT114" s="3328"/>
      <c r="AU114" s="3329"/>
      <c r="AV114" s="963">
        <f t="shared" si="62"/>
        <v>0</v>
      </c>
      <c r="AW114" s="963">
        <f t="shared" si="63"/>
        <v>0</v>
      </c>
      <c r="AX114" s="963">
        <f t="shared" si="64"/>
        <v>0</v>
      </c>
      <c r="AY114" s="3343">
        <f t="shared" si="39"/>
        <v>0</v>
      </c>
      <c r="AZ114" s="3298">
        <f t="shared" si="40"/>
        <v>0</v>
      </c>
      <c r="BA114" s="3298">
        <f t="shared" si="41"/>
        <v>0</v>
      </c>
      <c r="BB114" s="3298">
        <f t="shared" si="42"/>
        <v>0</v>
      </c>
      <c r="BC114" s="3298">
        <f t="shared" si="43"/>
        <v>0</v>
      </c>
      <c r="BD114" s="3298">
        <f t="shared" si="44"/>
        <v>0</v>
      </c>
      <c r="BE114" s="3298">
        <f t="shared" si="45"/>
        <v>0</v>
      </c>
      <c r="BF114" s="3298">
        <f t="shared" si="46"/>
        <v>0</v>
      </c>
      <c r="BG114" s="3298">
        <f t="shared" si="47"/>
        <v>0</v>
      </c>
      <c r="BH114" s="3298">
        <f t="shared" si="48"/>
        <v>0</v>
      </c>
      <c r="BI114" s="3298">
        <f t="shared" si="49"/>
        <v>0</v>
      </c>
      <c r="BJ114" s="3298">
        <f t="shared" si="50"/>
        <v>0</v>
      </c>
      <c r="BK114" s="3298">
        <f t="shared" si="51"/>
        <v>0</v>
      </c>
      <c r="BL114" s="3298">
        <f t="shared" si="52"/>
        <v>0</v>
      </c>
      <c r="BM114" s="3298">
        <f t="shared" si="53"/>
        <v>0</v>
      </c>
      <c r="BN114" s="3298">
        <f t="shared" si="54"/>
        <v>0</v>
      </c>
      <c r="BO114" s="3298">
        <f t="shared" si="55"/>
        <v>0</v>
      </c>
      <c r="BP114" s="3298">
        <f t="shared" si="56"/>
        <v>0</v>
      </c>
      <c r="BQ114" s="3298">
        <f t="shared" si="57"/>
        <v>0</v>
      </c>
      <c r="BR114" s="3298">
        <f t="shared" si="58"/>
        <v>0</v>
      </c>
      <c r="BS114" s="3298">
        <f t="shared" si="59"/>
        <v>0</v>
      </c>
      <c r="BT114" s="3350">
        <f t="shared" si="60"/>
        <v>0</v>
      </c>
    </row>
    <row r="115" spans="1:72">
      <c r="A115" s="1407"/>
      <c r="B115" s="3296"/>
      <c r="C115" s="3296"/>
      <c r="D115" s="3297"/>
      <c r="E115" s="3298">
        <f t="shared" si="61"/>
        <v>0</v>
      </c>
      <c r="F115" s="3299"/>
      <c r="G115" s="3300">
        <f t="shared" si="36"/>
        <v>0</v>
      </c>
      <c r="H115" s="3301">
        <f t="shared" si="37"/>
        <v>0</v>
      </c>
      <c r="I115" s="3308"/>
      <c r="J115" s="3308"/>
      <c r="K115" s="3308"/>
      <c r="L115" s="3308"/>
      <c r="M115" s="3308"/>
      <c r="N115" s="3308"/>
      <c r="O115" s="3308"/>
      <c r="P115" s="3308"/>
      <c r="Q115" s="3308"/>
      <c r="R115" s="3308"/>
      <c r="S115" s="3308"/>
      <c r="T115" s="3308"/>
      <c r="U115" s="3308"/>
      <c r="V115" s="3308"/>
      <c r="W115" s="3308"/>
      <c r="X115" s="3308"/>
      <c r="Y115" s="3308"/>
      <c r="Z115" s="3308"/>
      <c r="AA115" s="3308"/>
      <c r="AB115" s="3308"/>
      <c r="AC115" s="3298">
        <f t="shared" si="38"/>
        <v>0</v>
      </c>
      <c r="AD115" s="3318"/>
      <c r="AE115" s="3318"/>
      <c r="AF115" s="3318"/>
      <c r="AG115" s="3318"/>
      <c r="AH115" s="3318"/>
      <c r="AI115" s="3318"/>
      <c r="AJ115" s="3318"/>
      <c r="AK115" s="3318"/>
      <c r="AL115" s="3318"/>
      <c r="AM115" s="3318"/>
      <c r="AN115" s="3318"/>
      <c r="AO115" s="3318"/>
      <c r="AP115" s="3318"/>
      <c r="AQ115" s="3318"/>
      <c r="AR115" s="3318"/>
      <c r="AS115" s="3318"/>
      <c r="AT115" s="3328"/>
      <c r="AU115" s="3329"/>
      <c r="AV115" s="963">
        <f t="shared" si="62"/>
        <v>0</v>
      </c>
      <c r="AW115" s="963">
        <f t="shared" si="63"/>
        <v>0</v>
      </c>
      <c r="AX115" s="963">
        <f t="shared" si="64"/>
        <v>0</v>
      </c>
      <c r="AY115" s="3343">
        <f t="shared" si="39"/>
        <v>0</v>
      </c>
      <c r="AZ115" s="3298">
        <f t="shared" si="40"/>
        <v>0</v>
      </c>
      <c r="BA115" s="3298">
        <f t="shared" si="41"/>
        <v>0</v>
      </c>
      <c r="BB115" s="3298">
        <f t="shared" si="42"/>
        <v>0</v>
      </c>
      <c r="BC115" s="3298">
        <f t="shared" si="43"/>
        <v>0</v>
      </c>
      <c r="BD115" s="3298">
        <f t="shared" si="44"/>
        <v>0</v>
      </c>
      <c r="BE115" s="3298">
        <f t="shared" si="45"/>
        <v>0</v>
      </c>
      <c r="BF115" s="3298">
        <f t="shared" si="46"/>
        <v>0</v>
      </c>
      <c r="BG115" s="3298">
        <f t="shared" si="47"/>
        <v>0</v>
      </c>
      <c r="BH115" s="3298">
        <f t="shared" si="48"/>
        <v>0</v>
      </c>
      <c r="BI115" s="3298">
        <f t="shared" si="49"/>
        <v>0</v>
      </c>
      <c r="BJ115" s="3298">
        <f t="shared" si="50"/>
        <v>0</v>
      </c>
      <c r="BK115" s="3298">
        <f t="shared" si="51"/>
        <v>0</v>
      </c>
      <c r="BL115" s="3298">
        <f t="shared" si="52"/>
        <v>0</v>
      </c>
      <c r="BM115" s="3298">
        <f t="shared" si="53"/>
        <v>0</v>
      </c>
      <c r="BN115" s="3298">
        <f t="shared" si="54"/>
        <v>0</v>
      </c>
      <c r="BO115" s="3298">
        <f t="shared" si="55"/>
        <v>0</v>
      </c>
      <c r="BP115" s="3298">
        <f t="shared" si="56"/>
        <v>0</v>
      </c>
      <c r="BQ115" s="3298">
        <f t="shared" si="57"/>
        <v>0</v>
      </c>
      <c r="BR115" s="3298">
        <f t="shared" si="58"/>
        <v>0</v>
      </c>
      <c r="BS115" s="3298">
        <f t="shared" si="59"/>
        <v>0</v>
      </c>
      <c r="BT115" s="3350">
        <f t="shared" si="60"/>
        <v>0</v>
      </c>
    </row>
    <row r="116" spans="1:72">
      <c r="A116" s="1407"/>
      <c r="B116" s="3296"/>
      <c r="C116" s="3296"/>
      <c r="D116" s="3297"/>
      <c r="E116" s="3298">
        <f t="shared" si="61"/>
        <v>0</v>
      </c>
      <c r="F116" s="3299"/>
      <c r="G116" s="3300">
        <f t="shared" si="36"/>
        <v>0</v>
      </c>
      <c r="H116" s="3301">
        <f t="shared" si="37"/>
        <v>0</v>
      </c>
      <c r="I116" s="3308"/>
      <c r="J116" s="3308"/>
      <c r="K116" s="3308"/>
      <c r="L116" s="3308"/>
      <c r="M116" s="3308"/>
      <c r="N116" s="3308"/>
      <c r="O116" s="3308"/>
      <c r="P116" s="3308"/>
      <c r="Q116" s="3308"/>
      <c r="R116" s="3308"/>
      <c r="S116" s="3308"/>
      <c r="T116" s="3308"/>
      <c r="U116" s="3308"/>
      <c r="V116" s="3308"/>
      <c r="W116" s="3308"/>
      <c r="X116" s="3308"/>
      <c r="Y116" s="3308"/>
      <c r="Z116" s="3308"/>
      <c r="AA116" s="3308"/>
      <c r="AB116" s="3308"/>
      <c r="AC116" s="3298">
        <f t="shared" si="38"/>
        <v>0</v>
      </c>
      <c r="AD116" s="3318"/>
      <c r="AE116" s="3318"/>
      <c r="AF116" s="3318"/>
      <c r="AG116" s="3318"/>
      <c r="AH116" s="3318"/>
      <c r="AI116" s="3318"/>
      <c r="AJ116" s="3318"/>
      <c r="AK116" s="3318"/>
      <c r="AL116" s="3318"/>
      <c r="AM116" s="3318"/>
      <c r="AN116" s="3318"/>
      <c r="AO116" s="3318"/>
      <c r="AP116" s="3318"/>
      <c r="AQ116" s="3318"/>
      <c r="AR116" s="3318"/>
      <c r="AS116" s="3318"/>
      <c r="AT116" s="3328"/>
      <c r="AU116" s="3329"/>
      <c r="AV116" s="963">
        <f t="shared" si="62"/>
        <v>0</v>
      </c>
      <c r="AW116" s="963">
        <f t="shared" si="63"/>
        <v>0</v>
      </c>
      <c r="AX116" s="963">
        <f t="shared" si="64"/>
        <v>0</v>
      </c>
      <c r="AY116" s="3343">
        <f t="shared" si="39"/>
        <v>0</v>
      </c>
      <c r="AZ116" s="3298">
        <f t="shared" si="40"/>
        <v>0</v>
      </c>
      <c r="BA116" s="3298">
        <f t="shared" si="41"/>
        <v>0</v>
      </c>
      <c r="BB116" s="3298">
        <f t="shared" si="42"/>
        <v>0</v>
      </c>
      <c r="BC116" s="3298">
        <f t="shared" si="43"/>
        <v>0</v>
      </c>
      <c r="BD116" s="3298">
        <f t="shared" si="44"/>
        <v>0</v>
      </c>
      <c r="BE116" s="3298">
        <f t="shared" si="45"/>
        <v>0</v>
      </c>
      <c r="BF116" s="3298">
        <f t="shared" si="46"/>
        <v>0</v>
      </c>
      <c r="BG116" s="3298">
        <f t="shared" si="47"/>
        <v>0</v>
      </c>
      <c r="BH116" s="3298">
        <f t="shared" si="48"/>
        <v>0</v>
      </c>
      <c r="BI116" s="3298">
        <f t="shared" si="49"/>
        <v>0</v>
      </c>
      <c r="BJ116" s="3298">
        <f t="shared" si="50"/>
        <v>0</v>
      </c>
      <c r="BK116" s="3298">
        <f t="shared" si="51"/>
        <v>0</v>
      </c>
      <c r="BL116" s="3298">
        <f t="shared" si="52"/>
        <v>0</v>
      </c>
      <c r="BM116" s="3298">
        <f t="shared" si="53"/>
        <v>0</v>
      </c>
      <c r="BN116" s="3298">
        <f t="shared" si="54"/>
        <v>0</v>
      </c>
      <c r="BO116" s="3298">
        <f t="shared" si="55"/>
        <v>0</v>
      </c>
      <c r="BP116" s="3298">
        <f t="shared" si="56"/>
        <v>0</v>
      </c>
      <c r="BQ116" s="3298">
        <f t="shared" si="57"/>
        <v>0</v>
      </c>
      <c r="BR116" s="3298">
        <f t="shared" si="58"/>
        <v>0</v>
      </c>
      <c r="BS116" s="3298">
        <f t="shared" si="59"/>
        <v>0</v>
      </c>
      <c r="BT116" s="3350">
        <f t="shared" si="60"/>
        <v>0</v>
      </c>
    </row>
    <row r="117" spans="1:72">
      <c r="A117" s="1407"/>
      <c r="B117" s="3296"/>
      <c r="C117" s="3296"/>
      <c r="D117" s="3297"/>
      <c r="E117" s="3298">
        <f t="shared" si="61"/>
        <v>0</v>
      </c>
      <c r="F117" s="3299"/>
      <c r="G117" s="3300">
        <f t="shared" si="36"/>
        <v>0</v>
      </c>
      <c r="H117" s="3301">
        <f t="shared" si="37"/>
        <v>0</v>
      </c>
      <c r="I117" s="3308"/>
      <c r="J117" s="3308"/>
      <c r="K117" s="3308"/>
      <c r="L117" s="3308"/>
      <c r="M117" s="3308"/>
      <c r="N117" s="3308"/>
      <c r="O117" s="3308"/>
      <c r="P117" s="3308"/>
      <c r="Q117" s="3308"/>
      <c r="R117" s="3308"/>
      <c r="S117" s="3308"/>
      <c r="T117" s="3308"/>
      <c r="U117" s="3308"/>
      <c r="V117" s="3308"/>
      <c r="W117" s="3308"/>
      <c r="X117" s="3308"/>
      <c r="Y117" s="3308"/>
      <c r="Z117" s="3308"/>
      <c r="AA117" s="3308"/>
      <c r="AB117" s="3308"/>
      <c r="AC117" s="3298">
        <f t="shared" si="38"/>
        <v>0</v>
      </c>
      <c r="AD117" s="3318"/>
      <c r="AE117" s="3318"/>
      <c r="AF117" s="3318"/>
      <c r="AG117" s="3318"/>
      <c r="AH117" s="3318"/>
      <c r="AI117" s="3318"/>
      <c r="AJ117" s="3318"/>
      <c r="AK117" s="3318"/>
      <c r="AL117" s="3318"/>
      <c r="AM117" s="3318"/>
      <c r="AN117" s="3318"/>
      <c r="AO117" s="3318"/>
      <c r="AP117" s="3318"/>
      <c r="AQ117" s="3318"/>
      <c r="AR117" s="3318"/>
      <c r="AS117" s="3318"/>
      <c r="AT117" s="3328"/>
      <c r="AU117" s="3329"/>
      <c r="AV117" s="963">
        <f t="shared" si="62"/>
        <v>0</v>
      </c>
      <c r="AW117" s="963">
        <f t="shared" si="63"/>
        <v>0</v>
      </c>
      <c r="AX117" s="963">
        <f t="shared" si="64"/>
        <v>0</v>
      </c>
      <c r="AY117" s="3343">
        <f t="shared" si="39"/>
        <v>0</v>
      </c>
      <c r="AZ117" s="3298">
        <f t="shared" si="40"/>
        <v>0</v>
      </c>
      <c r="BA117" s="3298">
        <f t="shared" si="41"/>
        <v>0</v>
      </c>
      <c r="BB117" s="3298">
        <f t="shared" si="42"/>
        <v>0</v>
      </c>
      <c r="BC117" s="3298">
        <f t="shared" si="43"/>
        <v>0</v>
      </c>
      <c r="BD117" s="3298">
        <f t="shared" si="44"/>
        <v>0</v>
      </c>
      <c r="BE117" s="3298">
        <f t="shared" si="45"/>
        <v>0</v>
      </c>
      <c r="BF117" s="3298">
        <f t="shared" si="46"/>
        <v>0</v>
      </c>
      <c r="BG117" s="3298">
        <f t="shared" si="47"/>
        <v>0</v>
      </c>
      <c r="BH117" s="3298">
        <f t="shared" si="48"/>
        <v>0</v>
      </c>
      <c r="BI117" s="3298">
        <f t="shared" si="49"/>
        <v>0</v>
      </c>
      <c r="BJ117" s="3298">
        <f t="shared" si="50"/>
        <v>0</v>
      </c>
      <c r="BK117" s="3298">
        <f t="shared" si="51"/>
        <v>0</v>
      </c>
      <c r="BL117" s="3298">
        <f t="shared" si="52"/>
        <v>0</v>
      </c>
      <c r="BM117" s="3298">
        <f t="shared" si="53"/>
        <v>0</v>
      </c>
      <c r="BN117" s="3298">
        <f t="shared" si="54"/>
        <v>0</v>
      </c>
      <c r="BO117" s="3298">
        <f t="shared" si="55"/>
        <v>0</v>
      </c>
      <c r="BP117" s="3298">
        <f t="shared" si="56"/>
        <v>0</v>
      </c>
      <c r="BQ117" s="3298">
        <f t="shared" si="57"/>
        <v>0</v>
      </c>
      <c r="BR117" s="3298">
        <f t="shared" si="58"/>
        <v>0</v>
      </c>
      <c r="BS117" s="3298">
        <f t="shared" si="59"/>
        <v>0</v>
      </c>
      <c r="BT117" s="3350">
        <f t="shared" si="60"/>
        <v>0</v>
      </c>
    </row>
    <row r="118" spans="1:72">
      <c r="A118" s="1407"/>
      <c r="B118" s="3296"/>
      <c r="C118" s="3296"/>
      <c r="D118" s="3297"/>
      <c r="E118" s="3298">
        <f t="shared" si="61"/>
        <v>0</v>
      </c>
      <c r="F118" s="3299"/>
      <c r="G118" s="3300">
        <f t="shared" si="36"/>
        <v>0</v>
      </c>
      <c r="H118" s="3301">
        <f t="shared" si="37"/>
        <v>0</v>
      </c>
      <c r="I118" s="3308"/>
      <c r="J118" s="3308"/>
      <c r="K118" s="3308"/>
      <c r="L118" s="3308"/>
      <c r="M118" s="3308"/>
      <c r="N118" s="3308"/>
      <c r="O118" s="3308"/>
      <c r="P118" s="3308"/>
      <c r="Q118" s="3308"/>
      <c r="R118" s="3308"/>
      <c r="S118" s="3308"/>
      <c r="T118" s="3308"/>
      <c r="U118" s="3308"/>
      <c r="V118" s="3308"/>
      <c r="W118" s="3308"/>
      <c r="X118" s="3308"/>
      <c r="Y118" s="3308"/>
      <c r="Z118" s="3308"/>
      <c r="AA118" s="3308"/>
      <c r="AB118" s="3308"/>
      <c r="AC118" s="3298">
        <f t="shared" si="38"/>
        <v>0</v>
      </c>
      <c r="AD118" s="3318"/>
      <c r="AE118" s="3318"/>
      <c r="AF118" s="3318"/>
      <c r="AG118" s="3318"/>
      <c r="AH118" s="3318"/>
      <c r="AI118" s="3318"/>
      <c r="AJ118" s="3318"/>
      <c r="AK118" s="3318"/>
      <c r="AL118" s="3318"/>
      <c r="AM118" s="3318"/>
      <c r="AN118" s="3318"/>
      <c r="AO118" s="3318"/>
      <c r="AP118" s="3318"/>
      <c r="AQ118" s="3318"/>
      <c r="AR118" s="3318"/>
      <c r="AS118" s="3318"/>
      <c r="AT118" s="3328"/>
      <c r="AU118" s="3329"/>
      <c r="AV118" s="963">
        <f t="shared" si="62"/>
        <v>0</v>
      </c>
      <c r="AW118" s="963">
        <f t="shared" si="63"/>
        <v>0</v>
      </c>
      <c r="AX118" s="963">
        <f t="shared" si="64"/>
        <v>0</v>
      </c>
      <c r="AY118" s="3343">
        <f t="shared" si="39"/>
        <v>0</v>
      </c>
      <c r="AZ118" s="3298">
        <f t="shared" si="40"/>
        <v>0</v>
      </c>
      <c r="BA118" s="3298">
        <f t="shared" si="41"/>
        <v>0</v>
      </c>
      <c r="BB118" s="3298">
        <f t="shared" si="42"/>
        <v>0</v>
      </c>
      <c r="BC118" s="3298">
        <f t="shared" si="43"/>
        <v>0</v>
      </c>
      <c r="BD118" s="3298">
        <f t="shared" si="44"/>
        <v>0</v>
      </c>
      <c r="BE118" s="3298">
        <f t="shared" si="45"/>
        <v>0</v>
      </c>
      <c r="BF118" s="3298">
        <f t="shared" si="46"/>
        <v>0</v>
      </c>
      <c r="BG118" s="3298">
        <f t="shared" si="47"/>
        <v>0</v>
      </c>
      <c r="BH118" s="3298">
        <f t="shared" si="48"/>
        <v>0</v>
      </c>
      <c r="BI118" s="3298">
        <f t="shared" si="49"/>
        <v>0</v>
      </c>
      <c r="BJ118" s="3298">
        <f t="shared" si="50"/>
        <v>0</v>
      </c>
      <c r="BK118" s="3298">
        <f t="shared" si="51"/>
        <v>0</v>
      </c>
      <c r="BL118" s="3298">
        <f t="shared" si="52"/>
        <v>0</v>
      </c>
      <c r="BM118" s="3298">
        <f t="shared" si="53"/>
        <v>0</v>
      </c>
      <c r="BN118" s="3298">
        <f t="shared" si="54"/>
        <v>0</v>
      </c>
      <c r="BO118" s="3298">
        <f t="shared" si="55"/>
        <v>0</v>
      </c>
      <c r="BP118" s="3298">
        <f t="shared" si="56"/>
        <v>0</v>
      </c>
      <c r="BQ118" s="3298">
        <f t="shared" si="57"/>
        <v>0</v>
      </c>
      <c r="BR118" s="3298">
        <f t="shared" si="58"/>
        <v>0</v>
      </c>
      <c r="BS118" s="3298">
        <f t="shared" si="59"/>
        <v>0</v>
      </c>
      <c r="BT118" s="3350">
        <f t="shared" si="60"/>
        <v>0</v>
      </c>
    </row>
    <row r="119" spans="1:72">
      <c r="A119" s="1407"/>
      <c r="B119" s="3296"/>
      <c r="C119" s="3296"/>
      <c r="D119" s="3297"/>
      <c r="E119" s="3298">
        <f t="shared" si="61"/>
        <v>0</v>
      </c>
      <c r="F119" s="3299"/>
      <c r="G119" s="3300">
        <f t="shared" si="36"/>
        <v>0</v>
      </c>
      <c r="H119" s="3301">
        <f t="shared" si="37"/>
        <v>0</v>
      </c>
      <c r="I119" s="3308"/>
      <c r="J119" s="3308"/>
      <c r="K119" s="3308"/>
      <c r="L119" s="3308"/>
      <c r="M119" s="3308"/>
      <c r="N119" s="3308"/>
      <c r="O119" s="3308"/>
      <c r="P119" s="3308"/>
      <c r="Q119" s="3308"/>
      <c r="R119" s="3308"/>
      <c r="S119" s="3308"/>
      <c r="T119" s="3308"/>
      <c r="U119" s="3308"/>
      <c r="V119" s="3308"/>
      <c r="W119" s="3308"/>
      <c r="X119" s="3308"/>
      <c r="Y119" s="3308"/>
      <c r="Z119" s="3308"/>
      <c r="AA119" s="3308"/>
      <c r="AB119" s="3308"/>
      <c r="AC119" s="3298">
        <f t="shared" si="38"/>
        <v>0</v>
      </c>
      <c r="AD119" s="3318"/>
      <c r="AE119" s="3318"/>
      <c r="AF119" s="3318"/>
      <c r="AG119" s="3318"/>
      <c r="AH119" s="3318"/>
      <c r="AI119" s="3318"/>
      <c r="AJ119" s="3318"/>
      <c r="AK119" s="3318"/>
      <c r="AL119" s="3318"/>
      <c r="AM119" s="3318"/>
      <c r="AN119" s="3318"/>
      <c r="AO119" s="3318"/>
      <c r="AP119" s="3318"/>
      <c r="AQ119" s="3318"/>
      <c r="AR119" s="3318"/>
      <c r="AS119" s="3318"/>
      <c r="AT119" s="3328"/>
      <c r="AU119" s="3329"/>
      <c r="AV119" s="963">
        <f t="shared" si="62"/>
        <v>0</v>
      </c>
      <c r="AW119" s="963">
        <f t="shared" si="63"/>
        <v>0</v>
      </c>
      <c r="AX119" s="963">
        <f t="shared" si="64"/>
        <v>0</v>
      </c>
      <c r="AY119" s="3343">
        <f t="shared" si="39"/>
        <v>0</v>
      </c>
      <c r="AZ119" s="3298">
        <f t="shared" si="40"/>
        <v>0</v>
      </c>
      <c r="BA119" s="3298">
        <f t="shared" si="41"/>
        <v>0</v>
      </c>
      <c r="BB119" s="3298">
        <f t="shared" si="42"/>
        <v>0</v>
      </c>
      <c r="BC119" s="3298">
        <f t="shared" si="43"/>
        <v>0</v>
      </c>
      <c r="BD119" s="3298">
        <f t="shared" si="44"/>
        <v>0</v>
      </c>
      <c r="BE119" s="3298">
        <f t="shared" si="45"/>
        <v>0</v>
      </c>
      <c r="BF119" s="3298">
        <f t="shared" si="46"/>
        <v>0</v>
      </c>
      <c r="BG119" s="3298">
        <f t="shared" si="47"/>
        <v>0</v>
      </c>
      <c r="BH119" s="3298">
        <f t="shared" si="48"/>
        <v>0</v>
      </c>
      <c r="BI119" s="3298">
        <f t="shared" si="49"/>
        <v>0</v>
      </c>
      <c r="BJ119" s="3298">
        <f t="shared" si="50"/>
        <v>0</v>
      </c>
      <c r="BK119" s="3298">
        <f t="shared" si="51"/>
        <v>0</v>
      </c>
      <c r="BL119" s="3298">
        <f t="shared" si="52"/>
        <v>0</v>
      </c>
      <c r="BM119" s="3298">
        <f t="shared" si="53"/>
        <v>0</v>
      </c>
      <c r="BN119" s="3298">
        <f t="shared" si="54"/>
        <v>0</v>
      </c>
      <c r="BO119" s="3298">
        <f t="shared" si="55"/>
        <v>0</v>
      </c>
      <c r="BP119" s="3298">
        <f t="shared" si="56"/>
        <v>0</v>
      </c>
      <c r="BQ119" s="3298">
        <f t="shared" si="57"/>
        <v>0</v>
      </c>
      <c r="BR119" s="3298">
        <f t="shared" si="58"/>
        <v>0</v>
      </c>
      <c r="BS119" s="3298">
        <f t="shared" si="59"/>
        <v>0</v>
      </c>
      <c r="BT119" s="3350">
        <f t="shared" si="60"/>
        <v>0</v>
      </c>
    </row>
    <row r="120" spans="1:72">
      <c r="A120" s="1407"/>
      <c r="B120" s="3296"/>
      <c r="C120" s="3296"/>
      <c r="D120" s="3297"/>
      <c r="E120" s="3298">
        <f t="shared" si="61"/>
        <v>0</v>
      </c>
      <c r="F120" s="3299"/>
      <c r="G120" s="3300">
        <f t="shared" si="36"/>
        <v>0</v>
      </c>
      <c r="H120" s="3301">
        <f t="shared" si="37"/>
        <v>0</v>
      </c>
      <c r="I120" s="3308"/>
      <c r="J120" s="3308"/>
      <c r="K120" s="3308"/>
      <c r="L120" s="3308"/>
      <c r="M120" s="3308"/>
      <c r="N120" s="3308"/>
      <c r="O120" s="3308"/>
      <c r="P120" s="3308"/>
      <c r="Q120" s="3308"/>
      <c r="R120" s="3308"/>
      <c r="S120" s="3308"/>
      <c r="T120" s="3308"/>
      <c r="U120" s="3308"/>
      <c r="V120" s="3308"/>
      <c r="W120" s="3308"/>
      <c r="X120" s="3308"/>
      <c r="Y120" s="3308"/>
      <c r="Z120" s="3308"/>
      <c r="AA120" s="3308"/>
      <c r="AB120" s="3308"/>
      <c r="AC120" s="3298">
        <f t="shared" si="38"/>
        <v>0</v>
      </c>
      <c r="AD120" s="3318"/>
      <c r="AE120" s="3318"/>
      <c r="AF120" s="3318"/>
      <c r="AG120" s="3318"/>
      <c r="AH120" s="3318"/>
      <c r="AI120" s="3318"/>
      <c r="AJ120" s="3318"/>
      <c r="AK120" s="3318"/>
      <c r="AL120" s="3318"/>
      <c r="AM120" s="3318"/>
      <c r="AN120" s="3318"/>
      <c r="AO120" s="3318"/>
      <c r="AP120" s="3318"/>
      <c r="AQ120" s="3318"/>
      <c r="AR120" s="3318"/>
      <c r="AS120" s="3318"/>
      <c r="AT120" s="3328"/>
      <c r="AU120" s="3329"/>
      <c r="AV120" s="963">
        <f t="shared" si="62"/>
        <v>0</v>
      </c>
      <c r="AW120" s="963">
        <f t="shared" si="63"/>
        <v>0</v>
      </c>
      <c r="AX120" s="963">
        <f t="shared" si="64"/>
        <v>0</v>
      </c>
      <c r="AY120" s="3343">
        <f t="shared" si="39"/>
        <v>0</v>
      </c>
      <c r="AZ120" s="3298">
        <f t="shared" si="40"/>
        <v>0</v>
      </c>
      <c r="BA120" s="3298">
        <f t="shared" si="41"/>
        <v>0</v>
      </c>
      <c r="BB120" s="3298">
        <f t="shared" si="42"/>
        <v>0</v>
      </c>
      <c r="BC120" s="3298">
        <f t="shared" si="43"/>
        <v>0</v>
      </c>
      <c r="BD120" s="3298">
        <f t="shared" si="44"/>
        <v>0</v>
      </c>
      <c r="BE120" s="3298">
        <f t="shared" si="45"/>
        <v>0</v>
      </c>
      <c r="BF120" s="3298">
        <f t="shared" si="46"/>
        <v>0</v>
      </c>
      <c r="BG120" s="3298">
        <f t="shared" si="47"/>
        <v>0</v>
      </c>
      <c r="BH120" s="3298">
        <f t="shared" si="48"/>
        <v>0</v>
      </c>
      <c r="BI120" s="3298">
        <f t="shared" si="49"/>
        <v>0</v>
      </c>
      <c r="BJ120" s="3298">
        <f t="shared" si="50"/>
        <v>0</v>
      </c>
      <c r="BK120" s="3298">
        <f t="shared" si="51"/>
        <v>0</v>
      </c>
      <c r="BL120" s="3298">
        <f t="shared" si="52"/>
        <v>0</v>
      </c>
      <c r="BM120" s="3298">
        <f t="shared" si="53"/>
        <v>0</v>
      </c>
      <c r="BN120" s="3298">
        <f t="shared" si="54"/>
        <v>0</v>
      </c>
      <c r="BO120" s="3298">
        <f t="shared" si="55"/>
        <v>0</v>
      </c>
      <c r="BP120" s="3298">
        <f t="shared" si="56"/>
        <v>0</v>
      </c>
      <c r="BQ120" s="3298">
        <f t="shared" si="57"/>
        <v>0</v>
      </c>
      <c r="BR120" s="3298">
        <f t="shared" si="58"/>
        <v>0</v>
      </c>
      <c r="BS120" s="3298">
        <f t="shared" si="59"/>
        <v>0</v>
      </c>
      <c r="BT120" s="3350">
        <f t="shared" si="60"/>
        <v>0</v>
      </c>
    </row>
    <row r="121" spans="1:72">
      <c r="A121" s="1407"/>
      <c r="B121" s="3296"/>
      <c r="C121" s="3296"/>
      <c r="D121" s="3297"/>
      <c r="E121" s="3298">
        <f t="shared" si="61"/>
        <v>0</v>
      </c>
      <c r="F121" s="3299"/>
      <c r="G121" s="3300">
        <f t="shared" si="36"/>
        <v>0</v>
      </c>
      <c r="H121" s="3301">
        <f t="shared" si="37"/>
        <v>0</v>
      </c>
      <c r="I121" s="3308"/>
      <c r="J121" s="3308"/>
      <c r="K121" s="3308"/>
      <c r="L121" s="3308"/>
      <c r="M121" s="3308"/>
      <c r="N121" s="3308"/>
      <c r="O121" s="3308"/>
      <c r="P121" s="3308"/>
      <c r="Q121" s="3308"/>
      <c r="R121" s="3308"/>
      <c r="S121" s="3308"/>
      <c r="T121" s="3308"/>
      <c r="U121" s="3308"/>
      <c r="V121" s="3308"/>
      <c r="W121" s="3308"/>
      <c r="X121" s="3308"/>
      <c r="Y121" s="3308"/>
      <c r="Z121" s="3308"/>
      <c r="AA121" s="3308"/>
      <c r="AB121" s="3308"/>
      <c r="AC121" s="3298">
        <f t="shared" si="38"/>
        <v>0</v>
      </c>
      <c r="AD121" s="3318"/>
      <c r="AE121" s="3318"/>
      <c r="AF121" s="3318"/>
      <c r="AG121" s="3318"/>
      <c r="AH121" s="3318"/>
      <c r="AI121" s="3318"/>
      <c r="AJ121" s="3318"/>
      <c r="AK121" s="3318"/>
      <c r="AL121" s="3318"/>
      <c r="AM121" s="3318"/>
      <c r="AN121" s="3318"/>
      <c r="AO121" s="3318"/>
      <c r="AP121" s="3318"/>
      <c r="AQ121" s="3318"/>
      <c r="AR121" s="3318"/>
      <c r="AS121" s="3318"/>
      <c r="AT121" s="3328"/>
      <c r="AU121" s="3329"/>
      <c r="AV121" s="963">
        <f t="shared" si="62"/>
        <v>0</v>
      </c>
      <c r="AW121" s="963">
        <f t="shared" si="63"/>
        <v>0</v>
      </c>
      <c r="AX121" s="963">
        <f t="shared" si="64"/>
        <v>0</v>
      </c>
      <c r="AY121" s="3343">
        <f t="shared" si="39"/>
        <v>0</v>
      </c>
      <c r="AZ121" s="3298">
        <f t="shared" si="40"/>
        <v>0</v>
      </c>
      <c r="BA121" s="3298">
        <f t="shared" si="41"/>
        <v>0</v>
      </c>
      <c r="BB121" s="3298">
        <f t="shared" si="42"/>
        <v>0</v>
      </c>
      <c r="BC121" s="3298">
        <f t="shared" si="43"/>
        <v>0</v>
      </c>
      <c r="BD121" s="3298">
        <f t="shared" si="44"/>
        <v>0</v>
      </c>
      <c r="BE121" s="3298">
        <f t="shared" si="45"/>
        <v>0</v>
      </c>
      <c r="BF121" s="3298">
        <f t="shared" si="46"/>
        <v>0</v>
      </c>
      <c r="BG121" s="3298">
        <f t="shared" si="47"/>
        <v>0</v>
      </c>
      <c r="BH121" s="3298">
        <f t="shared" si="48"/>
        <v>0</v>
      </c>
      <c r="BI121" s="3298">
        <f t="shared" si="49"/>
        <v>0</v>
      </c>
      <c r="BJ121" s="3298">
        <f t="shared" si="50"/>
        <v>0</v>
      </c>
      <c r="BK121" s="3298">
        <f t="shared" si="51"/>
        <v>0</v>
      </c>
      <c r="BL121" s="3298">
        <f t="shared" si="52"/>
        <v>0</v>
      </c>
      <c r="BM121" s="3298">
        <f t="shared" si="53"/>
        <v>0</v>
      </c>
      <c r="BN121" s="3298">
        <f t="shared" si="54"/>
        <v>0</v>
      </c>
      <c r="BO121" s="3298">
        <f t="shared" si="55"/>
        <v>0</v>
      </c>
      <c r="BP121" s="3298">
        <f t="shared" si="56"/>
        <v>0</v>
      </c>
      <c r="BQ121" s="3298">
        <f t="shared" si="57"/>
        <v>0</v>
      </c>
      <c r="BR121" s="3298">
        <f t="shared" si="58"/>
        <v>0</v>
      </c>
      <c r="BS121" s="3298">
        <f t="shared" si="59"/>
        <v>0</v>
      </c>
      <c r="BT121" s="3350">
        <f t="shared" si="60"/>
        <v>0</v>
      </c>
    </row>
    <row r="122" spans="1:72">
      <c r="A122" s="1407"/>
      <c r="B122" s="3296"/>
      <c r="C122" s="3296"/>
      <c r="D122" s="3297"/>
      <c r="E122" s="3298">
        <f t="shared" si="61"/>
        <v>0</v>
      </c>
      <c r="F122" s="3299"/>
      <c r="G122" s="3300">
        <f t="shared" si="36"/>
        <v>0</v>
      </c>
      <c r="H122" s="3301">
        <f t="shared" si="37"/>
        <v>0</v>
      </c>
      <c r="I122" s="3308"/>
      <c r="J122" s="3308"/>
      <c r="K122" s="3308"/>
      <c r="L122" s="3308"/>
      <c r="M122" s="3308"/>
      <c r="N122" s="3308"/>
      <c r="O122" s="3308"/>
      <c r="P122" s="3308"/>
      <c r="Q122" s="3308"/>
      <c r="R122" s="3308"/>
      <c r="S122" s="3308"/>
      <c r="T122" s="3308"/>
      <c r="U122" s="3308"/>
      <c r="V122" s="3308"/>
      <c r="W122" s="3308"/>
      <c r="X122" s="3308"/>
      <c r="Y122" s="3308"/>
      <c r="Z122" s="3308"/>
      <c r="AA122" s="3308"/>
      <c r="AB122" s="3308"/>
      <c r="AC122" s="3298">
        <f t="shared" si="38"/>
        <v>0</v>
      </c>
      <c r="AD122" s="3318"/>
      <c r="AE122" s="3318"/>
      <c r="AF122" s="3318"/>
      <c r="AG122" s="3318"/>
      <c r="AH122" s="3318"/>
      <c r="AI122" s="3318"/>
      <c r="AJ122" s="3318"/>
      <c r="AK122" s="3318"/>
      <c r="AL122" s="3318"/>
      <c r="AM122" s="3318"/>
      <c r="AN122" s="3318"/>
      <c r="AO122" s="3318"/>
      <c r="AP122" s="3318"/>
      <c r="AQ122" s="3318"/>
      <c r="AR122" s="3318"/>
      <c r="AS122" s="3318"/>
      <c r="AT122" s="3328"/>
      <c r="AU122" s="3329"/>
      <c r="AV122" s="963">
        <f t="shared" si="62"/>
        <v>0</v>
      </c>
      <c r="AW122" s="963">
        <f t="shared" si="63"/>
        <v>0</v>
      </c>
      <c r="AX122" s="963">
        <f t="shared" si="64"/>
        <v>0</v>
      </c>
      <c r="AY122" s="3343">
        <f t="shared" si="39"/>
        <v>0</v>
      </c>
      <c r="AZ122" s="3298">
        <f t="shared" si="40"/>
        <v>0</v>
      </c>
      <c r="BA122" s="3298">
        <f t="shared" si="41"/>
        <v>0</v>
      </c>
      <c r="BB122" s="3298">
        <f t="shared" si="42"/>
        <v>0</v>
      </c>
      <c r="BC122" s="3298">
        <f t="shared" si="43"/>
        <v>0</v>
      </c>
      <c r="BD122" s="3298">
        <f t="shared" si="44"/>
        <v>0</v>
      </c>
      <c r="BE122" s="3298">
        <f t="shared" si="45"/>
        <v>0</v>
      </c>
      <c r="BF122" s="3298">
        <f t="shared" si="46"/>
        <v>0</v>
      </c>
      <c r="BG122" s="3298">
        <f t="shared" si="47"/>
        <v>0</v>
      </c>
      <c r="BH122" s="3298">
        <f t="shared" si="48"/>
        <v>0</v>
      </c>
      <c r="BI122" s="3298">
        <f t="shared" si="49"/>
        <v>0</v>
      </c>
      <c r="BJ122" s="3298">
        <f t="shared" si="50"/>
        <v>0</v>
      </c>
      <c r="BK122" s="3298">
        <f t="shared" si="51"/>
        <v>0</v>
      </c>
      <c r="BL122" s="3298">
        <f t="shared" si="52"/>
        <v>0</v>
      </c>
      <c r="BM122" s="3298">
        <f t="shared" si="53"/>
        <v>0</v>
      </c>
      <c r="BN122" s="3298">
        <f t="shared" si="54"/>
        <v>0</v>
      </c>
      <c r="BO122" s="3298">
        <f t="shared" si="55"/>
        <v>0</v>
      </c>
      <c r="BP122" s="3298">
        <f t="shared" si="56"/>
        <v>0</v>
      </c>
      <c r="BQ122" s="3298">
        <f t="shared" si="57"/>
        <v>0</v>
      </c>
      <c r="BR122" s="3298">
        <f t="shared" si="58"/>
        <v>0</v>
      </c>
      <c r="BS122" s="3298">
        <f t="shared" si="59"/>
        <v>0</v>
      </c>
      <c r="BT122" s="3350">
        <f t="shared" si="60"/>
        <v>0</v>
      </c>
    </row>
    <row r="123" spans="1:72">
      <c r="A123" s="1407"/>
      <c r="B123" s="3296"/>
      <c r="C123" s="3296"/>
      <c r="D123" s="3297"/>
      <c r="E123" s="3298">
        <f t="shared" si="61"/>
        <v>0</v>
      </c>
      <c r="F123" s="3299"/>
      <c r="G123" s="3300">
        <f t="shared" si="36"/>
        <v>0</v>
      </c>
      <c r="H123" s="3301">
        <f t="shared" si="37"/>
        <v>0</v>
      </c>
      <c r="I123" s="3308"/>
      <c r="J123" s="3308"/>
      <c r="K123" s="3308"/>
      <c r="L123" s="3308"/>
      <c r="M123" s="3308"/>
      <c r="N123" s="3308"/>
      <c r="O123" s="3308"/>
      <c r="P123" s="3308"/>
      <c r="Q123" s="3308"/>
      <c r="R123" s="3308"/>
      <c r="S123" s="3308"/>
      <c r="T123" s="3308"/>
      <c r="U123" s="3308"/>
      <c r="V123" s="3308"/>
      <c r="W123" s="3308"/>
      <c r="X123" s="3308"/>
      <c r="Y123" s="3308"/>
      <c r="Z123" s="3308"/>
      <c r="AA123" s="3308"/>
      <c r="AB123" s="3308"/>
      <c r="AC123" s="3298">
        <f t="shared" si="38"/>
        <v>0</v>
      </c>
      <c r="AD123" s="3318"/>
      <c r="AE123" s="3318"/>
      <c r="AF123" s="3318"/>
      <c r="AG123" s="3318"/>
      <c r="AH123" s="3318"/>
      <c r="AI123" s="3318"/>
      <c r="AJ123" s="3318"/>
      <c r="AK123" s="3318"/>
      <c r="AL123" s="3318"/>
      <c r="AM123" s="3318"/>
      <c r="AN123" s="3318"/>
      <c r="AO123" s="3318"/>
      <c r="AP123" s="3318"/>
      <c r="AQ123" s="3318"/>
      <c r="AR123" s="3318"/>
      <c r="AS123" s="3318"/>
      <c r="AT123" s="3328"/>
      <c r="AU123" s="3329"/>
      <c r="AV123" s="963">
        <f t="shared" si="62"/>
        <v>0</v>
      </c>
      <c r="AW123" s="963">
        <f t="shared" si="63"/>
        <v>0</v>
      </c>
      <c r="AX123" s="963">
        <f t="shared" si="64"/>
        <v>0</v>
      </c>
      <c r="AY123" s="3343">
        <f t="shared" si="39"/>
        <v>0</v>
      </c>
      <c r="AZ123" s="3298">
        <f t="shared" si="40"/>
        <v>0</v>
      </c>
      <c r="BA123" s="3298">
        <f t="shared" si="41"/>
        <v>0</v>
      </c>
      <c r="BB123" s="3298">
        <f t="shared" si="42"/>
        <v>0</v>
      </c>
      <c r="BC123" s="3298">
        <f t="shared" si="43"/>
        <v>0</v>
      </c>
      <c r="BD123" s="3298">
        <f t="shared" si="44"/>
        <v>0</v>
      </c>
      <c r="BE123" s="3298">
        <f t="shared" si="45"/>
        <v>0</v>
      </c>
      <c r="BF123" s="3298">
        <f t="shared" si="46"/>
        <v>0</v>
      </c>
      <c r="BG123" s="3298">
        <f t="shared" si="47"/>
        <v>0</v>
      </c>
      <c r="BH123" s="3298">
        <f t="shared" si="48"/>
        <v>0</v>
      </c>
      <c r="BI123" s="3298">
        <f t="shared" si="49"/>
        <v>0</v>
      </c>
      <c r="BJ123" s="3298">
        <f t="shared" si="50"/>
        <v>0</v>
      </c>
      <c r="BK123" s="3298">
        <f t="shared" si="51"/>
        <v>0</v>
      </c>
      <c r="BL123" s="3298">
        <f t="shared" si="52"/>
        <v>0</v>
      </c>
      <c r="BM123" s="3298">
        <f t="shared" si="53"/>
        <v>0</v>
      </c>
      <c r="BN123" s="3298">
        <f t="shared" si="54"/>
        <v>0</v>
      </c>
      <c r="BO123" s="3298">
        <f t="shared" si="55"/>
        <v>0</v>
      </c>
      <c r="BP123" s="3298">
        <f t="shared" si="56"/>
        <v>0</v>
      </c>
      <c r="BQ123" s="3298">
        <f t="shared" si="57"/>
        <v>0</v>
      </c>
      <c r="BR123" s="3298">
        <f t="shared" si="58"/>
        <v>0</v>
      </c>
      <c r="BS123" s="3298">
        <f t="shared" si="59"/>
        <v>0</v>
      </c>
      <c r="BT123" s="3350">
        <f t="shared" si="60"/>
        <v>0</v>
      </c>
    </row>
    <row r="124" spans="1:72">
      <c r="A124" s="1407"/>
      <c r="B124" s="3296"/>
      <c r="C124" s="3296"/>
      <c r="D124" s="3297"/>
      <c r="E124" s="3298">
        <f t="shared" si="61"/>
        <v>0</v>
      </c>
      <c r="F124" s="3299"/>
      <c r="G124" s="3300">
        <f t="shared" si="36"/>
        <v>0</v>
      </c>
      <c r="H124" s="3301">
        <f t="shared" si="37"/>
        <v>0</v>
      </c>
      <c r="I124" s="3308"/>
      <c r="J124" s="3308"/>
      <c r="K124" s="3308"/>
      <c r="L124" s="3308"/>
      <c r="M124" s="3308"/>
      <c r="N124" s="3308"/>
      <c r="O124" s="3308"/>
      <c r="P124" s="3308"/>
      <c r="Q124" s="3308"/>
      <c r="R124" s="3308"/>
      <c r="S124" s="3308"/>
      <c r="T124" s="3308"/>
      <c r="U124" s="3308"/>
      <c r="V124" s="3308"/>
      <c r="W124" s="3308"/>
      <c r="X124" s="3308"/>
      <c r="Y124" s="3308"/>
      <c r="Z124" s="3308"/>
      <c r="AA124" s="3308"/>
      <c r="AB124" s="3308"/>
      <c r="AC124" s="3298">
        <f t="shared" si="38"/>
        <v>0</v>
      </c>
      <c r="AD124" s="3318"/>
      <c r="AE124" s="3318"/>
      <c r="AF124" s="3318"/>
      <c r="AG124" s="3318"/>
      <c r="AH124" s="3318"/>
      <c r="AI124" s="3318"/>
      <c r="AJ124" s="3318"/>
      <c r="AK124" s="3318"/>
      <c r="AL124" s="3318"/>
      <c r="AM124" s="3318"/>
      <c r="AN124" s="3318"/>
      <c r="AO124" s="3318"/>
      <c r="AP124" s="3318"/>
      <c r="AQ124" s="3318"/>
      <c r="AR124" s="3318"/>
      <c r="AS124" s="3318"/>
      <c r="AT124" s="3328"/>
      <c r="AU124" s="3329"/>
      <c r="AV124" s="963">
        <f t="shared" si="62"/>
        <v>0</v>
      </c>
      <c r="AW124" s="963">
        <f t="shared" si="63"/>
        <v>0</v>
      </c>
      <c r="AX124" s="963">
        <f t="shared" si="64"/>
        <v>0</v>
      </c>
      <c r="AY124" s="3343">
        <f t="shared" si="39"/>
        <v>0</v>
      </c>
      <c r="AZ124" s="3298">
        <f t="shared" si="40"/>
        <v>0</v>
      </c>
      <c r="BA124" s="3298">
        <f t="shared" si="41"/>
        <v>0</v>
      </c>
      <c r="BB124" s="3298">
        <f t="shared" si="42"/>
        <v>0</v>
      </c>
      <c r="BC124" s="3298">
        <f t="shared" si="43"/>
        <v>0</v>
      </c>
      <c r="BD124" s="3298">
        <f t="shared" si="44"/>
        <v>0</v>
      </c>
      <c r="BE124" s="3298">
        <f t="shared" si="45"/>
        <v>0</v>
      </c>
      <c r="BF124" s="3298">
        <f t="shared" si="46"/>
        <v>0</v>
      </c>
      <c r="BG124" s="3298">
        <f t="shared" si="47"/>
        <v>0</v>
      </c>
      <c r="BH124" s="3298">
        <f t="shared" si="48"/>
        <v>0</v>
      </c>
      <c r="BI124" s="3298">
        <f t="shared" si="49"/>
        <v>0</v>
      </c>
      <c r="BJ124" s="3298">
        <f t="shared" si="50"/>
        <v>0</v>
      </c>
      <c r="BK124" s="3298">
        <f t="shared" si="51"/>
        <v>0</v>
      </c>
      <c r="BL124" s="3298">
        <f t="shared" si="52"/>
        <v>0</v>
      </c>
      <c r="BM124" s="3298">
        <f t="shared" si="53"/>
        <v>0</v>
      </c>
      <c r="BN124" s="3298">
        <f t="shared" si="54"/>
        <v>0</v>
      </c>
      <c r="BO124" s="3298">
        <f t="shared" si="55"/>
        <v>0</v>
      </c>
      <c r="BP124" s="3298">
        <f t="shared" si="56"/>
        <v>0</v>
      </c>
      <c r="BQ124" s="3298">
        <f t="shared" si="57"/>
        <v>0</v>
      </c>
      <c r="BR124" s="3298">
        <f t="shared" si="58"/>
        <v>0</v>
      </c>
      <c r="BS124" s="3298">
        <f t="shared" si="59"/>
        <v>0</v>
      </c>
      <c r="BT124" s="3350">
        <f t="shared" si="60"/>
        <v>0</v>
      </c>
    </row>
    <row r="125" spans="1:72">
      <c r="A125" s="1407"/>
      <c r="B125" s="3296"/>
      <c r="C125" s="3296"/>
      <c r="D125" s="3297"/>
      <c r="E125" s="3298">
        <f t="shared" si="61"/>
        <v>0</v>
      </c>
      <c r="F125" s="3299"/>
      <c r="G125" s="3300">
        <f t="shared" si="36"/>
        <v>0</v>
      </c>
      <c r="H125" s="3301">
        <f t="shared" si="37"/>
        <v>0</v>
      </c>
      <c r="I125" s="3308"/>
      <c r="J125" s="3308"/>
      <c r="K125" s="3308"/>
      <c r="L125" s="3308"/>
      <c r="M125" s="3308"/>
      <c r="N125" s="3308"/>
      <c r="O125" s="3308"/>
      <c r="P125" s="3308"/>
      <c r="Q125" s="3308"/>
      <c r="R125" s="3308"/>
      <c r="S125" s="3308"/>
      <c r="T125" s="3308"/>
      <c r="U125" s="3308"/>
      <c r="V125" s="3308"/>
      <c r="W125" s="3308"/>
      <c r="X125" s="3308"/>
      <c r="Y125" s="3308"/>
      <c r="Z125" s="3308"/>
      <c r="AA125" s="3308"/>
      <c r="AB125" s="3308"/>
      <c r="AC125" s="3298">
        <f t="shared" si="38"/>
        <v>0</v>
      </c>
      <c r="AD125" s="3318"/>
      <c r="AE125" s="3318"/>
      <c r="AF125" s="3318"/>
      <c r="AG125" s="3318"/>
      <c r="AH125" s="3318"/>
      <c r="AI125" s="3318"/>
      <c r="AJ125" s="3318"/>
      <c r="AK125" s="3318"/>
      <c r="AL125" s="3318"/>
      <c r="AM125" s="3318"/>
      <c r="AN125" s="3318"/>
      <c r="AO125" s="3318"/>
      <c r="AP125" s="3318"/>
      <c r="AQ125" s="3318"/>
      <c r="AR125" s="3318"/>
      <c r="AS125" s="3318"/>
      <c r="AT125" s="3328"/>
      <c r="AU125" s="3329"/>
      <c r="AV125" s="963">
        <f t="shared" si="62"/>
        <v>0</v>
      </c>
      <c r="AW125" s="963">
        <f t="shared" si="63"/>
        <v>0</v>
      </c>
      <c r="AX125" s="963">
        <f t="shared" si="64"/>
        <v>0</v>
      </c>
      <c r="AY125" s="3343">
        <f t="shared" si="39"/>
        <v>0</v>
      </c>
      <c r="AZ125" s="3298">
        <f t="shared" si="40"/>
        <v>0</v>
      </c>
      <c r="BA125" s="3298">
        <f t="shared" si="41"/>
        <v>0</v>
      </c>
      <c r="BB125" s="3298">
        <f t="shared" si="42"/>
        <v>0</v>
      </c>
      <c r="BC125" s="3298">
        <f t="shared" si="43"/>
        <v>0</v>
      </c>
      <c r="BD125" s="3298">
        <f t="shared" si="44"/>
        <v>0</v>
      </c>
      <c r="BE125" s="3298">
        <f t="shared" si="45"/>
        <v>0</v>
      </c>
      <c r="BF125" s="3298">
        <f t="shared" si="46"/>
        <v>0</v>
      </c>
      <c r="BG125" s="3298">
        <f t="shared" si="47"/>
        <v>0</v>
      </c>
      <c r="BH125" s="3298">
        <f t="shared" si="48"/>
        <v>0</v>
      </c>
      <c r="BI125" s="3298">
        <f t="shared" si="49"/>
        <v>0</v>
      </c>
      <c r="BJ125" s="3298">
        <f t="shared" si="50"/>
        <v>0</v>
      </c>
      <c r="BK125" s="3298">
        <f t="shared" si="51"/>
        <v>0</v>
      </c>
      <c r="BL125" s="3298">
        <f t="shared" si="52"/>
        <v>0</v>
      </c>
      <c r="BM125" s="3298">
        <f t="shared" si="53"/>
        <v>0</v>
      </c>
      <c r="BN125" s="3298">
        <f t="shared" si="54"/>
        <v>0</v>
      </c>
      <c r="BO125" s="3298">
        <f t="shared" si="55"/>
        <v>0</v>
      </c>
      <c r="BP125" s="3298">
        <f t="shared" si="56"/>
        <v>0</v>
      </c>
      <c r="BQ125" s="3298">
        <f t="shared" si="57"/>
        <v>0</v>
      </c>
      <c r="BR125" s="3298">
        <f t="shared" si="58"/>
        <v>0</v>
      </c>
      <c r="BS125" s="3298">
        <f t="shared" si="59"/>
        <v>0</v>
      </c>
      <c r="BT125" s="3350">
        <f t="shared" si="60"/>
        <v>0</v>
      </c>
    </row>
    <row r="126" spans="1:72">
      <c r="A126" s="1407"/>
      <c r="B126" s="3296"/>
      <c r="C126" s="3296"/>
      <c r="D126" s="3297"/>
      <c r="E126" s="3298">
        <f t="shared" si="61"/>
        <v>0</v>
      </c>
      <c r="F126" s="3299"/>
      <c r="G126" s="3300">
        <f t="shared" si="36"/>
        <v>0</v>
      </c>
      <c r="H126" s="3301">
        <f t="shared" si="37"/>
        <v>0</v>
      </c>
      <c r="I126" s="3308"/>
      <c r="J126" s="3308"/>
      <c r="K126" s="3308"/>
      <c r="L126" s="3308"/>
      <c r="M126" s="3308"/>
      <c r="N126" s="3308"/>
      <c r="O126" s="3308"/>
      <c r="P126" s="3308"/>
      <c r="Q126" s="3308"/>
      <c r="R126" s="3308"/>
      <c r="S126" s="3308"/>
      <c r="T126" s="3308"/>
      <c r="U126" s="3308"/>
      <c r="V126" s="3308"/>
      <c r="W126" s="3308"/>
      <c r="X126" s="3308"/>
      <c r="Y126" s="3308"/>
      <c r="Z126" s="3308"/>
      <c r="AA126" s="3308"/>
      <c r="AB126" s="3308"/>
      <c r="AC126" s="3298">
        <f t="shared" si="38"/>
        <v>0</v>
      </c>
      <c r="AD126" s="3318"/>
      <c r="AE126" s="3318"/>
      <c r="AF126" s="3318"/>
      <c r="AG126" s="3318"/>
      <c r="AH126" s="3318"/>
      <c r="AI126" s="3318"/>
      <c r="AJ126" s="3318"/>
      <c r="AK126" s="3318"/>
      <c r="AL126" s="3318"/>
      <c r="AM126" s="3318"/>
      <c r="AN126" s="3318"/>
      <c r="AO126" s="3318"/>
      <c r="AP126" s="3318"/>
      <c r="AQ126" s="3318"/>
      <c r="AR126" s="3318"/>
      <c r="AS126" s="3318"/>
      <c r="AT126" s="3328"/>
      <c r="AU126" s="3329"/>
      <c r="AV126" s="963">
        <f t="shared" si="62"/>
        <v>0</v>
      </c>
      <c r="AW126" s="963">
        <f t="shared" si="63"/>
        <v>0</v>
      </c>
      <c r="AX126" s="963">
        <f t="shared" si="64"/>
        <v>0</v>
      </c>
      <c r="AY126" s="3343">
        <f t="shared" si="39"/>
        <v>0</v>
      </c>
      <c r="AZ126" s="3298">
        <f t="shared" si="40"/>
        <v>0</v>
      </c>
      <c r="BA126" s="3298">
        <f t="shared" si="41"/>
        <v>0</v>
      </c>
      <c r="BB126" s="3298">
        <f t="shared" si="42"/>
        <v>0</v>
      </c>
      <c r="BC126" s="3298">
        <f t="shared" si="43"/>
        <v>0</v>
      </c>
      <c r="BD126" s="3298">
        <f t="shared" si="44"/>
        <v>0</v>
      </c>
      <c r="BE126" s="3298">
        <f t="shared" si="45"/>
        <v>0</v>
      </c>
      <c r="BF126" s="3298">
        <f t="shared" si="46"/>
        <v>0</v>
      </c>
      <c r="BG126" s="3298">
        <f t="shared" si="47"/>
        <v>0</v>
      </c>
      <c r="BH126" s="3298">
        <f t="shared" si="48"/>
        <v>0</v>
      </c>
      <c r="BI126" s="3298">
        <f t="shared" si="49"/>
        <v>0</v>
      </c>
      <c r="BJ126" s="3298">
        <f t="shared" si="50"/>
        <v>0</v>
      </c>
      <c r="BK126" s="3298">
        <f t="shared" si="51"/>
        <v>0</v>
      </c>
      <c r="BL126" s="3298">
        <f t="shared" si="52"/>
        <v>0</v>
      </c>
      <c r="BM126" s="3298">
        <f t="shared" si="53"/>
        <v>0</v>
      </c>
      <c r="BN126" s="3298">
        <f t="shared" si="54"/>
        <v>0</v>
      </c>
      <c r="BO126" s="3298">
        <f t="shared" si="55"/>
        <v>0</v>
      </c>
      <c r="BP126" s="3298">
        <f t="shared" si="56"/>
        <v>0</v>
      </c>
      <c r="BQ126" s="3298">
        <f t="shared" si="57"/>
        <v>0</v>
      </c>
      <c r="BR126" s="3298">
        <f t="shared" si="58"/>
        <v>0</v>
      </c>
      <c r="BS126" s="3298">
        <f t="shared" si="59"/>
        <v>0</v>
      </c>
      <c r="BT126" s="3350">
        <f t="shared" si="60"/>
        <v>0</v>
      </c>
    </row>
    <row r="127" spans="1:72">
      <c r="A127" s="1407"/>
      <c r="B127" s="3296"/>
      <c r="C127" s="3296"/>
      <c r="D127" s="3297"/>
      <c r="E127" s="3298">
        <f t="shared" si="61"/>
        <v>0</v>
      </c>
      <c r="F127" s="3299"/>
      <c r="G127" s="3300">
        <f t="shared" si="36"/>
        <v>0</v>
      </c>
      <c r="H127" s="3301">
        <f t="shared" si="37"/>
        <v>0</v>
      </c>
      <c r="I127" s="3308"/>
      <c r="J127" s="3308"/>
      <c r="K127" s="3308"/>
      <c r="L127" s="3308"/>
      <c r="M127" s="3308"/>
      <c r="N127" s="3308"/>
      <c r="O127" s="3308"/>
      <c r="P127" s="3308"/>
      <c r="Q127" s="3308"/>
      <c r="R127" s="3308"/>
      <c r="S127" s="3308"/>
      <c r="T127" s="3308"/>
      <c r="U127" s="3308"/>
      <c r="V127" s="3308"/>
      <c r="W127" s="3308"/>
      <c r="X127" s="3308"/>
      <c r="Y127" s="3308"/>
      <c r="Z127" s="3308"/>
      <c r="AA127" s="3308"/>
      <c r="AB127" s="3308"/>
      <c r="AC127" s="3298">
        <f t="shared" si="38"/>
        <v>0</v>
      </c>
      <c r="AD127" s="3318"/>
      <c r="AE127" s="3318"/>
      <c r="AF127" s="3318"/>
      <c r="AG127" s="3318"/>
      <c r="AH127" s="3318"/>
      <c r="AI127" s="3318"/>
      <c r="AJ127" s="3318"/>
      <c r="AK127" s="3318"/>
      <c r="AL127" s="3318"/>
      <c r="AM127" s="3318"/>
      <c r="AN127" s="3318"/>
      <c r="AO127" s="3318"/>
      <c r="AP127" s="3318"/>
      <c r="AQ127" s="3318"/>
      <c r="AR127" s="3318"/>
      <c r="AS127" s="3318"/>
      <c r="AT127" s="3328"/>
      <c r="AU127" s="3329"/>
      <c r="AV127" s="963">
        <f t="shared" si="62"/>
        <v>0</v>
      </c>
      <c r="AW127" s="963">
        <f t="shared" si="63"/>
        <v>0</v>
      </c>
      <c r="AX127" s="963">
        <f t="shared" si="64"/>
        <v>0</v>
      </c>
      <c r="AY127" s="3343">
        <f t="shared" si="39"/>
        <v>0</v>
      </c>
      <c r="AZ127" s="3298">
        <f t="shared" si="40"/>
        <v>0</v>
      </c>
      <c r="BA127" s="3298">
        <f t="shared" si="41"/>
        <v>0</v>
      </c>
      <c r="BB127" s="3298">
        <f t="shared" si="42"/>
        <v>0</v>
      </c>
      <c r="BC127" s="3298">
        <f t="shared" si="43"/>
        <v>0</v>
      </c>
      <c r="BD127" s="3298">
        <f t="shared" si="44"/>
        <v>0</v>
      </c>
      <c r="BE127" s="3298">
        <f t="shared" si="45"/>
        <v>0</v>
      </c>
      <c r="BF127" s="3298">
        <f t="shared" si="46"/>
        <v>0</v>
      </c>
      <c r="BG127" s="3298">
        <f t="shared" si="47"/>
        <v>0</v>
      </c>
      <c r="BH127" s="3298">
        <f t="shared" si="48"/>
        <v>0</v>
      </c>
      <c r="BI127" s="3298">
        <f t="shared" si="49"/>
        <v>0</v>
      </c>
      <c r="BJ127" s="3298">
        <f t="shared" si="50"/>
        <v>0</v>
      </c>
      <c r="BK127" s="3298">
        <f t="shared" si="51"/>
        <v>0</v>
      </c>
      <c r="BL127" s="3298">
        <f t="shared" si="52"/>
        <v>0</v>
      </c>
      <c r="BM127" s="3298">
        <f t="shared" si="53"/>
        <v>0</v>
      </c>
      <c r="BN127" s="3298">
        <f t="shared" si="54"/>
        <v>0</v>
      </c>
      <c r="BO127" s="3298">
        <f t="shared" si="55"/>
        <v>0</v>
      </c>
      <c r="BP127" s="3298">
        <f t="shared" si="56"/>
        <v>0</v>
      </c>
      <c r="BQ127" s="3298">
        <f t="shared" si="57"/>
        <v>0</v>
      </c>
      <c r="BR127" s="3298">
        <f t="shared" si="58"/>
        <v>0</v>
      </c>
      <c r="BS127" s="3298">
        <f t="shared" si="59"/>
        <v>0</v>
      </c>
      <c r="BT127" s="3350">
        <f t="shared" si="60"/>
        <v>0</v>
      </c>
    </row>
    <row r="128" spans="1:72">
      <c r="A128" s="1407"/>
      <c r="B128" s="3296"/>
      <c r="C128" s="3296"/>
      <c r="D128" s="3297"/>
      <c r="E128" s="3298">
        <f t="shared" si="61"/>
        <v>0</v>
      </c>
      <c r="F128" s="3299"/>
      <c r="G128" s="3300">
        <f t="shared" si="36"/>
        <v>0</v>
      </c>
      <c r="H128" s="3301">
        <f t="shared" si="37"/>
        <v>0</v>
      </c>
      <c r="I128" s="3308"/>
      <c r="J128" s="3308"/>
      <c r="K128" s="3308"/>
      <c r="L128" s="3308"/>
      <c r="M128" s="3308"/>
      <c r="N128" s="3308"/>
      <c r="O128" s="3308"/>
      <c r="P128" s="3308"/>
      <c r="Q128" s="3308"/>
      <c r="R128" s="3308"/>
      <c r="S128" s="3308"/>
      <c r="T128" s="3308"/>
      <c r="U128" s="3308"/>
      <c r="V128" s="3308"/>
      <c r="W128" s="3308"/>
      <c r="X128" s="3308"/>
      <c r="Y128" s="3308"/>
      <c r="Z128" s="3308"/>
      <c r="AA128" s="3308"/>
      <c r="AB128" s="3308"/>
      <c r="AC128" s="3298">
        <f t="shared" si="38"/>
        <v>0</v>
      </c>
      <c r="AD128" s="3318"/>
      <c r="AE128" s="3318"/>
      <c r="AF128" s="3318"/>
      <c r="AG128" s="3318"/>
      <c r="AH128" s="3318"/>
      <c r="AI128" s="3318"/>
      <c r="AJ128" s="3318"/>
      <c r="AK128" s="3318"/>
      <c r="AL128" s="3318"/>
      <c r="AM128" s="3318"/>
      <c r="AN128" s="3318"/>
      <c r="AO128" s="3318"/>
      <c r="AP128" s="3318"/>
      <c r="AQ128" s="3318"/>
      <c r="AR128" s="3318"/>
      <c r="AS128" s="3318"/>
      <c r="AT128" s="3328"/>
      <c r="AU128" s="3329"/>
      <c r="AV128" s="963">
        <f t="shared" si="62"/>
        <v>0</v>
      </c>
      <c r="AW128" s="963">
        <f t="shared" si="63"/>
        <v>0</v>
      </c>
      <c r="AX128" s="963">
        <f t="shared" si="64"/>
        <v>0</v>
      </c>
      <c r="AY128" s="3343">
        <f t="shared" si="39"/>
        <v>0</v>
      </c>
      <c r="AZ128" s="3298">
        <f t="shared" si="40"/>
        <v>0</v>
      </c>
      <c r="BA128" s="3298">
        <f t="shared" si="41"/>
        <v>0</v>
      </c>
      <c r="BB128" s="3298">
        <f t="shared" si="42"/>
        <v>0</v>
      </c>
      <c r="BC128" s="3298">
        <f t="shared" si="43"/>
        <v>0</v>
      </c>
      <c r="BD128" s="3298">
        <f t="shared" si="44"/>
        <v>0</v>
      </c>
      <c r="BE128" s="3298">
        <f t="shared" si="45"/>
        <v>0</v>
      </c>
      <c r="BF128" s="3298">
        <f t="shared" si="46"/>
        <v>0</v>
      </c>
      <c r="BG128" s="3298">
        <f t="shared" si="47"/>
        <v>0</v>
      </c>
      <c r="BH128" s="3298">
        <f t="shared" si="48"/>
        <v>0</v>
      </c>
      <c r="BI128" s="3298">
        <f t="shared" si="49"/>
        <v>0</v>
      </c>
      <c r="BJ128" s="3298">
        <f t="shared" si="50"/>
        <v>0</v>
      </c>
      <c r="BK128" s="3298">
        <f t="shared" si="51"/>
        <v>0</v>
      </c>
      <c r="BL128" s="3298">
        <f t="shared" si="52"/>
        <v>0</v>
      </c>
      <c r="BM128" s="3298">
        <f t="shared" si="53"/>
        <v>0</v>
      </c>
      <c r="BN128" s="3298">
        <f t="shared" si="54"/>
        <v>0</v>
      </c>
      <c r="BO128" s="3298">
        <f t="shared" si="55"/>
        <v>0</v>
      </c>
      <c r="BP128" s="3298">
        <f t="shared" si="56"/>
        <v>0</v>
      </c>
      <c r="BQ128" s="3298">
        <f t="shared" si="57"/>
        <v>0</v>
      </c>
      <c r="BR128" s="3298">
        <f t="shared" si="58"/>
        <v>0</v>
      </c>
      <c r="BS128" s="3298">
        <f t="shared" si="59"/>
        <v>0</v>
      </c>
      <c r="BT128" s="3350">
        <f t="shared" si="60"/>
        <v>0</v>
      </c>
    </row>
    <row r="129" spans="1:72">
      <c r="A129" s="1407"/>
      <c r="B129" s="3296"/>
      <c r="C129" s="3296"/>
      <c r="D129" s="3297"/>
      <c r="E129" s="3298">
        <f t="shared" si="61"/>
        <v>0</v>
      </c>
      <c r="F129" s="3299"/>
      <c r="G129" s="3300">
        <f t="shared" si="36"/>
        <v>0</v>
      </c>
      <c r="H129" s="3301">
        <f t="shared" si="37"/>
        <v>0</v>
      </c>
      <c r="I129" s="3308"/>
      <c r="J129" s="3308"/>
      <c r="K129" s="3308"/>
      <c r="L129" s="3308"/>
      <c r="M129" s="3308"/>
      <c r="N129" s="3308"/>
      <c r="O129" s="3308"/>
      <c r="P129" s="3308"/>
      <c r="Q129" s="3308"/>
      <c r="R129" s="3308"/>
      <c r="S129" s="3308"/>
      <c r="T129" s="3308"/>
      <c r="U129" s="3308"/>
      <c r="V129" s="3308"/>
      <c r="W129" s="3308"/>
      <c r="X129" s="3308"/>
      <c r="Y129" s="3308"/>
      <c r="Z129" s="3308"/>
      <c r="AA129" s="3308"/>
      <c r="AB129" s="3308"/>
      <c r="AC129" s="3298">
        <f t="shared" si="38"/>
        <v>0</v>
      </c>
      <c r="AD129" s="3318"/>
      <c r="AE129" s="3318"/>
      <c r="AF129" s="3318"/>
      <c r="AG129" s="3318"/>
      <c r="AH129" s="3318"/>
      <c r="AI129" s="3318"/>
      <c r="AJ129" s="3318"/>
      <c r="AK129" s="3318"/>
      <c r="AL129" s="3318"/>
      <c r="AM129" s="3318"/>
      <c r="AN129" s="3318"/>
      <c r="AO129" s="3318"/>
      <c r="AP129" s="3318"/>
      <c r="AQ129" s="3318"/>
      <c r="AR129" s="3318"/>
      <c r="AS129" s="3318"/>
      <c r="AT129" s="3328"/>
      <c r="AU129" s="3329"/>
      <c r="AV129" s="963">
        <f t="shared" si="62"/>
        <v>0</v>
      </c>
      <c r="AW129" s="963">
        <f t="shared" si="63"/>
        <v>0</v>
      </c>
      <c r="AX129" s="963">
        <f t="shared" si="64"/>
        <v>0</v>
      </c>
      <c r="AY129" s="3343">
        <f t="shared" si="39"/>
        <v>0</v>
      </c>
      <c r="AZ129" s="3298">
        <f t="shared" si="40"/>
        <v>0</v>
      </c>
      <c r="BA129" s="3298">
        <f t="shared" si="41"/>
        <v>0</v>
      </c>
      <c r="BB129" s="3298">
        <f t="shared" si="42"/>
        <v>0</v>
      </c>
      <c r="BC129" s="3298">
        <f t="shared" si="43"/>
        <v>0</v>
      </c>
      <c r="BD129" s="3298">
        <f t="shared" si="44"/>
        <v>0</v>
      </c>
      <c r="BE129" s="3298">
        <f t="shared" si="45"/>
        <v>0</v>
      </c>
      <c r="BF129" s="3298">
        <f t="shared" si="46"/>
        <v>0</v>
      </c>
      <c r="BG129" s="3298">
        <f t="shared" si="47"/>
        <v>0</v>
      </c>
      <c r="BH129" s="3298">
        <f t="shared" si="48"/>
        <v>0</v>
      </c>
      <c r="BI129" s="3298">
        <f t="shared" si="49"/>
        <v>0</v>
      </c>
      <c r="BJ129" s="3298">
        <f t="shared" si="50"/>
        <v>0</v>
      </c>
      <c r="BK129" s="3298">
        <f t="shared" si="51"/>
        <v>0</v>
      </c>
      <c r="BL129" s="3298">
        <f t="shared" si="52"/>
        <v>0</v>
      </c>
      <c r="BM129" s="3298">
        <f t="shared" si="53"/>
        <v>0</v>
      </c>
      <c r="BN129" s="3298">
        <f t="shared" si="54"/>
        <v>0</v>
      </c>
      <c r="BO129" s="3298">
        <f t="shared" si="55"/>
        <v>0</v>
      </c>
      <c r="BP129" s="3298">
        <f t="shared" si="56"/>
        <v>0</v>
      </c>
      <c r="BQ129" s="3298">
        <f t="shared" si="57"/>
        <v>0</v>
      </c>
      <c r="BR129" s="3298">
        <f t="shared" si="58"/>
        <v>0</v>
      </c>
      <c r="BS129" s="3298">
        <f t="shared" si="59"/>
        <v>0</v>
      </c>
      <c r="BT129" s="3350">
        <f t="shared" si="60"/>
        <v>0</v>
      </c>
    </row>
    <row r="130" spans="1:72">
      <c r="A130" s="1407"/>
      <c r="B130" s="3296"/>
      <c r="C130" s="3296"/>
      <c r="D130" s="3297"/>
      <c r="E130" s="3298">
        <f t="shared" si="61"/>
        <v>0</v>
      </c>
      <c r="F130" s="3299"/>
      <c r="G130" s="3300">
        <f t="shared" si="36"/>
        <v>0</v>
      </c>
      <c r="H130" s="3301">
        <f t="shared" si="37"/>
        <v>0</v>
      </c>
      <c r="I130" s="3308"/>
      <c r="J130" s="3308"/>
      <c r="K130" s="3308"/>
      <c r="L130" s="3308"/>
      <c r="M130" s="3308"/>
      <c r="N130" s="3308"/>
      <c r="O130" s="3308"/>
      <c r="P130" s="3308"/>
      <c r="Q130" s="3308"/>
      <c r="R130" s="3308"/>
      <c r="S130" s="3308"/>
      <c r="T130" s="3308"/>
      <c r="U130" s="3308"/>
      <c r="V130" s="3308"/>
      <c r="W130" s="3308"/>
      <c r="X130" s="3308"/>
      <c r="Y130" s="3308"/>
      <c r="Z130" s="3308"/>
      <c r="AA130" s="3308"/>
      <c r="AB130" s="3308"/>
      <c r="AC130" s="3298">
        <f t="shared" si="38"/>
        <v>0</v>
      </c>
      <c r="AD130" s="3318"/>
      <c r="AE130" s="3318"/>
      <c r="AF130" s="3318"/>
      <c r="AG130" s="3318"/>
      <c r="AH130" s="3318"/>
      <c r="AI130" s="3318"/>
      <c r="AJ130" s="3318"/>
      <c r="AK130" s="3318"/>
      <c r="AL130" s="3318"/>
      <c r="AM130" s="3318"/>
      <c r="AN130" s="3318"/>
      <c r="AO130" s="3318"/>
      <c r="AP130" s="3318"/>
      <c r="AQ130" s="3318"/>
      <c r="AR130" s="3318"/>
      <c r="AS130" s="3318"/>
      <c r="AT130" s="3328"/>
      <c r="AU130" s="3329"/>
      <c r="AV130" s="963">
        <f t="shared" si="62"/>
        <v>0</v>
      </c>
      <c r="AW130" s="963">
        <f t="shared" si="63"/>
        <v>0</v>
      </c>
      <c r="AX130" s="963">
        <f t="shared" si="64"/>
        <v>0</v>
      </c>
      <c r="AY130" s="3343">
        <f t="shared" si="39"/>
        <v>0</v>
      </c>
      <c r="AZ130" s="3298">
        <f t="shared" si="40"/>
        <v>0</v>
      </c>
      <c r="BA130" s="3298">
        <f t="shared" si="41"/>
        <v>0</v>
      </c>
      <c r="BB130" s="3298">
        <f t="shared" si="42"/>
        <v>0</v>
      </c>
      <c r="BC130" s="3298">
        <f t="shared" si="43"/>
        <v>0</v>
      </c>
      <c r="BD130" s="3298">
        <f t="shared" si="44"/>
        <v>0</v>
      </c>
      <c r="BE130" s="3298">
        <f t="shared" si="45"/>
        <v>0</v>
      </c>
      <c r="BF130" s="3298">
        <f t="shared" si="46"/>
        <v>0</v>
      </c>
      <c r="BG130" s="3298">
        <f t="shared" si="47"/>
        <v>0</v>
      </c>
      <c r="BH130" s="3298">
        <f t="shared" si="48"/>
        <v>0</v>
      </c>
      <c r="BI130" s="3298">
        <f t="shared" si="49"/>
        <v>0</v>
      </c>
      <c r="BJ130" s="3298">
        <f t="shared" si="50"/>
        <v>0</v>
      </c>
      <c r="BK130" s="3298">
        <f t="shared" si="51"/>
        <v>0</v>
      </c>
      <c r="BL130" s="3298">
        <f t="shared" si="52"/>
        <v>0</v>
      </c>
      <c r="BM130" s="3298">
        <f t="shared" si="53"/>
        <v>0</v>
      </c>
      <c r="BN130" s="3298">
        <f t="shared" si="54"/>
        <v>0</v>
      </c>
      <c r="BO130" s="3298">
        <f t="shared" si="55"/>
        <v>0</v>
      </c>
      <c r="BP130" s="3298">
        <f t="shared" si="56"/>
        <v>0</v>
      </c>
      <c r="BQ130" s="3298">
        <f t="shared" si="57"/>
        <v>0</v>
      </c>
      <c r="BR130" s="3298">
        <f t="shared" si="58"/>
        <v>0</v>
      </c>
      <c r="BS130" s="3298">
        <f t="shared" si="59"/>
        <v>0</v>
      </c>
      <c r="BT130" s="3350">
        <f t="shared" si="60"/>
        <v>0</v>
      </c>
    </row>
    <row r="131" spans="1:72">
      <c r="A131" s="1407"/>
      <c r="B131" s="3296"/>
      <c r="C131" s="3296"/>
      <c r="D131" s="3297"/>
      <c r="E131" s="3298">
        <f t="shared" si="61"/>
        <v>0</v>
      </c>
      <c r="F131" s="3299"/>
      <c r="G131" s="3300">
        <f t="shared" si="36"/>
        <v>0</v>
      </c>
      <c r="H131" s="3301">
        <f t="shared" si="37"/>
        <v>0</v>
      </c>
      <c r="I131" s="3308"/>
      <c r="J131" s="3308"/>
      <c r="K131" s="3308"/>
      <c r="L131" s="3308"/>
      <c r="M131" s="3308"/>
      <c r="N131" s="3308"/>
      <c r="O131" s="3308"/>
      <c r="P131" s="3308"/>
      <c r="Q131" s="3308"/>
      <c r="R131" s="3308"/>
      <c r="S131" s="3308"/>
      <c r="T131" s="3308"/>
      <c r="U131" s="3308"/>
      <c r="V131" s="3308"/>
      <c r="W131" s="3308"/>
      <c r="X131" s="3308"/>
      <c r="Y131" s="3308"/>
      <c r="Z131" s="3308"/>
      <c r="AA131" s="3308"/>
      <c r="AB131" s="3308"/>
      <c r="AC131" s="3298">
        <f t="shared" si="38"/>
        <v>0</v>
      </c>
      <c r="AD131" s="3318"/>
      <c r="AE131" s="3318"/>
      <c r="AF131" s="3318"/>
      <c r="AG131" s="3318"/>
      <c r="AH131" s="3318"/>
      <c r="AI131" s="3318"/>
      <c r="AJ131" s="3318"/>
      <c r="AK131" s="3318"/>
      <c r="AL131" s="3318"/>
      <c r="AM131" s="3318"/>
      <c r="AN131" s="3318"/>
      <c r="AO131" s="3318"/>
      <c r="AP131" s="3318"/>
      <c r="AQ131" s="3318"/>
      <c r="AR131" s="3318"/>
      <c r="AS131" s="3318"/>
      <c r="AT131" s="3328"/>
      <c r="AU131" s="3329"/>
      <c r="AV131" s="963">
        <f t="shared" si="62"/>
        <v>0</v>
      </c>
      <c r="AW131" s="963">
        <f t="shared" si="63"/>
        <v>0</v>
      </c>
      <c r="AX131" s="963">
        <f t="shared" si="64"/>
        <v>0</v>
      </c>
      <c r="AY131" s="3343">
        <f t="shared" si="39"/>
        <v>0</v>
      </c>
      <c r="AZ131" s="3298">
        <f t="shared" si="40"/>
        <v>0</v>
      </c>
      <c r="BA131" s="3298">
        <f t="shared" si="41"/>
        <v>0</v>
      </c>
      <c r="BB131" s="3298">
        <f t="shared" si="42"/>
        <v>0</v>
      </c>
      <c r="BC131" s="3298">
        <f t="shared" si="43"/>
        <v>0</v>
      </c>
      <c r="BD131" s="3298">
        <f t="shared" si="44"/>
        <v>0</v>
      </c>
      <c r="BE131" s="3298">
        <f t="shared" si="45"/>
        <v>0</v>
      </c>
      <c r="BF131" s="3298">
        <f t="shared" si="46"/>
        <v>0</v>
      </c>
      <c r="BG131" s="3298">
        <f t="shared" si="47"/>
        <v>0</v>
      </c>
      <c r="BH131" s="3298">
        <f t="shared" si="48"/>
        <v>0</v>
      </c>
      <c r="BI131" s="3298">
        <f t="shared" si="49"/>
        <v>0</v>
      </c>
      <c r="BJ131" s="3298">
        <f t="shared" si="50"/>
        <v>0</v>
      </c>
      <c r="BK131" s="3298">
        <f t="shared" si="51"/>
        <v>0</v>
      </c>
      <c r="BL131" s="3298">
        <f t="shared" si="52"/>
        <v>0</v>
      </c>
      <c r="BM131" s="3298">
        <f t="shared" si="53"/>
        <v>0</v>
      </c>
      <c r="BN131" s="3298">
        <f t="shared" si="54"/>
        <v>0</v>
      </c>
      <c r="BO131" s="3298">
        <f t="shared" si="55"/>
        <v>0</v>
      </c>
      <c r="BP131" s="3298">
        <f t="shared" si="56"/>
        <v>0</v>
      </c>
      <c r="BQ131" s="3298">
        <f t="shared" si="57"/>
        <v>0</v>
      </c>
      <c r="BR131" s="3298">
        <f t="shared" si="58"/>
        <v>0</v>
      </c>
      <c r="BS131" s="3298">
        <f t="shared" si="59"/>
        <v>0</v>
      </c>
      <c r="BT131" s="3350">
        <f t="shared" si="60"/>
        <v>0</v>
      </c>
    </row>
    <row r="132" spans="1:72">
      <c r="A132" s="1407"/>
      <c r="B132" s="3296"/>
      <c r="C132" s="3296"/>
      <c r="D132" s="3297"/>
      <c r="E132" s="3298">
        <f t="shared" si="61"/>
        <v>0</v>
      </c>
      <c r="F132" s="3299"/>
      <c r="G132" s="3300">
        <f t="shared" si="36"/>
        <v>0</v>
      </c>
      <c r="H132" s="3301">
        <f t="shared" si="37"/>
        <v>0</v>
      </c>
      <c r="I132" s="3308"/>
      <c r="J132" s="3308"/>
      <c r="K132" s="3308"/>
      <c r="L132" s="3308"/>
      <c r="M132" s="3308"/>
      <c r="N132" s="3308"/>
      <c r="O132" s="3308"/>
      <c r="P132" s="3308"/>
      <c r="Q132" s="3308"/>
      <c r="R132" s="3308"/>
      <c r="S132" s="3308"/>
      <c r="T132" s="3308"/>
      <c r="U132" s="3308"/>
      <c r="V132" s="3308"/>
      <c r="W132" s="3308"/>
      <c r="X132" s="3308"/>
      <c r="Y132" s="3308"/>
      <c r="Z132" s="3308"/>
      <c r="AA132" s="3308"/>
      <c r="AB132" s="3308"/>
      <c r="AC132" s="3298">
        <f t="shared" si="38"/>
        <v>0</v>
      </c>
      <c r="AD132" s="3318"/>
      <c r="AE132" s="3318"/>
      <c r="AF132" s="3318"/>
      <c r="AG132" s="3318"/>
      <c r="AH132" s="3318"/>
      <c r="AI132" s="3318"/>
      <c r="AJ132" s="3318"/>
      <c r="AK132" s="3318"/>
      <c r="AL132" s="3318"/>
      <c r="AM132" s="3318"/>
      <c r="AN132" s="3318"/>
      <c r="AO132" s="3318"/>
      <c r="AP132" s="3318"/>
      <c r="AQ132" s="3318"/>
      <c r="AR132" s="3318"/>
      <c r="AS132" s="3318"/>
      <c r="AT132" s="3328"/>
      <c r="AU132" s="3329"/>
      <c r="AV132" s="963">
        <f t="shared" si="62"/>
        <v>0</v>
      </c>
      <c r="AW132" s="963">
        <f t="shared" si="63"/>
        <v>0</v>
      </c>
      <c r="AX132" s="963">
        <f t="shared" si="64"/>
        <v>0</v>
      </c>
      <c r="AY132" s="3343">
        <f t="shared" si="39"/>
        <v>0</v>
      </c>
      <c r="AZ132" s="3298">
        <f t="shared" si="40"/>
        <v>0</v>
      </c>
      <c r="BA132" s="3298">
        <f t="shared" si="41"/>
        <v>0</v>
      </c>
      <c r="BB132" s="3298">
        <f t="shared" si="42"/>
        <v>0</v>
      </c>
      <c r="BC132" s="3298">
        <f t="shared" si="43"/>
        <v>0</v>
      </c>
      <c r="BD132" s="3298">
        <f t="shared" si="44"/>
        <v>0</v>
      </c>
      <c r="BE132" s="3298">
        <f t="shared" si="45"/>
        <v>0</v>
      </c>
      <c r="BF132" s="3298">
        <f t="shared" si="46"/>
        <v>0</v>
      </c>
      <c r="BG132" s="3298">
        <f t="shared" si="47"/>
        <v>0</v>
      </c>
      <c r="BH132" s="3298">
        <f t="shared" si="48"/>
        <v>0</v>
      </c>
      <c r="BI132" s="3298">
        <f t="shared" si="49"/>
        <v>0</v>
      </c>
      <c r="BJ132" s="3298">
        <f t="shared" si="50"/>
        <v>0</v>
      </c>
      <c r="BK132" s="3298">
        <f t="shared" si="51"/>
        <v>0</v>
      </c>
      <c r="BL132" s="3298">
        <f t="shared" si="52"/>
        <v>0</v>
      </c>
      <c r="BM132" s="3298">
        <f t="shared" si="53"/>
        <v>0</v>
      </c>
      <c r="BN132" s="3298">
        <f t="shared" si="54"/>
        <v>0</v>
      </c>
      <c r="BO132" s="3298">
        <f t="shared" si="55"/>
        <v>0</v>
      </c>
      <c r="BP132" s="3298">
        <f t="shared" si="56"/>
        <v>0</v>
      </c>
      <c r="BQ132" s="3298">
        <f t="shared" si="57"/>
        <v>0</v>
      </c>
      <c r="BR132" s="3298">
        <f t="shared" si="58"/>
        <v>0</v>
      </c>
      <c r="BS132" s="3298">
        <f t="shared" si="59"/>
        <v>0</v>
      </c>
      <c r="BT132" s="3350">
        <f t="shared" si="60"/>
        <v>0</v>
      </c>
    </row>
    <row r="133" spans="1:72">
      <c r="A133" s="1407"/>
      <c r="B133" s="3296"/>
      <c r="C133" s="3296"/>
      <c r="D133" s="3297"/>
      <c r="E133" s="3298">
        <f t="shared" si="61"/>
        <v>0</v>
      </c>
      <c r="F133" s="3299"/>
      <c r="G133" s="3300">
        <f t="shared" si="36"/>
        <v>0</v>
      </c>
      <c r="H133" s="3301">
        <f t="shared" si="37"/>
        <v>0</v>
      </c>
      <c r="I133" s="3308"/>
      <c r="J133" s="3308"/>
      <c r="K133" s="3308"/>
      <c r="L133" s="3308"/>
      <c r="M133" s="3308"/>
      <c r="N133" s="3308"/>
      <c r="O133" s="3308"/>
      <c r="P133" s="3308"/>
      <c r="Q133" s="3308"/>
      <c r="R133" s="3308"/>
      <c r="S133" s="3308"/>
      <c r="T133" s="3308"/>
      <c r="U133" s="3308"/>
      <c r="V133" s="3308"/>
      <c r="W133" s="3308"/>
      <c r="X133" s="3308"/>
      <c r="Y133" s="3308"/>
      <c r="Z133" s="3308"/>
      <c r="AA133" s="3308"/>
      <c r="AB133" s="3308"/>
      <c r="AC133" s="3298">
        <f t="shared" si="38"/>
        <v>0</v>
      </c>
      <c r="AD133" s="3318"/>
      <c r="AE133" s="3318"/>
      <c r="AF133" s="3318"/>
      <c r="AG133" s="3318"/>
      <c r="AH133" s="3318"/>
      <c r="AI133" s="3318"/>
      <c r="AJ133" s="3318"/>
      <c r="AK133" s="3318"/>
      <c r="AL133" s="3318"/>
      <c r="AM133" s="3318"/>
      <c r="AN133" s="3318"/>
      <c r="AO133" s="3318"/>
      <c r="AP133" s="3318"/>
      <c r="AQ133" s="3318"/>
      <c r="AR133" s="3318"/>
      <c r="AS133" s="3318"/>
      <c r="AT133" s="3328"/>
      <c r="AU133" s="3329"/>
      <c r="AV133" s="963">
        <f t="shared" si="62"/>
        <v>0</v>
      </c>
      <c r="AW133" s="963">
        <f t="shared" si="63"/>
        <v>0</v>
      </c>
      <c r="AX133" s="963">
        <f t="shared" si="64"/>
        <v>0</v>
      </c>
      <c r="AY133" s="3343">
        <f t="shared" si="39"/>
        <v>0</v>
      </c>
      <c r="AZ133" s="3298">
        <f t="shared" si="40"/>
        <v>0</v>
      </c>
      <c r="BA133" s="3298">
        <f t="shared" si="41"/>
        <v>0</v>
      </c>
      <c r="BB133" s="3298">
        <f t="shared" si="42"/>
        <v>0</v>
      </c>
      <c r="BC133" s="3298">
        <f t="shared" si="43"/>
        <v>0</v>
      </c>
      <c r="BD133" s="3298">
        <f t="shared" si="44"/>
        <v>0</v>
      </c>
      <c r="BE133" s="3298">
        <f t="shared" si="45"/>
        <v>0</v>
      </c>
      <c r="BF133" s="3298">
        <f t="shared" si="46"/>
        <v>0</v>
      </c>
      <c r="BG133" s="3298">
        <f t="shared" si="47"/>
        <v>0</v>
      </c>
      <c r="BH133" s="3298">
        <f t="shared" si="48"/>
        <v>0</v>
      </c>
      <c r="BI133" s="3298">
        <f t="shared" si="49"/>
        <v>0</v>
      </c>
      <c r="BJ133" s="3298">
        <f t="shared" si="50"/>
        <v>0</v>
      </c>
      <c r="BK133" s="3298">
        <f t="shared" si="51"/>
        <v>0</v>
      </c>
      <c r="BL133" s="3298">
        <f t="shared" si="52"/>
        <v>0</v>
      </c>
      <c r="BM133" s="3298">
        <f t="shared" si="53"/>
        <v>0</v>
      </c>
      <c r="BN133" s="3298">
        <f t="shared" si="54"/>
        <v>0</v>
      </c>
      <c r="BO133" s="3298">
        <f t="shared" si="55"/>
        <v>0</v>
      </c>
      <c r="BP133" s="3298">
        <f t="shared" si="56"/>
        <v>0</v>
      </c>
      <c r="BQ133" s="3298">
        <f t="shared" si="57"/>
        <v>0</v>
      </c>
      <c r="BR133" s="3298">
        <f t="shared" si="58"/>
        <v>0</v>
      </c>
      <c r="BS133" s="3298">
        <f t="shared" si="59"/>
        <v>0</v>
      </c>
      <c r="BT133" s="3350">
        <f t="shared" si="60"/>
        <v>0</v>
      </c>
    </row>
    <row r="134" spans="1:72">
      <c r="A134" s="1407"/>
      <c r="B134" s="3296"/>
      <c r="C134" s="3296"/>
      <c r="D134" s="3297"/>
      <c r="E134" s="3298">
        <f t="shared" si="61"/>
        <v>0</v>
      </c>
      <c r="F134" s="3299"/>
      <c r="G134" s="3300">
        <f t="shared" si="36"/>
        <v>0</v>
      </c>
      <c r="H134" s="3301">
        <f t="shared" si="37"/>
        <v>0</v>
      </c>
      <c r="I134" s="3308"/>
      <c r="J134" s="3308"/>
      <c r="K134" s="3308"/>
      <c r="L134" s="3308"/>
      <c r="M134" s="3308"/>
      <c r="N134" s="3308"/>
      <c r="O134" s="3308"/>
      <c r="P134" s="3308"/>
      <c r="Q134" s="3308"/>
      <c r="R134" s="3308"/>
      <c r="S134" s="3308"/>
      <c r="T134" s="3308"/>
      <c r="U134" s="3308"/>
      <c r="V134" s="3308"/>
      <c r="W134" s="3308"/>
      <c r="X134" s="3308"/>
      <c r="Y134" s="3308"/>
      <c r="Z134" s="3308"/>
      <c r="AA134" s="3308"/>
      <c r="AB134" s="3308"/>
      <c r="AC134" s="3298">
        <f t="shared" si="38"/>
        <v>0</v>
      </c>
      <c r="AD134" s="3318"/>
      <c r="AE134" s="3318"/>
      <c r="AF134" s="3318"/>
      <c r="AG134" s="3318"/>
      <c r="AH134" s="3318"/>
      <c r="AI134" s="3318"/>
      <c r="AJ134" s="3318"/>
      <c r="AK134" s="3318"/>
      <c r="AL134" s="3318"/>
      <c r="AM134" s="3318"/>
      <c r="AN134" s="3318"/>
      <c r="AO134" s="3318"/>
      <c r="AP134" s="3318"/>
      <c r="AQ134" s="3318"/>
      <c r="AR134" s="3318"/>
      <c r="AS134" s="3318"/>
      <c r="AT134" s="3328"/>
      <c r="AU134" s="3329"/>
      <c r="AV134" s="963">
        <f t="shared" si="62"/>
        <v>0</v>
      </c>
      <c r="AW134" s="963">
        <f t="shared" si="63"/>
        <v>0</v>
      </c>
      <c r="AX134" s="963">
        <f t="shared" si="64"/>
        <v>0</v>
      </c>
      <c r="AY134" s="3343">
        <f t="shared" si="39"/>
        <v>0</v>
      </c>
      <c r="AZ134" s="3298">
        <f t="shared" si="40"/>
        <v>0</v>
      </c>
      <c r="BA134" s="3298">
        <f t="shared" si="41"/>
        <v>0</v>
      </c>
      <c r="BB134" s="3298">
        <f t="shared" si="42"/>
        <v>0</v>
      </c>
      <c r="BC134" s="3298">
        <f t="shared" si="43"/>
        <v>0</v>
      </c>
      <c r="BD134" s="3298">
        <f t="shared" si="44"/>
        <v>0</v>
      </c>
      <c r="BE134" s="3298">
        <f t="shared" si="45"/>
        <v>0</v>
      </c>
      <c r="BF134" s="3298">
        <f t="shared" si="46"/>
        <v>0</v>
      </c>
      <c r="BG134" s="3298">
        <f t="shared" si="47"/>
        <v>0</v>
      </c>
      <c r="BH134" s="3298">
        <f t="shared" si="48"/>
        <v>0</v>
      </c>
      <c r="BI134" s="3298">
        <f t="shared" si="49"/>
        <v>0</v>
      </c>
      <c r="BJ134" s="3298">
        <f t="shared" si="50"/>
        <v>0</v>
      </c>
      <c r="BK134" s="3298">
        <f t="shared" si="51"/>
        <v>0</v>
      </c>
      <c r="BL134" s="3298">
        <f t="shared" si="52"/>
        <v>0</v>
      </c>
      <c r="BM134" s="3298">
        <f t="shared" si="53"/>
        <v>0</v>
      </c>
      <c r="BN134" s="3298">
        <f t="shared" si="54"/>
        <v>0</v>
      </c>
      <c r="BO134" s="3298">
        <f t="shared" si="55"/>
        <v>0</v>
      </c>
      <c r="BP134" s="3298">
        <f t="shared" si="56"/>
        <v>0</v>
      </c>
      <c r="BQ134" s="3298">
        <f t="shared" si="57"/>
        <v>0</v>
      </c>
      <c r="BR134" s="3298">
        <f t="shared" si="58"/>
        <v>0</v>
      </c>
      <c r="BS134" s="3298">
        <f t="shared" si="59"/>
        <v>0</v>
      </c>
      <c r="BT134" s="3350">
        <f t="shared" si="60"/>
        <v>0</v>
      </c>
    </row>
    <row r="135" spans="1:72">
      <c r="A135" s="1407"/>
      <c r="B135" s="3296"/>
      <c r="C135" s="3296"/>
      <c r="D135" s="3297"/>
      <c r="E135" s="3298">
        <f t="shared" si="61"/>
        <v>0</v>
      </c>
      <c r="F135" s="3299"/>
      <c r="G135" s="3300">
        <f t="shared" si="36"/>
        <v>0</v>
      </c>
      <c r="H135" s="3301">
        <f t="shared" si="37"/>
        <v>0</v>
      </c>
      <c r="I135" s="3308"/>
      <c r="J135" s="3308"/>
      <c r="K135" s="3308"/>
      <c r="L135" s="3308"/>
      <c r="M135" s="3308"/>
      <c r="N135" s="3308"/>
      <c r="O135" s="3308"/>
      <c r="P135" s="3308"/>
      <c r="Q135" s="3308"/>
      <c r="R135" s="3308"/>
      <c r="S135" s="3308"/>
      <c r="T135" s="3308"/>
      <c r="U135" s="3308"/>
      <c r="V135" s="3308"/>
      <c r="W135" s="3308"/>
      <c r="X135" s="3308"/>
      <c r="Y135" s="3308"/>
      <c r="Z135" s="3308"/>
      <c r="AA135" s="3308"/>
      <c r="AB135" s="3308"/>
      <c r="AC135" s="3298">
        <f t="shared" si="38"/>
        <v>0</v>
      </c>
      <c r="AD135" s="3318"/>
      <c r="AE135" s="3318"/>
      <c r="AF135" s="3318"/>
      <c r="AG135" s="3318"/>
      <c r="AH135" s="3318"/>
      <c r="AI135" s="3318"/>
      <c r="AJ135" s="3318"/>
      <c r="AK135" s="3318"/>
      <c r="AL135" s="3318"/>
      <c r="AM135" s="3318"/>
      <c r="AN135" s="3318"/>
      <c r="AO135" s="3318"/>
      <c r="AP135" s="3318"/>
      <c r="AQ135" s="3318"/>
      <c r="AR135" s="3318"/>
      <c r="AS135" s="3318"/>
      <c r="AT135" s="3328"/>
      <c r="AU135" s="3329"/>
      <c r="AV135" s="963">
        <f t="shared" si="62"/>
        <v>0</v>
      </c>
      <c r="AW135" s="963">
        <f t="shared" si="63"/>
        <v>0</v>
      </c>
      <c r="AX135" s="963">
        <f t="shared" si="64"/>
        <v>0</v>
      </c>
      <c r="AY135" s="3343">
        <f t="shared" si="39"/>
        <v>0</v>
      </c>
      <c r="AZ135" s="3298">
        <f t="shared" si="40"/>
        <v>0</v>
      </c>
      <c r="BA135" s="3298">
        <f t="shared" si="41"/>
        <v>0</v>
      </c>
      <c r="BB135" s="3298">
        <f t="shared" si="42"/>
        <v>0</v>
      </c>
      <c r="BC135" s="3298">
        <f t="shared" si="43"/>
        <v>0</v>
      </c>
      <c r="BD135" s="3298">
        <f t="shared" si="44"/>
        <v>0</v>
      </c>
      <c r="BE135" s="3298">
        <f t="shared" si="45"/>
        <v>0</v>
      </c>
      <c r="BF135" s="3298">
        <f t="shared" si="46"/>
        <v>0</v>
      </c>
      <c r="BG135" s="3298">
        <f t="shared" si="47"/>
        <v>0</v>
      </c>
      <c r="BH135" s="3298">
        <f t="shared" si="48"/>
        <v>0</v>
      </c>
      <c r="BI135" s="3298">
        <f t="shared" si="49"/>
        <v>0</v>
      </c>
      <c r="BJ135" s="3298">
        <f t="shared" si="50"/>
        <v>0</v>
      </c>
      <c r="BK135" s="3298">
        <f t="shared" si="51"/>
        <v>0</v>
      </c>
      <c r="BL135" s="3298">
        <f t="shared" si="52"/>
        <v>0</v>
      </c>
      <c r="BM135" s="3298">
        <f t="shared" si="53"/>
        <v>0</v>
      </c>
      <c r="BN135" s="3298">
        <f t="shared" si="54"/>
        <v>0</v>
      </c>
      <c r="BO135" s="3298">
        <f t="shared" si="55"/>
        <v>0</v>
      </c>
      <c r="BP135" s="3298">
        <f t="shared" si="56"/>
        <v>0</v>
      </c>
      <c r="BQ135" s="3298">
        <f t="shared" si="57"/>
        <v>0</v>
      </c>
      <c r="BR135" s="3298">
        <f t="shared" si="58"/>
        <v>0</v>
      </c>
      <c r="BS135" s="3298">
        <f t="shared" si="59"/>
        <v>0</v>
      </c>
      <c r="BT135" s="3350">
        <f t="shared" si="60"/>
        <v>0</v>
      </c>
    </row>
    <row r="136" spans="1:72">
      <c r="A136" s="1407"/>
      <c r="B136" s="3296"/>
      <c r="C136" s="3296"/>
      <c r="D136" s="3297"/>
      <c r="E136" s="3298">
        <f t="shared" si="61"/>
        <v>0</v>
      </c>
      <c r="F136" s="3299"/>
      <c r="G136" s="3300">
        <f t="shared" si="36"/>
        <v>0</v>
      </c>
      <c r="H136" s="3301">
        <f t="shared" si="37"/>
        <v>0</v>
      </c>
      <c r="I136" s="3308"/>
      <c r="J136" s="3308"/>
      <c r="K136" s="3308"/>
      <c r="L136" s="3308"/>
      <c r="M136" s="3308"/>
      <c r="N136" s="3308"/>
      <c r="O136" s="3308"/>
      <c r="P136" s="3308"/>
      <c r="Q136" s="3308"/>
      <c r="R136" s="3308"/>
      <c r="S136" s="3308"/>
      <c r="T136" s="3308"/>
      <c r="U136" s="3308"/>
      <c r="V136" s="3308"/>
      <c r="W136" s="3308"/>
      <c r="X136" s="3308"/>
      <c r="Y136" s="3308"/>
      <c r="Z136" s="3308"/>
      <c r="AA136" s="3308"/>
      <c r="AB136" s="3308"/>
      <c r="AC136" s="3298">
        <f t="shared" si="38"/>
        <v>0</v>
      </c>
      <c r="AD136" s="3318"/>
      <c r="AE136" s="3318"/>
      <c r="AF136" s="3318"/>
      <c r="AG136" s="3318"/>
      <c r="AH136" s="3318"/>
      <c r="AI136" s="3318"/>
      <c r="AJ136" s="3318"/>
      <c r="AK136" s="3318"/>
      <c r="AL136" s="3318"/>
      <c r="AM136" s="3318"/>
      <c r="AN136" s="3318"/>
      <c r="AO136" s="3318"/>
      <c r="AP136" s="3318"/>
      <c r="AQ136" s="3318"/>
      <c r="AR136" s="3318"/>
      <c r="AS136" s="3318"/>
      <c r="AT136" s="3328"/>
      <c r="AU136" s="3329"/>
      <c r="AV136" s="963">
        <f t="shared" si="62"/>
        <v>0</v>
      </c>
      <c r="AW136" s="963">
        <f t="shared" si="63"/>
        <v>0</v>
      </c>
      <c r="AX136" s="963">
        <f t="shared" si="64"/>
        <v>0</v>
      </c>
      <c r="AY136" s="3343">
        <f t="shared" si="39"/>
        <v>0</v>
      </c>
      <c r="AZ136" s="3298">
        <f t="shared" si="40"/>
        <v>0</v>
      </c>
      <c r="BA136" s="3298">
        <f t="shared" si="41"/>
        <v>0</v>
      </c>
      <c r="BB136" s="3298">
        <f t="shared" si="42"/>
        <v>0</v>
      </c>
      <c r="BC136" s="3298">
        <f t="shared" si="43"/>
        <v>0</v>
      </c>
      <c r="BD136" s="3298">
        <f t="shared" si="44"/>
        <v>0</v>
      </c>
      <c r="BE136" s="3298">
        <f t="shared" si="45"/>
        <v>0</v>
      </c>
      <c r="BF136" s="3298">
        <f t="shared" si="46"/>
        <v>0</v>
      </c>
      <c r="BG136" s="3298">
        <f t="shared" si="47"/>
        <v>0</v>
      </c>
      <c r="BH136" s="3298">
        <f t="shared" si="48"/>
        <v>0</v>
      </c>
      <c r="BI136" s="3298">
        <f t="shared" si="49"/>
        <v>0</v>
      </c>
      <c r="BJ136" s="3298">
        <f t="shared" si="50"/>
        <v>0</v>
      </c>
      <c r="BK136" s="3298">
        <f t="shared" si="51"/>
        <v>0</v>
      </c>
      <c r="BL136" s="3298">
        <f t="shared" si="52"/>
        <v>0</v>
      </c>
      <c r="BM136" s="3298">
        <f t="shared" si="53"/>
        <v>0</v>
      </c>
      <c r="BN136" s="3298">
        <f t="shared" si="54"/>
        <v>0</v>
      </c>
      <c r="BO136" s="3298">
        <f t="shared" si="55"/>
        <v>0</v>
      </c>
      <c r="BP136" s="3298">
        <f t="shared" si="56"/>
        <v>0</v>
      </c>
      <c r="BQ136" s="3298">
        <f t="shared" si="57"/>
        <v>0</v>
      </c>
      <c r="BR136" s="3298">
        <f t="shared" si="58"/>
        <v>0</v>
      </c>
      <c r="BS136" s="3298">
        <f t="shared" si="59"/>
        <v>0</v>
      </c>
      <c r="BT136" s="3350">
        <f t="shared" si="60"/>
        <v>0</v>
      </c>
    </row>
    <row r="137" spans="1:72">
      <c r="A137" s="1407"/>
      <c r="B137" s="3296"/>
      <c r="C137" s="3296"/>
      <c r="D137" s="3297"/>
      <c r="E137" s="3298">
        <f t="shared" si="61"/>
        <v>0</v>
      </c>
      <c r="F137" s="3299"/>
      <c r="G137" s="3300">
        <f t="shared" si="36"/>
        <v>0</v>
      </c>
      <c r="H137" s="3301">
        <f t="shared" si="37"/>
        <v>0</v>
      </c>
      <c r="I137" s="3308"/>
      <c r="J137" s="3308"/>
      <c r="K137" s="3308"/>
      <c r="L137" s="3308"/>
      <c r="M137" s="3308"/>
      <c r="N137" s="3308"/>
      <c r="O137" s="3308"/>
      <c r="P137" s="3308"/>
      <c r="Q137" s="3308"/>
      <c r="R137" s="3308"/>
      <c r="S137" s="3308"/>
      <c r="T137" s="3308"/>
      <c r="U137" s="3308"/>
      <c r="V137" s="3308"/>
      <c r="W137" s="3308"/>
      <c r="X137" s="3308"/>
      <c r="Y137" s="3308"/>
      <c r="Z137" s="3308"/>
      <c r="AA137" s="3308"/>
      <c r="AB137" s="3308"/>
      <c r="AC137" s="3298">
        <f t="shared" si="38"/>
        <v>0</v>
      </c>
      <c r="AD137" s="3318"/>
      <c r="AE137" s="3318"/>
      <c r="AF137" s="3318"/>
      <c r="AG137" s="3318"/>
      <c r="AH137" s="3318"/>
      <c r="AI137" s="3318"/>
      <c r="AJ137" s="3318"/>
      <c r="AK137" s="3318"/>
      <c r="AL137" s="3318"/>
      <c r="AM137" s="3318"/>
      <c r="AN137" s="3318"/>
      <c r="AO137" s="3318"/>
      <c r="AP137" s="3318"/>
      <c r="AQ137" s="3318"/>
      <c r="AR137" s="3318"/>
      <c r="AS137" s="3318"/>
      <c r="AT137" s="3328"/>
      <c r="AU137" s="3329"/>
      <c r="AV137" s="963">
        <f t="shared" si="62"/>
        <v>0</v>
      </c>
      <c r="AW137" s="963">
        <f t="shared" si="63"/>
        <v>0</v>
      </c>
      <c r="AX137" s="963">
        <f t="shared" si="64"/>
        <v>0</v>
      </c>
      <c r="AY137" s="3343">
        <f t="shared" si="39"/>
        <v>0</v>
      </c>
      <c r="AZ137" s="3298">
        <f t="shared" si="40"/>
        <v>0</v>
      </c>
      <c r="BA137" s="3298">
        <f t="shared" si="41"/>
        <v>0</v>
      </c>
      <c r="BB137" s="3298">
        <f t="shared" si="42"/>
        <v>0</v>
      </c>
      <c r="BC137" s="3298">
        <f t="shared" si="43"/>
        <v>0</v>
      </c>
      <c r="BD137" s="3298">
        <f t="shared" si="44"/>
        <v>0</v>
      </c>
      <c r="BE137" s="3298">
        <f t="shared" si="45"/>
        <v>0</v>
      </c>
      <c r="BF137" s="3298">
        <f t="shared" si="46"/>
        <v>0</v>
      </c>
      <c r="BG137" s="3298">
        <f t="shared" si="47"/>
        <v>0</v>
      </c>
      <c r="BH137" s="3298">
        <f t="shared" si="48"/>
        <v>0</v>
      </c>
      <c r="BI137" s="3298">
        <f t="shared" si="49"/>
        <v>0</v>
      </c>
      <c r="BJ137" s="3298">
        <f t="shared" si="50"/>
        <v>0</v>
      </c>
      <c r="BK137" s="3298">
        <f t="shared" si="51"/>
        <v>0</v>
      </c>
      <c r="BL137" s="3298">
        <f t="shared" si="52"/>
        <v>0</v>
      </c>
      <c r="BM137" s="3298">
        <f t="shared" si="53"/>
        <v>0</v>
      </c>
      <c r="BN137" s="3298">
        <f t="shared" si="54"/>
        <v>0</v>
      </c>
      <c r="BO137" s="3298">
        <f t="shared" si="55"/>
        <v>0</v>
      </c>
      <c r="BP137" s="3298">
        <f t="shared" si="56"/>
        <v>0</v>
      </c>
      <c r="BQ137" s="3298">
        <f t="shared" si="57"/>
        <v>0</v>
      </c>
      <c r="BR137" s="3298">
        <f t="shared" si="58"/>
        <v>0</v>
      </c>
      <c r="BS137" s="3298">
        <f t="shared" si="59"/>
        <v>0</v>
      </c>
      <c r="BT137" s="3350">
        <f t="shared" si="60"/>
        <v>0</v>
      </c>
    </row>
    <row r="138" spans="1:72">
      <c r="A138" s="1407"/>
      <c r="B138" s="3296"/>
      <c r="C138" s="3296"/>
      <c r="D138" s="3297"/>
      <c r="E138" s="3298">
        <f t="shared" si="61"/>
        <v>0</v>
      </c>
      <c r="F138" s="3299"/>
      <c r="G138" s="3300">
        <f t="shared" si="36"/>
        <v>0</v>
      </c>
      <c r="H138" s="3301">
        <f t="shared" si="37"/>
        <v>0</v>
      </c>
      <c r="I138" s="3308"/>
      <c r="J138" s="3308"/>
      <c r="K138" s="3308"/>
      <c r="L138" s="3308"/>
      <c r="M138" s="3308"/>
      <c r="N138" s="3308"/>
      <c r="O138" s="3308"/>
      <c r="P138" s="3308"/>
      <c r="Q138" s="3308"/>
      <c r="R138" s="3308"/>
      <c r="S138" s="3308"/>
      <c r="T138" s="3308"/>
      <c r="U138" s="3308"/>
      <c r="V138" s="3308"/>
      <c r="W138" s="3308"/>
      <c r="X138" s="3308"/>
      <c r="Y138" s="3308"/>
      <c r="Z138" s="3308"/>
      <c r="AA138" s="3308"/>
      <c r="AB138" s="3308"/>
      <c r="AC138" s="3298">
        <f t="shared" si="38"/>
        <v>0</v>
      </c>
      <c r="AD138" s="3318"/>
      <c r="AE138" s="3318"/>
      <c r="AF138" s="3318"/>
      <c r="AG138" s="3318"/>
      <c r="AH138" s="3318"/>
      <c r="AI138" s="3318"/>
      <c r="AJ138" s="3318"/>
      <c r="AK138" s="3318"/>
      <c r="AL138" s="3318"/>
      <c r="AM138" s="3318"/>
      <c r="AN138" s="3318"/>
      <c r="AO138" s="3318"/>
      <c r="AP138" s="3318"/>
      <c r="AQ138" s="3318"/>
      <c r="AR138" s="3318"/>
      <c r="AS138" s="3318"/>
      <c r="AT138" s="3328"/>
      <c r="AU138" s="3329"/>
      <c r="AV138" s="963">
        <f t="shared" si="62"/>
        <v>0</v>
      </c>
      <c r="AW138" s="963">
        <f t="shared" si="63"/>
        <v>0</v>
      </c>
      <c r="AX138" s="963">
        <f t="shared" si="64"/>
        <v>0</v>
      </c>
      <c r="AY138" s="3343">
        <f t="shared" si="39"/>
        <v>0</v>
      </c>
      <c r="AZ138" s="3298">
        <f t="shared" si="40"/>
        <v>0</v>
      </c>
      <c r="BA138" s="3298">
        <f t="shared" si="41"/>
        <v>0</v>
      </c>
      <c r="BB138" s="3298">
        <f t="shared" si="42"/>
        <v>0</v>
      </c>
      <c r="BC138" s="3298">
        <f t="shared" si="43"/>
        <v>0</v>
      </c>
      <c r="BD138" s="3298">
        <f t="shared" si="44"/>
        <v>0</v>
      </c>
      <c r="BE138" s="3298">
        <f t="shared" si="45"/>
        <v>0</v>
      </c>
      <c r="BF138" s="3298">
        <f t="shared" si="46"/>
        <v>0</v>
      </c>
      <c r="BG138" s="3298">
        <f t="shared" si="47"/>
        <v>0</v>
      </c>
      <c r="BH138" s="3298">
        <f t="shared" si="48"/>
        <v>0</v>
      </c>
      <c r="BI138" s="3298">
        <f t="shared" si="49"/>
        <v>0</v>
      </c>
      <c r="BJ138" s="3298">
        <f t="shared" si="50"/>
        <v>0</v>
      </c>
      <c r="BK138" s="3298">
        <f t="shared" si="51"/>
        <v>0</v>
      </c>
      <c r="BL138" s="3298">
        <f t="shared" si="52"/>
        <v>0</v>
      </c>
      <c r="BM138" s="3298">
        <f t="shared" si="53"/>
        <v>0</v>
      </c>
      <c r="BN138" s="3298">
        <f t="shared" si="54"/>
        <v>0</v>
      </c>
      <c r="BO138" s="3298">
        <f t="shared" si="55"/>
        <v>0</v>
      </c>
      <c r="BP138" s="3298">
        <f t="shared" si="56"/>
        <v>0</v>
      </c>
      <c r="BQ138" s="3298">
        <f t="shared" si="57"/>
        <v>0</v>
      </c>
      <c r="BR138" s="3298">
        <f t="shared" si="58"/>
        <v>0</v>
      </c>
      <c r="BS138" s="3298">
        <f t="shared" si="59"/>
        <v>0</v>
      </c>
      <c r="BT138" s="3350">
        <f t="shared" si="60"/>
        <v>0</v>
      </c>
    </row>
    <row r="139" spans="1:72">
      <c r="A139" s="1407"/>
      <c r="B139" s="3296"/>
      <c r="C139" s="3296"/>
      <c r="D139" s="3297"/>
      <c r="E139" s="3298">
        <f t="shared" si="61"/>
        <v>0</v>
      </c>
      <c r="F139" s="3299"/>
      <c r="G139" s="3300">
        <f t="shared" si="36"/>
        <v>0</v>
      </c>
      <c r="H139" s="3301">
        <f t="shared" si="37"/>
        <v>0</v>
      </c>
      <c r="I139" s="3308"/>
      <c r="J139" s="3308"/>
      <c r="K139" s="3308"/>
      <c r="L139" s="3308"/>
      <c r="M139" s="3308"/>
      <c r="N139" s="3308"/>
      <c r="O139" s="3308"/>
      <c r="P139" s="3308"/>
      <c r="Q139" s="3308"/>
      <c r="R139" s="3308"/>
      <c r="S139" s="3308"/>
      <c r="T139" s="3308"/>
      <c r="U139" s="3308"/>
      <c r="V139" s="3308"/>
      <c r="W139" s="3308"/>
      <c r="X139" s="3308"/>
      <c r="Y139" s="3308"/>
      <c r="Z139" s="3308"/>
      <c r="AA139" s="3308"/>
      <c r="AB139" s="3308"/>
      <c r="AC139" s="3298">
        <f t="shared" si="38"/>
        <v>0</v>
      </c>
      <c r="AD139" s="3318"/>
      <c r="AE139" s="3318"/>
      <c r="AF139" s="3318"/>
      <c r="AG139" s="3318"/>
      <c r="AH139" s="3318"/>
      <c r="AI139" s="3318"/>
      <c r="AJ139" s="3318"/>
      <c r="AK139" s="3318"/>
      <c r="AL139" s="3318"/>
      <c r="AM139" s="3318"/>
      <c r="AN139" s="3318"/>
      <c r="AO139" s="3318"/>
      <c r="AP139" s="3318"/>
      <c r="AQ139" s="3318"/>
      <c r="AR139" s="3318"/>
      <c r="AS139" s="3318"/>
      <c r="AT139" s="3328"/>
      <c r="AU139" s="3329"/>
      <c r="AV139" s="963">
        <f t="shared" si="62"/>
        <v>0</v>
      </c>
      <c r="AW139" s="963">
        <f t="shared" si="63"/>
        <v>0</v>
      </c>
      <c r="AX139" s="963">
        <f t="shared" si="64"/>
        <v>0</v>
      </c>
      <c r="AY139" s="3343">
        <f t="shared" si="39"/>
        <v>0</v>
      </c>
      <c r="AZ139" s="3298">
        <f t="shared" si="40"/>
        <v>0</v>
      </c>
      <c r="BA139" s="3298">
        <f t="shared" si="41"/>
        <v>0</v>
      </c>
      <c r="BB139" s="3298">
        <f t="shared" si="42"/>
        <v>0</v>
      </c>
      <c r="BC139" s="3298">
        <f t="shared" si="43"/>
        <v>0</v>
      </c>
      <c r="BD139" s="3298">
        <f t="shared" si="44"/>
        <v>0</v>
      </c>
      <c r="BE139" s="3298">
        <f t="shared" si="45"/>
        <v>0</v>
      </c>
      <c r="BF139" s="3298">
        <f t="shared" si="46"/>
        <v>0</v>
      </c>
      <c r="BG139" s="3298">
        <f t="shared" si="47"/>
        <v>0</v>
      </c>
      <c r="BH139" s="3298">
        <f t="shared" si="48"/>
        <v>0</v>
      </c>
      <c r="BI139" s="3298">
        <f t="shared" si="49"/>
        <v>0</v>
      </c>
      <c r="BJ139" s="3298">
        <f t="shared" si="50"/>
        <v>0</v>
      </c>
      <c r="BK139" s="3298">
        <f t="shared" si="51"/>
        <v>0</v>
      </c>
      <c r="BL139" s="3298">
        <f t="shared" si="52"/>
        <v>0</v>
      </c>
      <c r="BM139" s="3298">
        <f t="shared" si="53"/>
        <v>0</v>
      </c>
      <c r="BN139" s="3298">
        <f t="shared" si="54"/>
        <v>0</v>
      </c>
      <c r="BO139" s="3298">
        <f t="shared" si="55"/>
        <v>0</v>
      </c>
      <c r="BP139" s="3298">
        <f t="shared" si="56"/>
        <v>0</v>
      </c>
      <c r="BQ139" s="3298">
        <f t="shared" si="57"/>
        <v>0</v>
      </c>
      <c r="BR139" s="3298">
        <f t="shared" si="58"/>
        <v>0</v>
      </c>
      <c r="BS139" s="3298">
        <f t="shared" si="59"/>
        <v>0</v>
      </c>
      <c r="BT139" s="3350">
        <f t="shared" si="60"/>
        <v>0</v>
      </c>
    </row>
    <row r="140" spans="1:72">
      <c r="A140" s="1407"/>
      <c r="B140" s="3296"/>
      <c r="C140" s="3296"/>
      <c r="D140" s="3297"/>
      <c r="E140" s="3298">
        <f t="shared" si="61"/>
        <v>0</v>
      </c>
      <c r="F140" s="3299"/>
      <c r="G140" s="3300">
        <f t="shared" si="36"/>
        <v>0</v>
      </c>
      <c r="H140" s="3301">
        <f t="shared" si="37"/>
        <v>0</v>
      </c>
      <c r="I140" s="3308"/>
      <c r="J140" s="3308"/>
      <c r="K140" s="3308"/>
      <c r="L140" s="3308"/>
      <c r="M140" s="3308"/>
      <c r="N140" s="3308"/>
      <c r="O140" s="3308"/>
      <c r="P140" s="3308"/>
      <c r="Q140" s="3308"/>
      <c r="R140" s="3308"/>
      <c r="S140" s="3308"/>
      <c r="T140" s="3308"/>
      <c r="U140" s="3308"/>
      <c r="V140" s="3308"/>
      <c r="W140" s="3308"/>
      <c r="X140" s="3308"/>
      <c r="Y140" s="3308"/>
      <c r="Z140" s="3308"/>
      <c r="AA140" s="3308"/>
      <c r="AB140" s="3308"/>
      <c r="AC140" s="3298">
        <f t="shared" si="38"/>
        <v>0</v>
      </c>
      <c r="AD140" s="3318"/>
      <c r="AE140" s="3318"/>
      <c r="AF140" s="3318"/>
      <c r="AG140" s="3318"/>
      <c r="AH140" s="3318"/>
      <c r="AI140" s="3318"/>
      <c r="AJ140" s="3318"/>
      <c r="AK140" s="3318"/>
      <c r="AL140" s="3318"/>
      <c r="AM140" s="3318"/>
      <c r="AN140" s="3318"/>
      <c r="AO140" s="3318"/>
      <c r="AP140" s="3318"/>
      <c r="AQ140" s="3318"/>
      <c r="AR140" s="3318"/>
      <c r="AS140" s="3318"/>
      <c r="AT140" s="3328"/>
      <c r="AU140" s="3329"/>
      <c r="AV140" s="963">
        <f t="shared" si="62"/>
        <v>0</v>
      </c>
      <c r="AW140" s="963">
        <f t="shared" si="63"/>
        <v>0</v>
      </c>
      <c r="AX140" s="963">
        <f t="shared" si="64"/>
        <v>0</v>
      </c>
      <c r="AY140" s="3343">
        <f t="shared" si="39"/>
        <v>0</v>
      </c>
      <c r="AZ140" s="3298">
        <f t="shared" si="40"/>
        <v>0</v>
      </c>
      <c r="BA140" s="3298">
        <f t="shared" si="41"/>
        <v>0</v>
      </c>
      <c r="BB140" s="3298">
        <f t="shared" si="42"/>
        <v>0</v>
      </c>
      <c r="BC140" s="3298">
        <f t="shared" si="43"/>
        <v>0</v>
      </c>
      <c r="BD140" s="3298">
        <f t="shared" si="44"/>
        <v>0</v>
      </c>
      <c r="BE140" s="3298">
        <f t="shared" si="45"/>
        <v>0</v>
      </c>
      <c r="BF140" s="3298">
        <f t="shared" si="46"/>
        <v>0</v>
      </c>
      <c r="BG140" s="3298">
        <f t="shared" si="47"/>
        <v>0</v>
      </c>
      <c r="BH140" s="3298">
        <f t="shared" si="48"/>
        <v>0</v>
      </c>
      <c r="BI140" s="3298">
        <f t="shared" si="49"/>
        <v>0</v>
      </c>
      <c r="BJ140" s="3298">
        <f t="shared" si="50"/>
        <v>0</v>
      </c>
      <c r="BK140" s="3298">
        <f t="shared" si="51"/>
        <v>0</v>
      </c>
      <c r="BL140" s="3298">
        <f t="shared" si="52"/>
        <v>0</v>
      </c>
      <c r="BM140" s="3298">
        <f t="shared" si="53"/>
        <v>0</v>
      </c>
      <c r="BN140" s="3298">
        <f t="shared" si="54"/>
        <v>0</v>
      </c>
      <c r="BO140" s="3298">
        <f t="shared" si="55"/>
        <v>0</v>
      </c>
      <c r="BP140" s="3298">
        <f t="shared" si="56"/>
        <v>0</v>
      </c>
      <c r="BQ140" s="3298">
        <f t="shared" si="57"/>
        <v>0</v>
      </c>
      <c r="BR140" s="3298">
        <f t="shared" si="58"/>
        <v>0</v>
      </c>
      <c r="BS140" s="3298">
        <f t="shared" si="59"/>
        <v>0</v>
      </c>
      <c r="BT140" s="3350">
        <f t="shared" si="60"/>
        <v>0</v>
      </c>
    </row>
    <row r="141" spans="1:72">
      <c r="A141" s="1407"/>
      <c r="B141" s="3296"/>
      <c r="C141" s="3296"/>
      <c r="D141" s="3297"/>
      <c r="E141" s="3298">
        <f t="shared" si="61"/>
        <v>0</v>
      </c>
      <c r="F141" s="3299"/>
      <c r="G141" s="3300">
        <f t="shared" si="36"/>
        <v>0</v>
      </c>
      <c r="H141" s="3301">
        <f t="shared" si="37"/>
        <v>0</v>
      </c>
      <c r="I141" s="3308"/>
      <c r="J141" s="3308"/>
      <c r="K141" s="3308"/>
      <c r="L141" s="3308"/>
      <c r="M141" s="3308"/>
      <c r="N141" s="3308"/>
      <c r="O141" s="3308"/>
      <c r="P141" s="3308"/>
      <c r="Q141" s="3308"/>
      <c r="R141" s="3308"/>
      <c r="S141" s="3308"/>
      <c r="T141" s="3308"/>
      <c r="U141" s="3308"/>
      <c r="V141" s="3308"/>
      <c r="W141" s="3308"/>
      <c r="X141" s="3308"/>
      <c r="Y141" s="3308"/>
      <c r="Z141" s="3308"/>
      <c r="AA141" s="3308"/>
      <c r="AB141" s="3308"/>
      <c r="AC141" s="3298">
        <f t="shared" si="38"/>
        <v>0</v>
      </c>
      <c r="AD141" s="3318"/>
      <c r="AE141" s="3318"/>
      <c r="AF141" s="3318"/>
      <c r="AG141" s="3318"/>
      <c r="AH141" s="3318"/>
      <c r="AI141" s="3318"/>
      <c r="AJ141" s="3318"/>
      <c r="AK141" s="3318"/>
      <c r="AL141" s="3318"/>
      <c r="AM141" s="3318"/>
      <c r="AN141" s="3318"/>
      <c r="AO141" s="3318"/>
      <c r="AP141" s="3318"/>
      <c r="AQ141" s="3318"/>
      <c r="AR141" s="3318"/>
      <c r="AS141" s="3318"/>
      <c r="AT141" s="3328"/>
      <c r="AU141" s="3329"/>
      <c r="AV141" s="963">
        <f t="shared" si="62"/>
        <v>0</v>
      </c>
      <c r="AW141" s="963">
        <f t="shared" si="63"/>
        <v>0</v>
      </c>
      <c r="AX141" s="963">
        <f t="shared" si="64"/>
        <v>0</v>
      </c>
      <c r="AY141" s="3343">
        <f t="shared" si="39"/>
        <v>0</v>
      </c>
      <c r="AZ141" s="3298">
        <f t="shared" si="40"/>
        <v>0</v>
      </c>
      <c r="BA141" s="3298">
        <f t="shared" si="41"/>
        <v>0</v>
      </c>
      <c r="BB141" s="3298">
        <f t="shared" si="42"/>
        <v>0</v>
      </c>
      <c r="BC141" s="3298">
        <f t="shared" si="43"/>
        <v>0</v>
      </c>
      <c r="BD141" s="3298">
        <f t="shared" si="44"/>
        <v>0</v>
      </c>
      <c r="BE141" s="3298">
        <f t="shared" si="45"/>
        <v>0</v>
      </c>
      <c r="BF141" s="3298">
        <f t="shared" si="46"/>
        <v>0</v>
      </c>
      <c r="BG141" s="3298">
        <f t="shared" si="47"/>
        <v>0</v>
      </c>
      <c r="BH141" s="3298">
        <f t="shared" si="48"/>
        <v>0</v>
      </c>
      <c r="BI141" s="3298">
        <f t="shared" si="49"/>
        <v>0</v>
      </c>
      <c r="BJ141" s="3298">
        <f t="shared" si="50"/>
        <v>0</v>
      </c>
      <c r="BK141" s="3298">
        <f t="shared" si="51"/>
        <v>0</v>
      </c>
      <c r="BL141" s="3298">
        <f t="shared" si="52"/>
        <v>0</v>
      </c>
      <c r="BM141" s="3298">
        <f t="shared" si="53"/>
        <v>0</v>
      </c>
      <c r="BN141" s="3298">
        <f t="shared" si="54"/>
        <v>0</v>
      </c>
      <c r="BO141" s="3298">
        <f t="shared" si="55"/>
        <v>0</v>
      </c>
      <c r="BP141" s="3298">
        <f t="shared" si="56"/>
        <v>0</v>
      </c>
      <c r="BQ141" s="3298">
        <f t="shared" si="57"/>
        <v>0</v>
      </c>
      <c r="BR141" s="3298">
        <f t="shared" si="58"/>
        <v>0</v>
      </c>
      <c r="BS141" s="3298">
        <f t="shared" si="59"/>
        <v>0</v>
      </c>
      <c r="BT141" s="3350">
        <f t="shared" si="60"/>
        <v>0</v>
      </c>
    </row>
    <row r="142" spans="1:72">
      <c r="A142" s="1407"/>
      <c r="B142" s="3296"/>
      <c r="C142" s="3296"/>
      <c r="D142" s="3297"/>
      <c r="E142" s="3298">
        <f t="shared" si="61"/>
        <v>0</v>
      </c>
      <c r="F142" s="3299"/>
      <c r="G142" s="3300">
        <f t="shared" ref="G142:G173" si="65">H142+AC142+AT142</f>
        <v>0</v>
      </c>
      <c r="H142" s="3301">
        <f t="shared" ref="H142:H173" si="66">SUMIF(I$12:AB$12,"总值",I142:AB142)</f>
        <v>0</v>
      </c>
      <c r="I142" s="3308"/>
      <c r="J142" s="3308"/>
      <c r="K142" s="3308"/>
      <c r="L142" s="3308"/>
      <c r="M142" s="3308"/>
      <c r="N142" s="3308"/>
      <c r="O142" s="3308"/>
      <c r="P142" s="3308"/>
      <c r="Q142" s="3308"/>
      <c r="R142" s="3308"/>
      <c r="S142" s="3308"/>
      <c r="T142" s="3308"/>
      <c r="U142" s="3308"/>
      <c r="V142" s="3308"/>
      <c r="W142" s="3308"/>
      <c r="X142" s="3308"/>
      <c r="Y142" s="3308"/>
      <c r="Z142" s="3308"/>
      <c r="AA142" s="3308"/>
      <c r="AB142" s="3308"/>
      <c r="AC142" s="3298">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28"/>
      <c r="AU142" s="3329"/>
      <c r="AV142" s="963">
        <f t="shared" si="62"/>
        <v>0</v>
      </c>
      <c r="AW142" s="963">
        <f t="shared" si="63"/>
        <v>0</v>
      </c>
      <c r="AX142" s="963">
        <f t="shared" si="64"/>
        <v>0</v>
      </c>
      <c r="AY142" s="3343">
        <f t="shared" ref="AY142:AY173" si="68">ROUND($AY$6*AZ142/$AZ$5,2)</f>
        <v>0</v>
      </c>
      <c r="AZ142" s="3298">
        <f t="shared" ref="AZ142:AZ173" si="69">BA142+BL142</f>
        <v>0</v>
      </c>
      <c r="BA142" s="3298">
        <f t="shared" ref="BA142:BA173" si="70">SUM(BB142:BK142)</f>
        <v>0</v>
      </c>
      <c r="BB142" s="3298">
        <f t="shared" ref="BB142:BB173" si="71">IF($D142="是",I142-J142,0)</f>
        <v>0</v>
      </c>
      <c r="BC142" s="3298">
        <f t="shared" ref="BC142:BC173" si="72">IF($D142="是",K142-L142,0)</f>
        <v>0</v>
      </c>
      <c r="BD142" s="3298">
        <f t="shared" ref="BD142:BD173" si="73">IF($D142="是",M142-N142,0)</f>
        <v>0</v>
      </c>
      <c r="BE142" s="3298">
        <f t="shared" ref="BE142:BE173" si="74">IF($D142="是",O142-P142,0)</f>
        <v>0</v>
      </c>
      <c r="BF142" s="3298">
        <f t="shared" ref="BF142:BF173" si="75">IF($D142="是",Q142-R142,0)</f>
        <v>0</v>
      </c>
      <c r="BG142" s="3298">
        <f t="shared" ref="BG142:BG173" si="76">IF($D142="是",S142-T142,0)</f>
        <v>0</v>
      </c>
      <c r="BH142" s="3298">
        <f t="shared" ref="BH142:BH173" si="77">IF($D142="是",U142-V142,0)</f>
        <v>0</v>
      </c>
      <c r="BI142" s="3298">
        <f t="shared" ref="BI142:BI173" si="78">IF($D142="是",W142-X142,0)</f>
        <v>0</v>
      </c>
      <c r="BJ142" s="3298">
        <f t="shared" ref="BJ142:BJ173" si="79">IF($D142="是",Y142-Z142,0)</f>
        <v>0</v>
      </c>
      <c r="BK142" s="3298">
        <f t="shared" ref="BK142:BK173" si="80">IF($D142="是",AA142-AB142,0)</f>
        <v>0</v>
      </c>
      <c r="BL142" s="3298">
        <f t="shared" ref="BL142:BL173" si="81">SUM(BM142:BT142)</f>
        <v>0</v>
      </c>
      <c r="BM142" s="3298">
        <f t="shared" ref="BM142:BM173" si="82">IF($D142="是",AD142-AE142,0)</f>
        <v>0</v>
      </c>
      <c r="BN142" s="3298">
        <f t="shared" ref="BN142:BN173" si="83">IF($D142="是",AF142-AG142,0)</f>
        <v>0</v>
      </c>
      <c r="BO142" s="3298">
        <f t="shared" ref="BO142:BO173" si="84">IF($D142="是",AH142-AI142,0)</f>
        <v>0</v>
      </c>
      <c r="BP142" s="3298">
        <f t="shared" ref="BP142:BP173" si="85">IF($D142="是",AJ142-AK142,0)</f>
        <v>0</v>
      </c>
      <c r="BQ142" s="3298">
        <f t="shared" ref="BQ142:BQ173" si="86">IF($D142="是",AL142-AM142,0)</f>
        <v>0</v>
      </c>
      <c r="BR142" s="3298">
        <f t="shared" ref="BR142:BR173" si="87">IF($D142="是",AN142-AO142,0)</f>
        <v>0</v>
      </c>
      <c r="BS142" s="3298">
        <f t="shared" ref="BS142:BS173" si="88">IF($D142="是",AP142-AQ142,0)</f>
        <v>0</v>
      </c>
      <c r="BT142" s="3350">
        <f t="shared" ref="BT142:BT173" si="89">IF($D142="是",AR142-AS142,0)</f>
        <v>0</v>
      </c>
    </row>
    <row r="143" spans="1:72">
      <c r="A143" s="1407"/>
      <c r="B143" s="3296"/>
      <c r="C143" s="3296"/>
      <c r="D143" s="3297"/>
      <c r="E143" s="3298">
        <f t="shared" si="61"/>
        <v>0</v>
      </c>
      <c r="F143" s="3299"/>
      <c r="G143" s="3300">
        <f t="shared" si="65"/>
        <v>0</v>
      </c>
      <c r="H143" s="3301">
        <f t="shared" si="66"/>
        <v>0</v>
      </c>
      <c r="I143" s="3308"/>
      <c r="J143" s="3308"/>
      <c r="K143" s="3308"/>
      <c r="L143" s="3308"/>
      <c r="M143" s="3308"/>
      <c r="N143" s="3308"/>
      <c r="O143" s="3308"/>
      <c r="P143" s="3308"/>
      <c r="Q143" s="3308"/>
      <c r="R143" s="3308"/>
      <c r="S143" s="3308"/>
      <c r="T143" s="3308"/>
      <c r="U143" s="3308"/>
      <c r="V143" s="3308"/>
      <c r="W143" s="3308"/>
      <c r="X143" s="3308"/>
      <c r="Y143" s="3308"/>
      <c r="Z143" s="3308"/>
      <c r="AA143" s="3308"/>
      <c r="AB143" s="3308"/>
      <c r="AC143" s="3298">
        <f t="shared" si="67"/>
        <v>0</v>
      </c>
      <c r="AD143" s="3318"/>
      <c r="AE143" s="3318"/>
      <c r="AF143" s="3318"/>
      <c r="AG143" s="3318"/>
      <c r="AH143" s="3318"/>
      <c r="AI143" s="3318"/>
      <c r="AJ143" s="3318"/>
      <c r="AK143" s="3318"/>
      <c r="AL143" s="3318"/>
      <c r="AM143" s="3318"/>
      <c r="AN143" s="3318"/>
      <c r="AO143" s="3318"/>
      <c r="AP143" s="3318"/>
      <c r="AQ143" s="3318"/>
      <c r="AR143" s="3318"/>
      <c r="AS143" s="3318"/>
      <c r="AT143" s="3328"/>
      <c r="AU143" s="3329"/>
      <c r="AV143" s="963">
        <f t="shared" si="62"/>
        <v>0</v>
      </c>
      <c r="AW143" s="963">
        <f t="shared" si="63"/>
        <v>0</v>
      </c>
      <c r="AX143" s="963">
        <f t="shared" si="64"/>
        <v>0</v>
      </c>
      <c r="AY143" s="3343">
        <f t="shared" si="68"/>
        <v>0</v>
      </c>
      <c r="AZ143" s="3298">
        <f t="shared" si="69"/>
        <v>0</v>
      </c>
      <c r="BA143" s="3298">
        <f t="shared" si="70"/>
        <v>0</v>
      </c>
      <c r="BB143" s="3298">
        <f t="shared" si="71"/>
        <v>0</v>
      </c>
      <c r="BC143" s="3298">
        <f t="shared" si="72"/>
        <v>0</v>
      </c>
      <c r="BD143" s="3298">
        <f t="shared" si="73"/>
        <v>0</v>
      </c>
      <c r="BE143" s="3298">
        <f t="shared" si="74"/>
        <v>0</v>
      </c>
      <c r="BF143" s="3298">
        <f t="shared" si="75"/>
        <v>0</v>
      </c>
      <c r="BG143" s="3298">
        <f t="shared" si="76"/>
        <v>0</v>
      </c>
      <c r="BH143" s="3298">
        <f t="shared" si="77"/>
        <v>0</v>
      </c>
      <c r="BI143" s="3298">
        <f t="shared" si="78"/>
        <v>0</v>
      </c>
      <c r="BJ143" s="3298">
        <f t="shared" si="79"/>
        <v>0</v>
      </c>
      <c r="BK143" s="3298">
        <f t="shared" si="80"/>
        <v>0</v>
      </c>
      <c r="BL143" s="3298">
        <f t="shared" si="81"/>
        <v>0</v>
      </c>
      <c r="BM143" s="3298">
        <f t="shared" si="82"/>
        <v>0</v>
      </c>
      <c r="BN143" s="3298">
        <f t="shared" si="83"/>
        <v>0</v>
      </c>
      <c r="BO143" s="3298">
        <f t="shared" si="84"/>
        <v>0</v>
      </c>
      <c r="BP143" s="3298">
        <f t="shared" si="85"/>
        <v>0</v>
      </c>
      <c r="BQ143" s="3298">
        <f t="shared" si="86"/>
        <v>0</v>
      </c>
      <c r="BR143" s="3298">
        <f t="shared" si="87"/>
        <v>0</v>
      </c>
      <c r="BS143" s="3298">
        <f t="shared" si="88"/>
        <v>0</v>
      </c>
      <c r="BT143" s="3350">
        <f t="shared" si="89"/>
        <v>0</v>
      </c>
    </row>
    <row r="144" spans="1:72">
      <c r="A144" s="1407"/>
      <c r="B144" s="3296"/>
      <c r="C144" s="3296"/>
      <c r="D144" s="3297"/>
      <c r="E144" s="3298">
        <f t="shared" si="61"/>
        <v>0</v>
      </c>
      <c r="F144" s="3299"/>
      <c r="G144" s="3300">
        <f t="shared" si="65"/>
        <v>0</v>
      </c>
      <c r="H144" s="3301">
        <f t="shared" si="66"/>
        <v>0</v>
      </c>
      <c r="I144" s="3308"/>
      <c r="J144" s="3308"/>
      <c r="K144" s="3308"/>
      <c r="L144" s="3308"/>
      <c r="M144" s="3308"/>
      <c r="N144" s="3308"/>
      <c r="O144" s="3308"/>
      <c r="P144" s="3308"/>
      <c r="Q144" s="3308"/>
      <c r="R144" s="3308"/>
      <c r="S144" s="3308"/>
      <c r="T144" s="3308"/>
      <c r="U144" s="3308"/>
      <c r="V144" s="3308"/>
      <c r="W144" s="3308"/>
      <c r="X144" s="3308"/>
      <c r="Y144" s="3308"/>
      <c r="Z144" s="3308"/>
      <c r="AA144" s="3308"/>
      <c r="AB144" s="3308"/>
      <c r="AC144" s="3298">
        <f t="shared" si="67"/>
        <v>0</v>
      </c>
      <c r="AD144" s="3318"/>
      <c r="AE144" s="3318"/>
      <c r="AF144" s="3318"/>
      <c r="AG144" s="3318"/>
      <c r="AH144" s="3318"/>
      <c r="AI144" s="3318"/>
      <c r="AJ144" s="3318"/>
      <c r="AK144" s="3318"/>
      <c r="AL144" s="3318"/>
      <c r="AM144" s="3318"/>
      <c r="AN144" s="3318"/>
      <c r="AO144" s="3318"/>
      <c r="AP144" s="3318"/>
      <c r="AQ144" s="3318"/>
      <c r="AR144" s="3318"/>
      <c r="AS144" s="3318"/>
      <c r="AT144" s="3328"/>
      <c r="AU144" s="3329"/>
      <c r="AV144" s="963">
        <f t="shared" si="62"/>
        <v>0</v>
      </c>
      <c r="AW144" s="963">
        <f t="shared" si="63"/>
        <v>0</v>
      </c>
      <c r="AX144" s="963">
        <f t="shared" si="64"/>
        <v>0</v>
      </c>
      <c r="AY144" s="3343">
        <f t="shared" si="68"/>
        <v>0</v>
      </c>
      <c r="AZ144" s="3298">
        <f t="shared" si="69"/>
        <v>0</v>
      </c>
      <c r="BA144" s="3298">
        <f t="shared" si="70"/>
        <v>0</v>
      </c>
      <c r="BB144" s="3298">
        <f t="shared" si="71"/>
        <v>0</v>
      </c>
      <c r="BC144" s="3298">
        <f t="shared" si="72"/>
        <v>0</v>
      </c>
      <c r="BD144" s="3298">
        <f t="shared" si="73"/>
        <v>0</v>
      </c>
      <c r="BE144" s="3298">
        <f t="shared" si="74"/>
        <v>0</v>
      </c>
      <c r="BF144" s="3298">
        <f t="shared" si="75"/>
        <v>0</v>
      </c>
      <c r="BG144" s="3298">
        <f t="shared" si="76"/>
        <v>0</v>
      </c>
      <c r="BH144" s="3298">
        <f t="shared" si="77"/>
        <v>0</v>
      </c>
      <c r="BI144" s="3298">
        <f t="shared" si="78"/>
        <v>0</v>
      </c>
      <c r="BJ144" s="3298">
        <f t="shared" si="79"/>
        <v>0</v>
      </c>
      <c r="BK144" s="3298">
        <f t="shared" si="80"/>
        <v>0</v>
      </c>
      <c r="BL144" s="3298">
        <f t="shared" si="81"/>
        <v>0</v>
      </c>
      <c r="BM144" s="3298">
        <f t="shared" si="82"/>
        <v>0</v>
      </c>
      <c r="BN144" s="3298">
        <f t="shared" si="83"/>
        <v>0</v>
      </c>
      <c r="BO144" s="3298">
        <f t="shared" si="84"/>
        <v>0</v>
      </c>
      <c r="BP144" s="3298">
        <f t="shared" si="85"/>
        <v>0</v>
      </c>
      <c r="BQ144" s="3298">
        <f t="shared" si="86"/>
        <v>0</v>
      </c>
      <c r="BR144" s="3298">
        <f t="shared" si="87"/>
        <v>0</v>
      </c>
      <c r="BS144" s="3298">
        <f t="shared" si="88"/>
        <v>0</v>
      </c>
      <c r="BT144" s="3350">
        <f t="shared" si="89"/>
        <v>0</v>
      </c>
    </row>
    <row r="145" spans="1:72">
      <c r="A145" s="1407"/>
      <c r="B145" s="3296"/>
      <c r="C145" s="3296"/>
      <c r="D145" s="3297"/>
      <c r="E145" s="3298">
        <f t="shared" ref="E145:E176" si="90">IF($C$3="是",ROUND($A$3*G145/$B$3,2),ROUND($A$3*(G145-AT145)/$B$3,2))</f>
        <v>0</v>
      </c>
      <c r="F145" s="3299"/>
      <c r="G145" s="3300">
        <f t="shared" si="65"/>
        <v>0</v>
      </c>
      <c r="H145" s="3301">
        <f t="shared" si="66"/>
        <v>0</v>
      </c>
      <c r="I145" s="3308"/>
      <c r="J145" s="3308"/>
      <c r="K145" s="3308"/>
      <c r="L145" s="3308"/>
      <c r="M145" s="3308"/>
      <c r="N145" s="3308"/>
      <c r="O145" s="3308"/>
      <c r="P145" s="3308"/>
      <c r="Q145" s="3308"/>
      <c r="R145" s="3308"/>
      <c r="S145" s="3308"/>
      <c r="T145" s="3308"/>
      <c r="U145" s="3308"/>
      <c r="V145" s="3308"/>
      <c r="W145" s="3308"/>
      <c r="X145" s="3308"/>
      <c r="Y145" s="3308"/>
      <c r="Z145" s="3308"/>
      <c r="AA145" s="3308"/>
      <c r="AB145" s="3308"/>
      <c r="AC145" s="3298">
        <f t="shared" si="67"/>
        <v>0</v>
      </c>
      <c r="AD145" s="3318"/>
      <c r="AE145" s="3318"/>
      <c r="AF145" s="3318"/>
      <c r="AG145" s="3318"/>
      <c r="AH145" s="3318"/>
      <c r="AI145" s="3318"/>
      <c r="AJ145" s="3318"/>
      <c r="AK145" s="3318"/>
      <c r="AL145" s="3318"/>
      <c r="AM145" s="3318"/>
      <c r="AN145" s="3318"/>
      <c r="AO145" s="3318"/>
      <c r="AP145" s="3318"/>
      <c r="AQ145" s="3318"/>
      <c r="AR145" s="3318"/>
      <c r="AS145" s="3318"/>
      <c r="AT145" s="3328"/>
      <c r="AU145" s="3329"/>
      <c r="AV145" s="963">
        <f t="shared" ref="AV145:AV176" si="91">A145</f>
        <v>0</v>
      </c>
      <c r="AW145" s="963">
        <f t="shared" ref="AW145:AW176" si="92">B145</f>
        <v>0</v>
      </c>
      <c r="AX145" s="963">
        <f t="shared" ref="AX145:AX176" si="93">C145</f>
        <v>0</v>
      </c>
      <c r="AY145" s="3343">
        <f t="shared" si="68"/>
        <v>0</v>
      </c>
      <c r="AZ145" s="3298">
        <f t="shared" si="69"/>
        <v>0</v>
      </c>
      <c r="BA145" s="3298">
        <f t="shared" si="70"/>
        <v>0</v>
      </c>
      <c r="BB145" s="3298">
        <f t="shared" si="71"/>
        <v>0</v>
      </c>
      <c r="BC145" s="3298">
        <f t="shared" si="72"/>
        <v>0</v>
      </c>
      <c r="BD145" s="3298">
        <f t="shared" si="73"/>
        <v>0</v>
      </c>
      <c r="BE145" s="3298">
        <f t="shared" si="74"/>
        <v>0</v>
      </c>
      <c r="BF145" s="3298">
        <f t="shared" si="75"/>
        <v>0</v>
      </c>
      <c r="BG145" s="3298">
        <f t="shared" si="76"/>
        <v>0</v>
      </c>
      <c r="BH145" s="3298">
        <f t="shared" si="77"/>
        <v>0</v>
      </c>
      <c r="BI145" s="3298">
        <f t="shared" si="78"/>
        <v>0</v>
      </c>
      <c r="BJ145" s="3298">
        <f t="shared" si="79"/>
        <v>0</v>
      </c>
      <c r="BK145" s="3298">
        <f t="shared" si="80"/>
        <v>0</v>
      </c>
      <c r="BL145" s="3298">
        <f t="shared" si="81"/>
        <v>0</v>
      </c>
      <c r="BM145" s="3298">
        <f t="shared" si="82"/>
        <v>0</v>
      </c>
      <c r="BN145" s="3298">
        <f t="shared" si="83"/>
        <v>0</v>
      </c>
      <c r="BO145" s="3298">
        <f t="shared" si="84"/>
        <v>0</v>
      </c>
      <c r="BP145" s="3298">
        <f t="shared" si="85"/>
        <v>0</v>
      </c>
      <c r="BQ145" s="3298">
        <f t="shared" si="86"/>
        <v>0</v>
      </c>
      <c r="BR145" s="3298">
        <f t="shared" si="87"/>
        <v>0</v>
      </c>
      <c r="BS145" s="3298">
        <f t="shared" si="88"/>
        <v>0</v>
      </c>
      <c r="BT145" s="3350">
        <f t="shared" si="89"/>
        <v>0</v>
      </c>
    </row>
    <row r="146" spans="1:72">
      <c r="A146" s="1407"/>
      <c r="B146" s="3296"/>
      <c r="C146" s="3296"/>
      <c r="D146" s="3297"/>
      <c r="E146" s="3298">
        <f t="shared" si="90"/>
        <v>0</v>
      </c>
      <c r="F146" s="3299"/>
      <c r="G146" s="3300">
        <f t="shared" si="65"/>
        <v>0</v>
      </c>
      <c r="H146" s="3301">
        <f t="shared" si="66"/>
        <v>0</v>
      </c>
      <c r="I146" s="3308"/>
      <c r="J146" s="3308"/>
      <c r="K146" s="3308"/>
      <c r="L146" s="3308"/>
      <c r="M146" s="3308"/>
      <c r="N146" s="3308"/>
      <c r="O146" s="3308"/>
      <c r="P146" s="3308"/>
      <c r="Q146" s="3308"/>
      <c r="R146" s="3308"/>
      <c r="S146" s="3308"/>
      <c r="T146" s="3308"/>
      <c r="U146" s="3308"/>
      <c r="V146" s="3308"/>
      <c r="W146" s="3308"/>
      <c r="X146" s="3308"/>
      <c r="Y146" s="3308"/>
      <c r="Z146" s="3308"/>
      <c r="AA146" s="3308"/>
      <c r="AB146" s="3308"/>
      <c r="AC146" s="3298">
        <f t="shared" si="67"/>
        <v>0</v>
      </c>
      <c r="AD146" s="3318"/>
      <c r="AE146" s="3318"/>
      <c r="AF146" s="3318"/>
      <c r="AG146" s="3318"/>
      <c r="AH146" s="3318"/>
      <c r="AI146" s="3318"/>
      <c r="AJ146" s="3318"/>
      <c r="AK146" s="3318"/>
      <c r="AL146" s="3318"/>
      <c r="AM146" s="3318"/>
      <c r="AN146" s="3318"/>
      <c r="AO146" s="3318"/>
      <c r="AP146" s="3318"/>
      <c r="AQ146" s="3318"/>
      <c r="AR146" s="3318"/>
      <c r="AS146" s="3318"/>
      <c r="AT146" s="3328"/>
      <c r="AU146" s="3329"/>
      <c r="AV146" s="963">
        <f t="shared" si="91"/>
        <v>0</v>
      </c>
      <c r="AW146" s="963">
        <f t="shared" si="92"/>
        <v>0</v>
      </c>
      <c r="AX146" s="963">
        <f t="shared" si="93"/>
        <v>0</v>
      </c>
      <c r="AY146" s="3343">
        <f t="shared" si="68"/>
        <v>0</v>
      </c>
      <c r="AZ146" s="3298">
        <f t="shared" si="69"/>
        <v>0</v>
      </c>
      <c r="BA146" s="3298">
        <f t="shared" si="70"/>
        <v>0</v>
      </c>
      <c r="BB146" s="3298">
        <f t="shared" si="71"/>
        <v>0</v>
      </c>
      <c r="BC146" s="3298">
        <f t="shared" si="72"/>
        <v>0</v>
      </c>
      <c r="BD146" s="3298">
        <f t="shared" si="73"/>
        <v>0</v>
      </c>
      <c r="BE146" s="3298">
        <f t="shared" si="74"/>
        <v>0</v>
      </c>
      <c r="BF146" s="3298">
        <f t="shared" si="75"/>
        <v>0</v>
      </c>
      <c r="BG146" s="3298">
        <f t="shared" si="76"/>
        <v>0</v>
      </c>
      <c r="BH146" s="3298">
        <f t="shared" si="77"/>
        <v>0</v>
      </c>
      <c r="BI146" s="3298">
        <f t="shared" si="78"/>
        <v>0</v>
      </c>
      <c r="BJ146" s="3298">
        <f t="shared" si="79"/>
        <v>0</v>
      </c>
      <c r="BK146" s="3298">
        <f t="shared" si="80"/>
        <v>0</v>
      </c>
      <c r="BL146" s="3298">
        <f t="shared" si="81"/>
        <v>0</v>
      </c>
      <c r="BM146" s="3298">
        <f t="shared" si="82"/>
        <v>0</v>
      </c>
      <c r="BN146" s="3298">
        <f t="shared" si="83"/>
        <v>0</v>
      </c>
      <c r="BO146" s="3298">
        <f t="shared" si="84"/>
        <v>0</v>
      </c>
      <c r="BP146" s="3298">
        <f t="shared" si="85"/>
        <v>0</v>
      </c>
      <c r="BQ146" s="3298">
        <f t="shared" si="86"/>
        <v>0</v>
      </c>
      <c r="BR146" s="3298">
        <f t="shared" si="87"/>
        <v>0</v>
      </c>
      <c r="BS146" s="3298">
        <f t="shared" si="88"/>
        <v>0</v>
      </c>
      <c r="BT146" s="3350">
        <f t="shared" si="89"/>
        <v>0</v>
      </c>
    </row>
    <row r="147" spans="1:72">
      <c r="A147" s="1407"/>
      <c r="B147" s="3296"/>
      <c r="C147" s="3296"/>
      <c r="D147" s="3297"/>
      <c r="E147" s="3298">
        <f t="shared" si="90"/>
        <v>0</v>
      </c>
      <c r="F147" s="3299"/>
      <c r="G147" s="3300">
        <f t="shared" si="65"/>
        <v>0</v>
      </c>
      <c r="H147" s="3301">
        <f t="shared" si="66"/>
        <v>0</v>
      </c>
      <c r="I147" s="3308"/>
      <c r="J147" s="3308"/>
      <c r="K147" s="3308"/>
      <c r="L147" s="3308"/>
      <c r="M147" s="3308"/>
      <c r="N147" s="3308"/>
      <c r="O147" s="3308"/>
      <c r="P147" s="3308"/>
      <c r="Q147" s="3308"/>
      <c r="R147" s="3308"/>
      <c r="S147" s="3308"/>
      <c r="T147" s="3308"/>
      <c r="U147" s="3308"/>
      <c r="V147" s="3308"/>
      <c r="W147" s="3308"/>
      <c r="X147" s="3308"/>
      <c r="Y147" s="3308"/>
      <c r="Z147" s="3308"/>
      <c r="AA147" s="3308"/>
      <c r="AB147" s="3308"/>
      <c r="AC147" s="3298">
        <f t="shared" si="67"/>
        <v>0</v>
      </c>
      <c r="AD147" s="3318"/>
      <c r="AE147" s="3318"/>
      <c r="AF147" s="3318"/>
      <c r="AG147" s="3318"/>
      <c r="AH147" s="3318"/>
      <c r="AI147" s="3318"/>
      <c r="AJ147" s="3318"/>
      <c r="AK147" s="3318"/>
      <c r="AL147" s="3318"/>
      <c r="AM147" s="3318"/>
      <c r="AN147" s="3318"/>
      <c r="AO147" s="3318"/>
      <c r="AP147" s="3318"/>
      <c r="AQ147" s="3318"/>
      <c r="AR147" s="3318"/>
      <c r="AS147" s="3318"/>
      <c r="AT147" s="3328"/>
      <c r="AU147" s="3329"/>
      <c r="AV147" s="963">
        <f t="shared" si="91"/>
        <v>0</v>
      </c>
      <c r="AW147" s="963">
        <f t="shared" si="92"/>
        <v>0</v>
      </c>
      <c r="AX147" s="963">
        <f t="shared" si="93"/>
        <v>0</v>
      </c>
      <c r="AY147" s="3343">
        <f t="shared" si="68"/>
        <v>0</v>
      </c>
      <c r="AZ147" s="3298">
        <f t="shared" si="69"/>
        <v>0</v>
      </c>
      <c r="BA147" s="3298">
        <f t="shared" si="70"/>
        <v>0</v>
      </c>
      <c r="BB147" s="3298">
        <f t="shared" si="71"/>
        <v>0</v>
      </c>
      <c r="BC147" s="3298">
        <f t="shared" si="72"/>
        <v>0</v>
      </c>
      <c r="BD147" s="3298">
        <f t="shared" si="73"/>
        <v>0</v>
      </c>
      <c r="BE147" s="3298">
        <f t="shared" si="74"/>
        <v>0</v>
      </c>
      <c r="BF147" s="3298">
        <f t="shared" si="75"/>
        <v>0</v>
      </c>
      <c r="BG147" s="3298">
        <f t="shared" si="76"/>
        <v>0</v>
      </c>
      <c r="BH147" s="3298">
        <f t="shared" si="77"/>
        <v>0</v>
      </c>
      <c r="BI147" s="3298">
        <f t="shared" si="78"/>
        <v>0</v>
      </c>
      <c r="BJ147" s="3298">
        <f t="shared" si="79"/>
        <v>0</v>
      </c>
      <c r="BK147" s="3298">
        <f t="shared" si="80"/>
        <v>0</v>
      </c>
      <c r="BL147" s="3298">
        <f t="shared" si="81"/>
        <v>0</v>
      </c>
      <c r="BM147" s="3298">
        <f t="shared" si="82"/>
        <v>0</v>
      </c>
      <c r="BN147" s="3298">
        <f t="shared" si="83"/>
        <v>0</v>
      </c>
      <c r="BO147" s="3298">
        <f t="shared" si="84"/>
        <v>0</v>
      </c>
      <c r="BP147" s="3298">
        <f t="shared" si="85"/>
        <v>0</v>
      </c>
      <c r="BQ147" s="3298">
        <f t="shared" si="86"/>
        <v>0</v>
      </c>
      <c r="BR147" s="3298">
        <f t="shared" si="87"/>
        <v>0</v>
      </c>
      <c r="BS147" s="3298">
        <f t="shared" si="88"/>
        <v>0</v>
      </c>
      <c r="BT147" s="3350">
        <f t="shared" si="89"/>
        <v>0</v>
      </c>
    </row>
    <row r="148" spans="1:72">
      <c r="A148" s="1407"/>
      <c r="B148" s="3296"/>
      <c r="C148" s="3296"/>
      <c r="D148" s="3297"/>
      <c r="E148" s="3298">
        <f t="shared" si="90"/>
        <v>0</v>
      </c>
      <c r="F148" s="3299"/>
      <c r="G148" s="3300">
        <f t="shared" si="65"/>
        <v>0</v>
      </c>
      <c r="H148" s="3301">
        <f t="shared" si="66"/>
        <v>0</v>
      </c>
      <c r="I148" s="3308"/>
      <c r="J148" s="3308"/>
      <c r="K148" s="3308"/>
      <c r="L148" s="3308"/>
      <c r="M148" s="3308"/>
      <c r="N148" s="3308"/>
      <c r="O148" s="3308"/>
      <c r="P148" s="3308"/>
      <c r="Q148" s="3308"/>
      <c r="R148" s="3308"/>
      <c r="S148" s="3308"/>
      <c r="T148" s="3308"/>
      <c r="U148" s="3308"/>
      <c r="V148" s="3308"/>
      <c r="W148" s="3308"/>
      <c r="X148" s="3308"/>
      <c r="Y148" s="3308"/>
      <c r="Z148" s="3308"/>
      <c r="AA148" s="3308"/>
      <c r="AB148" s="3308"/>
      <c r="AC148" s="3298">
        <f t="shared" si="67"/>
        <v>0</v>
      </c>
      <c r="AD148" s="3318"/>
      <c r="AE148" s="3318"/>
      <c r="AF148" s="3318"/>
      <c r="AG148" s="3318"/>
      <c r="AH148" s="3318"/>
      <c r="AI148" s="3318"/>
      <c r="AJ148" s="3318"/>
      <c r="AK148" s="3318"/>
      <c r="AL148" s="3318"/>
      <c r="AM148" s="3318"/>
      <c r="AN148" s="3318"/>
      <c r="AO148" s="3318"/>
      <c r="AP148" s="3318"/>
      <c r="AQ148" s="3318"/>
      <c r="AR148" s="3318"/>
      <c r="AS148" s="3318"/>
      <c r="AT148" s="3328"/>
      <c r="AU148" s="3329"/>
      <c r="AV148" s="963">
        <f t="shared" si="91"/>
        <v>0</v>
      </c>
      <c r="AW148" s="963">
        <f t="shared" si="92"/>
        <v>0</v>
      </c>
      <c r="AX148" s="963">
        <f t="shared" si="93"/>
        <v>0</v>
      </c>
      <c r="AY148" s="3343">
        <f t="shared" si="68"/>
        <v>0</v>
      </c>
      <c r="AZ148" s="3298">
        <f t="shared" si="69"/>
        <v>0</v>
      </c>
      <c r="BA148" s="3298">
        <f t="shared" si="70"/>
        <v>0</v>
      </c>
      <c r="BB148" s="3298">
        <f t="shared" si="71"/>
        <v>0</v>
      </c>
      <c r="BC148" s="3298">
        <f t="shared" si="72"/>
        <v>0</v>
      </c>
      <c r="BD148" s="3298">
        <f t="shared" si="73"/>
        <v>0</v>
      </c>
      <c r="BE148" s="3298">
        <f t="shared" si="74"/>
        <v>0</v>
      </c>
      <c r="BF148" s="3298">
        <f t="shared" si="75"/>
        <v>0</v>
      </c>
      <c r="BG148" s="3298">
        <f t="shared" si="76"/>
        <v>0</v>
      </c>
      <c r="BH148" s="3298">
        <f t="shared" si="77"/>
        <v>0</v>
      </c>
      <c r="BI148" s="3298">
        <f t="shared" si="78"/>
        <v>0</v>
      </c>
      <c r="BJ148" s="3298">
        <f t="shared" si="79"/>
        <v>0</v>
      </c>
      <c r="BK148" s="3298">
        <f t="shared" si="80"/>
        <v>0</v>
      </c>
      <c r="BL148" s="3298">
        <f t="shared" si="81"/>
        <v>0</v>
      </c>
      <c r="BM148" s="3298">
        <f t="shared" si="82"/>
        <v>0</v>
      </c>
      <c r="BN148" s="3298">
        <f t="shared" si="83"/>
        <v>0</v>
      </c>
      <c r="BO148" s="3298">
        <f t="shared" si="84"/>
        <v>0</v>
      </c>
      <c r="BP148" s="3298">
        <f t="shared" si="85"/>
        <v>0</v>
      </c>
      <c r="BQ148" s="3298">
        <f t="shared" si="86"/>
        <v>0</v>
      </c>
      <c r="BR148" s="3298">
        <f t="shared" si="87"/>
        <v>0</v>
      </c>
      <c r="BS148" s="3298">
        <f t="shared" si="88"/>
        <v>0</v>
      </c>
      <c r="BT148" s="3350">
        <f t="shared" si="89"/>
        <v>0</v>
      </c>
    </row>
    <row r="149" spans="1:72">
      <c r="A149" s="1407"/>
      <c r="B149" s="3296"/>
      <c r="C149" s="3296"/>
      <c r="D149" s="3297"/>
      <c r="E149" s="3298">
        <f t="shared" si="90"/>
        <v>0</v>
      </c>
      <c r="F149" s="3299"/>
      <c r="G149" s="3300">
        <f t="shared" si="65"/>
        <v>0</v>
      </c>
      <c r="H149" s="3301">
        <f t="shared" si="66"/>
        <v>0</v>
      </c>
      <c r="I149" s="3308"/>
      <c r="J149" s="3308"/>
      <c r="K149" s="3308"/>
      <c r="L149" s="3308"/>
      <c r="M149" s="3308"/>
      <c r="N149" s="3308"/>
      <c r="O149" s="3308"/>
      <c r="P149" s="3308"/>
      <c r="Q149" s="3308"/>
      <c r="R149" s="3308"/>
      <c r="S149" s="3308"/>
      <c r="T149" s="3308"/>
      <c r="U149" s="3308"/>
      <c r="V149" s="3308"/>
      <c r="W149" s="3308"/>
      <c r="X149" s="3308"/>
      <c r="Y149" s="3308"/>
      <c r="Z149" s="3308"/>
      <c r="AA149" s="3308"/>
      <c r="AB149" s="3308"/>
      <c r="AC149" s="3298">
        <f t="shared" si="67"/>
        <v>0</v>
      </c>
      <c r="AD149" s="3318"/>
      <c r="AE149" s="3318"/>
      <c r="AF149" s="3318"/>
      <c r="AG149" s="3318"/>
      <c r="AH149" s="3318"/>
      <c r="AI149" s="3318"/>
      <c r="AJ149" s="3318"/>
      <c r="AK149" s="3318"/>
      <c r="AL149" s="3318"/>
      <c r="AM149" s="3318"/>
      <c r="AN149" s="3318"/>
      <c r="AO149" s="3318"/>
      <c r="AP149" s="3318"/>
      <c r="AQ149" s="3318"/>
      <c r="AR149" s="3318"/>
      <c r="AS149" s="3318"/>
      <c r="AT149" s="3328"/>
      <c r="AU149" s="3329"/>
      <c r="AV149" s="963">
        <f t="shared" si="91"/>
        <v>0</v>
      </c>
      <c r="AW149" s="963">
        <f t="shared" si="92"/>
        <v>0</v>
      </c>
      <c r="AX149" s="963">
        <f t="shared" si="93"/>
        <v>0</v>
      </c>
      <c r="AY149" s="3343">
        <f t="shared" si="68"/>
        <v>0</v>
      </c>
      <c r="AZ149" s="3298">
        <f t="shared" si="69"/>
        <v>0</v>
      </c>
      <c r="BA149" s="3298">
        <f t="shared" si="70"/>
        <v>0</v>
      </c>
      <c r="BB149" s="3298">
        <f t="shared" si="71"/>
        <v>0</v>
      </c>
      <c r="BC149" s="3298">
        <f t="shared" si="72"/>
        <v>0</v>
      </c>
      <c r="BD149" s="3298">
        <f t="shared" si="73"/>
        <v>0</v>
      </c>
      <c r="BE149" s="3298">
        <f t="shared" si="74"/>
        <v>0</v>
      </c>
      <c r="BF149" s="3298">
        <f t="shared" si="75"/>
        <v>0</v>
      </c>
      <c r="BG149" s="3298">
        <f t="shared" si="76"/>
        <v>0</v>
      </c>
      <c r="BH149" s="3298">
        <f t="shared" si="77"/>
        <v>0</v>
      </c>
      <c r="BI149" s="3298">
        <f t="shared" si="78"/>
        <v>0</v>
      </c>
      <c r="BJ149" s="3298">
        <f t="shared" si="79"/>
        <v>0</v>
      </c>
      <c r="BK149" s="3298">
        <f t="shared" si="80"/>
        <v>0</v>
      </c>
      <c r="BL149" s="3298">
        <f t="shared" si="81"/>
        <v>0</v>
      </c>
      <c r="BM149" s="3298">
        <f t="shared" si="82"/>
        <v>0</v>
      </c>
      <c r="BN149" s="3298">
        <f t="shared" si="83"/>
        <v>0</v>
      </c>
      <c r="BO149" s="3298">
        <f t="shared" si="84"/>
        <v>0</v>
      </c>
      <c r="BP149" s="3298">
        <f t="shared" si="85"/>
        <v>0</v>
      </c>
      <c r="BQ149" s="3298">
        <f t="shared" si="86"/>
        <v>0</v>
      </c>
      <c r="BR149" s="3298">
        <f t="shared" si="87"/>
        <v>0</v>
      </c>
      <c r="BS149" s="3298">
        <f t="shared" si="88"/>
        <v>0</v>
      </c>
      <c r="BT149" s="3350">
        <f t="shared" si="89"/>
        <v>0</v>
      </c>
    </row>
    <row r="150" spans="1:72">
      <c r="A150" s="1407"/>
      <c r="B150" s="3296"/>
      <c r="C150" s="3296"/>
      <c r="D150" s="3297"/>
      <c r="E150" s="3298">
        <f t="shared" si="90"/>
        <v>0</v>
      </c>
      <c r="F150" s="3299"/>
      <c r="G150" s="3300">
        <f t="shared" si="65"/>
        <v>0</v>
      </c>
      <c r="H150" s="3301">
        <f t="shared" si="66"/>
        <v>0</v>
      </c>
      <c r="I150" s="3308"/>
      <c r="J150" s="3308"/>
      <c r="K150" s="3308"/>
      <c r="L150" s="3308"/>
      <c r="M150" s="3308"/>
      <c r="N150" s="3308"/>
      <c r="O150" s="3308"/>
      <c r="P150" s="3308"/>
      <c r="Q150" s="3308"/>
      <c r="R150" s="3308"/>
      <c r="S150" s="3308"/>
      <c r="T150" s="3308"/>
      <c r="U150" s="3308"/>
      <c r="V150" s="3308"/>
      <c r="W150" s="3308"/>
      <c r="X150" s="3308"/>
      <c r="Y150" s="3308"/>
      <c r="Z150" s="3308"/>
      <c r="AA150" s="3308"/>
      <c r="AB150" s="3308"/>
      <c r="AC150" s="3298">
        <f t="shared" si="67"/>
        <v>0</v>
      </c>
      <c r="AD150" s="3318"/>
      <c r="AE150" s="3318"/>
      <c r="AF150" s="3318"/>
      <c r="AG150" s="3318"/>
      <c r="AH150" s="3318"/>
      <c r="AI150" s="3318"/>
      <c r="AJ150" s="3318"/>
      <c r="AK150" s="3318"/>
      <c r="AL150" s="3318"/>
      <c r="AM150" s="3318"/>
      <c r="AN150" s="3318"/>
      <c r="AO150" s="3318"/>
      <c r="AP150" s="3318"/>
      <c r="AQ150" s="3318"/>
      <c r="AR150" s="3318"/>
      <c r="AS150" s="3318"/>
      <c r="AT150" s="3328"/>
      <c r="AU150" s="3329"/>
      <c r="AV150" s="963">
        <f t="shared" si="91"/>
        <v>0</v>
      </c>
      <c r="AW150" s="963">
        <f t="shared" si="92"/>
        <v>0</v>
      </c>
      <c r="AX150" s="963">
        <f t="shared" si="93"/>
        <v>0</v>
      </c>
      <c r="AY150" s="3343">
        <f t="shared" si="68"/>
        <v>0</v>
      </c>
      <c r="AZ150" s="3298">
        <f t="shared" si="69"/>
        <v>0</v>
      </c>
      <c r="BA150" s="3298">
        <f t="shared" si="70"/>
        <v>0</v>
      </c>
      <c r="BB150" s="3298">
        <f t="shared" si="71"/>
        <v>0</v>
      </c>
      <c r="BC150" s="3298">
        <f t="shared" si="72"/>
        <v>0</v>
      </c>
      <c r="BD150" s="3298">
        <f t="shared" si="73"/>
        <v>0</v>
      </c>
      <c r="BE150" s="3298">
        <f t="shared" si="74"/>
        <v>0</v>
      </c>
      <c r="BF150" s="3298">
        <f t="shared" si="75"/>
        <v>0</v>
      </c>
      <c r="BG150" s="3298">
        <f t="shared" si="76"/>
        <v>0</v>
      </c>
      <c r="BH150" s="3298">
        <f t="shared" si="77"/>
        <v>0</v>
      </c>
      <c r="BI150" s="3298">
        <f t="shared" si="78"/>
        <v>0</v>
      </c>
      <c r="BJ150" s="3298">
        <f t="shared" si="79"/>
        <v>0</v>
      </c>
      <c r="BK150" s="3298">
        <f t="shared" si="80"/>
        <v>0</v>
      </c>
      <c r="BL150" s="3298">
        <f t="shared" si="81"/>
        <v>0</v>
      </c>
      <c r="BM150" s="3298">
        <f t="shared" si="82"/>
        <v>0</v>
      </c>
      <c r="BN150" s="3298">
        <f t="shared" si="83"/>
        <v>0</v>
      </c>
      <c r="BO150" s="3298">
        <f t="shared" si="84"/>
        <v>0</v>
      </c>
      <c r="BP150" s="3298">
        <f t="shared" si="85"/>
        <v>0</v>
      </c>
      <c r="BQ150" s="3298">
        <f t="shared" si="86"/>
        <v>0</v>
      </c>
      <c r="BR150" s="3298">
        <f t="shared" si="87"/>
        <v>0</v>
      </c>
      <c r="BS150" s="3298">
        <f t="shared" si="88"/>
        <v>0</v>
      </c>
      <c r="BT150" s="3350">
        <f t="shared" si="89"/>
        <v>0</v>
      </c>
    </row>
    <row r="151" spans="1:72">
      <c r="A151" s="1407"/>
      <c r="B151" s="3296"/>
      <c r="C151" s="3296"/>
      <c r="D151" s="3297"/>
      <c r="E151" s="3298">
        <f t="shared" si="90"/>
        <v>0</v>
      </c>
      <c r="F151" s="3299"/>
      <c r="G151" s="3300">
        <f t="shared" si="65"/>
        <v>0</v>
      </c>
      <c r="H151" s="3301">
        <f t="shared" si="66"/>
        <v>0</v>
      </c>
      <c r="I151" s="3308"/>
      <c r="J151" s="3308"/>
      <c r="K151" s="3308"/>
      <c r="L151" s="3308"/>
      <c r="M151" s="3308"/>
      <c r="N151" s="3308"/>
      <c r="O151" s="3308"/>
      <c r="P151" s="3308"/>
      <c r="Q151" s="3308"/>
      <c r="R151" s="3308"/>
      <c r="S151" s="3308"/>
      <c r="T151" s="3308"/>
      <c r="U151" s="3308"/>
      <c r="V151" s="3308"/>
      <c r="W151" s="3308"/>
      <c r="X151" s="3308"/>
      <c r="Y151" s="3308"/>
      <c r="Z151" s="3308"/>
      <c r="AA151" s="3308"/>
      <c r="AB151" s="3308"/>
      <c r="AC151" s="3298">
        <f t="shared" si="67"/>
        <v>0</v>
      </c>
      <c r="AD151" s="3318"/>
      <c r="AE151" s="3318"/>
      <c r="AF151" s="3318"/>
      <c r="AG151" s="3318"/>
      <c r="AH151" s="3318"/>
      <c r="AI151" s="3318"/>
      <c r="AJ151" s="3318"/>
      <c r="AK151" s="3318"/>
      <c r="AL151" s="3318"/>
      <c r="AM151" s="3318"/>
      <c r="AN151" s="3318"/>
      <c r="AO151" s="3318"/>
      <c r="AP151" s="3318"/>
      <c r="AQ151" s="3318"/>
      <c r="AR151" s="3318"/>
      <c r="AS151" s="3318"/>
      <c r="AT151" s="3328"/>
      <c r="AU151" s="3329"/>
      <c r="AV151" s="963">
        <f t="shared" si="91"/>
        <v>0</v>
      </c>
      <c r="AW151" s="963">
        <f t="shared" si="92"/>
        <v>0</v>
      </c>
      <c r="AX151" s="963">
        <f t="shared" si="93"/>
        <v>0</v>
      </c>
      <c r="AY151" s="3343">
        <f t="shared" si="68"/>
        <v>0</v>
      </c>
      <c r="AZ151" s="3298">
        <f t="shared" si="69"/>
        <v>0</v>
      </c>
      <c r="BA151" s="3298">
        <f t="shared" si="70"/>
        <v>0</v>
      </c>
      <c r="BB151" s="3298">
        <f t="shared" si="71"/>
        <v>0</v>
      </c>
      <c r="BC151" s="3298">
        <f t="shared" si="72"/>
        <v>0</v>
      </c>
      <c r="BD151" s="3298">
        <f t="shared" si="73"/>
        <v>0</v>
      </c>
      <c r="BE151" s="3298">
        <f t="shared" si="74"/>
        <v>0</v>
      </c>
      <c r="BF151" s="3298">
        <f t="shared" si="75"/>
        <v>0</v>
      </c>
      <c r="BG151" s="3298">
        <f t="shared" si="76"/>
        <v>0</v>
      </c>
      <c r="BH151" s="3298">
        <f t="shared" si="77"/>
        <v>0</v>
      </c>
      <c r="BI151" s="3298">
        <f t="shared" si="78"/>
        <v>0</v>
      </c>
      <c r="BJ151" s="3298">
        <f t="shared" si="79"/>
        <v>0</v>
      </c>
      <c r="BK151" s="3298">
        <f t="shared" si="80"/>
        <v>0</v>
      </c>
      <c r="BL151" s="3298">
        <f t="shared" si="81"/>
        <v>0</v>
      </c>
      <c r="BM151" s="3298">
        <f t="shared" si="82"/>
        <v>0</v>
      </c>
      <c r="BN151" s="3298">
        <f t="shared" si="83"/>
        <v>0</v>
      </c>
      <c r="BO151" s="3298">
        <f t="shared" si="84"/>
        <v>0</v>
      </c>
      <c r="BP151" s="3298">
        <f t="shared" si="85"/>
        <v>0</v>
      </c>
      <c r="BQ151" s="3298">
        <f t="shared" si="86"/>
        <v>0</v>
      </c>
      <c r="BR151" s="3298">
        <f t="shared" si="87"/>
        <v>0</v>
      </c>
      <c r="BS151" s="3298">
        <f t="shared" si="88"/>
        <v>0</v>
      </c>
      <c r="BT151" s="3350">
        <f t="shared" si="89"/>
        <v>0</v>
      </c>
    </row>
    <row r="152" spans="1:72">
      <c r="A152" s="1407"/>
      <c r="B152" s="3296"/>
      <c r="C152" s="3296"/>
      <c r="D152" s="3297"/>
      <c r="E152" s="3298">
        <f t="shared" si="90"/>
        <v>0</v>
      </c>
      <c r="F152" s="3299"/>
      <c r="G152" s="3300">
        <f t="shared" si="65"/>
        <v>0</v>
      </c>
      <c r="H152" s="3301">
        <f t="shared" si="66"/>
        <v>0</v>
      </c>
      <c r="I152" s="3308"/>
      <c r="J152" s="3308"/>
      <c r="K152" s="3308"/>
      <c r="L152" s="3308"/>
      <c r="M152" s="3308"/>
      <c r="N152" s="3308"/>
      <c r="O152" s="3308"/>
      <c r="P152" s="3308"/>
      <c r="Q152" s="3308"/>
      <c r="R152" s="3308"/>
      <c r="S152" s="3308"/>
      <c r="T152" s="3308"/>
      <c r="U152" s="3308"/>
      <c r="V152" s="3308"/>
      <c r="W152" s="3308"/>
      <c r="X152" s="3308"/>
      <c r="Y152" s="3308"/>
      <c r="Z152" s="3308"/>
      <c r="AA152" s="3308"/>
      <c r="AB152" s="3308"/>
      <c r="AC152" s="3298">
        <f t="shared" si="67"/>
        <v>0</v>
      </c>
      <c r="AD152" s="3318"/>
      <c r="AE152" s="3318"/>
      <c r="AF152" s="3318"/>
      <c r="AG152" s="3318"/>
      <c r="AH152" s="3318"/>
      <c r="AI152" s="3318"/>
      <c r="AJ152" s="3318"/>
      <c r="AK152" s="3318"/>
      <c r="AL152" s="3318"/>
      <c r="AM152" s="3318"/>
      <c r="AN152" s="3318"/>
      <c r="AO152" s="3318"/>
      <c r="AP152" s="3318"/>
      <c r="AQ152" s="3318"/>
      <c r="AR152" s="3318"/>
      <c r="AS152" s="3318"/>
      <c r="AT152" s="3328"/>
      <c r="AU152" s="3329"/>
      <c r="AV152" s="963">
        <f t="shared" si="91"/>
        <v>0</v>
      </c>
      <c r="AW152" s="963">
        <f t="shared" si="92"/>
        <v>0</v>
      </c>
      <c r="AX152" s="963">
        <f t="shared" si="93"/>
        <v>0</v>
      </c>
      <c r="AY152" s="3343">
        <f t="shared" si="68"/>
        <v>0</v>
      </c>
      <c r="AZ152" s="3298">
        <f t="shared" si="69"/>
        <v>0</v>
      </c>
      <c r="BA152" s="3298">
        <f t="shared" si="70"/>
        <v>0</v>
      </c>
      <c r="BB152" s="3298">
        <f t="shared" si="71"/>
        <v>0</v>
      </c>
      <c r="BC152" s="3298">
        <f t="shared" si="72"/>
        <v>0</v>
      </c>
      <c r="BD152" s="3298">
        <f t="shared" si="73"/>
        <v>0</v>
      </c>
      <c r="BE152" s="3298">
        <f t="shared" si="74"/>
        <v>0</v>
      </c>
      <c r="BF152" s="3298">
        <f t="shared" si="75"/>
        <v>0</v>
      </c>
      <c r="BG152" s="3298">
        <f t="shared" si="76"/>
        <v>0</v>
      </c>
      <c r="BH152" s="3298">
        <f t="shared" si="77"/>
        <v>0</v>
      </c>
      <c r="BI152" s="3298">
        <f t="shared" si="78"/>
        <v>0</v>
      </c>
      <c r="BJ152" s="3298">
        <f t="shared" si="79"/>
        <v>0</v>
      </c>
      <c r="BK152" s="3298">
        <f t="shared" si="80"/>
        <v>0</v>
      </c>
      <c r="BL152" s="3298">
        <f t="shared" si="81"/>
        <v>0</v>
      </c>
      <c r="BM152" s="3298">
        <f t="shared" si="82"/>
        <v>0</v>
      </c>
      <c r="BN152" s="3298">
        <f t="shared" si="83"/>
        <v>0</v>
      </c>
      <c r="BO152" s="3298">
        <f t="shared" si="84"/>
        <v>0</v>
      </c>
      <c r="BP152" s="3298">
        <f t="shared" si="85"/>
        <v>0</v>
      </c>
      <c r="BQ152" s="3298">
        <f t="shared" si="86"/>
        <v>0</v>
      </c>
      <c r="BR152" s="3298">
        <f t="shared" si="87"/>
        <v>0</v>
      </c>
      <c r="BS152" s="3298">
        <f t="shared" si="88"/>
        <v>0</v>
      </c>
      <c r="BT152" s="3350">
        <f t="shared" si="89"/>
        <v>0</v>
      </c>
    </row>
    <row r="153" spans="1:72">
      <c r="A153" s="1407"/>
      <c r="B153" s="3296"/>
      <c r="C153" s="3296"/>
      <c r="D153" s="3297"/>
      <c r="E153" s="3298">
        <f t="shared" si="90"/>
        <v>0</v>
      </c>
      <c r="F153" s="3299"/>
      <c r="G153" s="3300">
        <f t="shared" si="65"/>
        <v>0</v>
      </c>
      <c r="H153" s="3301">
        <f t="shared" si="66"/>
        <v>0</v>
      </c>
      <c r="I153" s="3308"/>
      <c r="J153" s="3308"/>
      <c r="K153" s="3308"/>
      <c r="L153" s="3308"/>
      <c r="M153" s="3308"/>
      <c r="N153" s="3308"/>
      <c r="O153" s="3308"/>
      <c r="P153" s="3308"/>
      <c r="Q153" s="3308"/>
      <c r="R153" s="3308"/>
      <c r="S153" s="3308"/>
      <c r="T153" s="3308"/>
      <c r="U153" s="3308"/>
      <c r="V153" s="3308"/>
      <c r="W153" s="3308"/>
      <c r="X153" s="3308"/>
      <c r="Y153" s="3308"/>
      <c r="Z153" s="3308"/>
      <c r="AA153" s="3308"/>
      <c r="AB153" s="3308"/>
      <c r="AC153" s="3298">
        <f t="shared" si="67"/>
        <v>0</v>
      </c>
      <c r="AD153" s="3318"/>
      <c r="AE153" s="3318"/>
      <c r="AF153" s="3318"/>
      <c r="AG153" s="3318"/>
      <c r="AH153" s="3318"/>
      <c r="AI153" s="3318"/>
      <c r="AJ153" s="3318"/>
      <c r="AK153" s="3318"/>
      <c r="AL153" s="3318"/>
      <c r="AM153" s="3318"/>
      <c r="AN153" s="3318"/>
      <c r="AO153" s="3318"/>
      <c r="AP153" s="3318"/>
      <c r="AQ153" s="3318"/>
      <c r="AR153" s="3318"/>
      <c r="AS153" s="3318"/>
      <c r="AT153" s="3328"/>
      <c r="AU153" s="3329"/>
      <c r="AV153" s="963">
        <f t="shared" si="91"/>
        <v>0</v>
      </c>
      <c r="AW153" s="963">
        <f t="shared" si="92"/>
        <v>0</v>
      </c>
      <c r="AX153" s="963">
        <f t="shared" si="93"/>
        <v>0</v>
      </c>
      <c r="AY153" s="3343">
        <f t="shared" si="68"/>
        <v>0</v>
      </c>
      <c r="AZ153" s="3298">
        <f t="shared" si="69"/>
        <v>0</v>
      </c>
      <c r="BA153" s="3298">
        <f t="shared" si="70"/>
        <v>0</v>
      </c>
      <c r="BB153" s="3298">
        <f t="shared" si="71"/>
        <v>0</v>
      </c>
      <c r="BC153" s="3298">
        <f t="shared" si="72"/>
        <v>0</v>
      </c>
      <c r="BD153" s="3298">
        <f t="shared" si="73"/>
        <v>0</v>
      </c>
      <c r="BE153" s="3298">
        <f t="shared" si="74"/>
        <v>0</v>
      </c>
      <c r="BF153" s="3298">
        <f t="shared" si="75"/>
        <v>0</v>
      </c>
      <c r="BG153" s="3298">
        <f t="shared" si="76"/>
        <v>0</v>
      </c>
      <c r="BH153" s="3298">
        <f t="shared" si="77"/>
        <v>0</v>
      </c>
      <c r="BI153" s="3298">
        <f t="shared" si="78"/>
        <v>0</v>
      </c>
      <c r="BJ153" s="3298">
        <f t="shared" si="79"/>
        <v>0</v>
      </c>
      <c r="BK153" s="3298">
        <f t="shared" si="80"/>
        <v>0</v>
      </c>
      <c r="BL153" s="3298">
        <f t="shared" si="81"/>
        <v>0</v>
      </c>
      <c r="BM153" s="3298">
        <f t="shared" si="82"/>
        <v>0</v>
      </c>
      <c r="BN153" s="3298">
        <f t="shared" si="83"/>
        <v>0</v>
      </c>
      <c r="BO153" s="3298">
        <f t="shared" si="84"/>
        <v>0</v>
      </c>
      <c r="BP153" s="3298">
        <f t="shared" si="85"/>
        <v>0</v>
      </c>
      <c r="BQ153" s="3298">
        <f t="shared" si="86"/>
        <v>0</v>
      </c>
      <c r="BR153" s="3298">
        <f t="shared" si="87"/>
        <v>0</v>
      </c>
      <c r="BS153" s="3298">
        <f t="shared" si="88"/>
        <v>0</v>
      </c>
      <c r="BT153" s="3350">
        <f t="shared" si="89"/>
        <v>0</v>
      </c>
    </row>
    <row r="154" spans="1:72">
      <c r="A154" s="1407"/>
      <c r="B154" s="3296"/>
      <c r="C154" s="3296"/>
      <c r="D154" s="3297"/>
      <c r="E154" s="3298">
        <f t="shared" si="90"/>
        <v>0</v>
      </c>
      <c r="F154" s="3299"/>
      <c r="G154" s="3300">
        <f t="shared" si="65"/>
        <v>0</v>
      </c>
      <c r="H154" s="3301">
        <f t="shared" si="66"/>
        <v>0</v>
      </c>
      <c r="I154" s="3308"/>
      <c r="J154" s="3308"/>
      <c r="K154" s="3308"/>
      <c r="L154" s="3308"/>
      <c r="M154" s="3308"/>
      <c r="N154" s="3308"/>
      <c r="O154" s="3308"/>
      <c r="P154" s="3308"/>
      <c r="Q154" s="3308"/>
      <c r="R154" s="3308"/>
      <c r="S154" s="3308"/>
      <c r="T154" s="3308"/>
      <c r="U154" s="3308"/>
      <c r="V154" s="3308"/>
      <c r="W154" s="3308"/>
      <c r="X154" s="3308"/>
      <c r="Y154" s="3308"/>
      <c r="Z154" s="3308"/>
      <c r="AA154" s="3308"/>
      <c r="AB154" s="3308"/>
      <c r="AC154" s="3298">
        <f t="shared" si="67"/>
        <v>0</v>
      </c>
      <c r="AD154" s="3318"/>
      <c r="AE154" s="3318"/>
      <c r="AF154" s="3318"/>
      <c r="AG154" s="3318"/>
      <c r="AH154" s="3318"/>
      <c r="AI154" s="3318"/>
      <c r="AJ154" s="3318"/>
      <c r="AK154" s="3318"/>
      <c r="AL154" s="3318"/>
      <c r="AM154" s="3318"/>
      <c r="AN154" s="3318"/>
      <c r="AO154" s="3318"/>
      <c r="AP154" s="3318"/>
      <c r="AQ154" s="3318"/>
      <c r="AR154" s="3318"/>
      <c r="AS154" s="3318"/>
      <c r="AT154" s="3328"/>
      <c r="AU154" s="3329"/>
      <c r="AV154" s="963">
        <f t="shared" si="91"/>
        <v>0</v>
      </c>
      <c r="AW154" s="963">
        <f t="shared" si="92"/>
        <v>0</v>
      </c>
      <c r="AX154" s="963">
        <f t="shared" si="93"/>
        <v>0</v>
      </c>
      <c r="AY154" s="3343">
        <f t="shared" si="68"/>
        <v>0</v>
      </c>
      <c r="AZ154" s="3298">
        <f t="shared" si="69"/>
        <v>0</v>
      </c>
      <c r="BA154" s="3298">
        <f t="shared" si="70"/>
        <v>0</v>
      </c>
      <c r="BB154" s="3298">
        <f t="shared" si="71"/>
        <v>0</v>
      </c>
      <c r="BC154" s="3298">
        <f t="shared" si="72"/>
        <v>0</v>
      </c>
      <c r="BD154" s="3298">
        <f t="shared" si="73"/>
        <v>0</v>
      </c>
      <c r="BE154" s="3298">
        <f t="shared" si="74"/>
        <v>0</v>
      </c>
      <c r="BF154" s="3298">
        <f t="shared" si="75"/>
        <v>0</v>
      </c>
      <c r="BG154" s="3298">
        <f t="shared" si="76"/>
        <v>0</v>
      </c>
      <c r="BH154" s="3298">
        <f t="shared" si="77"/>
        <v>0</v>
      </c>
      <c r="BI154" s="3298">
        <f t="shared" si="78"/>
        <v>0</v>
      </c>
      <c r="BJ154" s="3298">
        <f t="shared" si="79"/>
        <v>0</v>
      </c>
      <c r="BK154" s="3298">
        <f t="shared" si="80"/>
        <v>0</v>
      </c>
      <c r="BL154" s="3298">
        <f t="shared" si="81"/>
        <v>0</v>
      </c>
      <c r="BM154" s="3298">
        <f t="shared" si="82"/>
        <v>0</v>
      </c>
      <c r="BN154" s="3298">
        <f t="shared" si="83"/>
        <v>0</v>
      </c>
      <c r="BO154" s="3298">
        <f t="shared" si="84"/>
        <v>0</v>
      </c>
      <c r="BP154" s="3298">
        <f t="shared" si="85"/>
        <v>0</v>
      </c>
      <c r="BQ154" s="3298">
        <f t="shared" si="86"/>
        <v>0</v>
      </c>
      <c r="BR154" s="3298">
        <f t="shared" si="87"/>
        <v>0</v>
      </c>
      <c r="BS154" s="3298">
        <f t="shared" si="88"/>
        <v>0</v>
      </c>
      <c r="BT154" s="3350">
        <f t="shared" si="89"/>
        <v>0</v>
      </c>
    </row>
    <row r="155" spans="1:72">
      <c r="A155" s="1407"/>
      <c r="B155" s="3296"/>
      <c r="C155" s="3296"/>
      <c r="D155" s="3297"/>
      <c r="E155" s="3298">
        <f t="shared" si="90"/>
        <v>0</v>
      </c>
      <c r="F155" s="3299"/>
      <c r="G155" s="3300">
        <f t="shared" si="65"/>
        <v>0</v>
      </c>
      <c r="H155" s="3301">
        <f t="shared" si="66"/>
        <v>0</v>
      </c>
      <c r="I155" s="3308"/>
      <c r="J155" s="3308"/>
      <c r="K155" s="3308"/>
      <c r="L155" s="3308"/>
      <c r="M155" s="3308"/>
      <c r="N155" s="3308"/>
      <c r="O155" s="3308"/>
      <c r="P155" s="3308"/>
      <c r="Q155" s="3308"/>
      <c r="R155" s="3308"/>
      <c r="S155" s="3308"/>
      <c r="T155" s="3308"/>
      <c r="U155" s="3308"/>
      <c r="V155" s="3308"/>
      <c r="W155" s="3308"/>
      <c r="X155" s="3308"/>
      <c r="Y155" s="3308"/>
      <c r="Z155" s="3308"/>
      <c r="AA155" s="3308"/>
      <c r="AB155" s="3308"/>
      <c r="AC155" s="3298">
        <f t="shared" si="67"/>
        <v>0</v>
      </c>
      <c r="AD155" s="3318"/>
      <c r="AE155" s="3318"/>
      <c r="AF155" s="3318"/>
      <c r="AG155" s="3318"/>
      <c r="AH155" s="3318"/>
      <c r="AI155" s="3318"/>
      <c r="AJ155" s="3318"/>
      <c r="AK155" s="3318"/>
      <c r="AL155" s="3318"/>
      <c r="AM155" s="3318"/>
      <c r="AN155" s="3318"/>
      <c r="AO155" s="3318"/>
      <c r="AP155" s="3318"/>
      <c r="AQ155" s="3318"/>
      <c r="AR155" s="3318"/>
      <c r="AS155" s="3318"/>
      <c r="AT155" s="3328"/>
      <c r="AU155" s="3329"/>
      <c r="AV155" s="963">
        <f t="shared" si="91"/>
        <v>0</v>
      </c>
      <c r="AW155" s="963">
        <f t="shared" si="92"/>
        <v>0</v>
      </c>
      <c r="AX155" s="963">
        <f t="shared" si="93"/>
        <v>0</v>
      </c>
      <c r="AY155" s="3343">
        <f t="shared" si="68"/>
        <v>0</v>
      </c>
      <c r="AZ155" s="3298">
        <f t="shared" si="69"/>
        <v>0</v>
      </c>
      <c r="BA155" s="3298">
        <f t="shared" si="70"/>
        <v>0</v>
      </c>
      <c r="BB155" s="3298">
        <f t="shared" si="71"/>
        <v>0</v>
      </c>
      <c r="BC155" s="3298">
        <f t="shared" si="72"/>
        <v>0</v>
      </c>
      <c r="BD155" s="3298">
        <f t="shared" si="73"/>
        <v>0</v>
      </c>
      <c r="BE155" s="3298">
        <f t="shared" si="74"/>
        <v>0</v>
      </c>
      <c r="BF155" s="3298">
        <f t="shared" si="75"/>
        <v>0</v>
      </c>
      <c r="BG155" s="3298">
        <f t="shared" si="76"/>
        <v>0</v>
      </c>
      <c r="BH155" s="3298">
        <f t="shared" si="77"/>
        <v>0</v>
      </c>
      <c r="BI155" s="3298">
        <f t="shared" si="78"/>
        <v>0</v>
      </c>
      <c r="BJ155" s="3298">
        <f t="shared" si="79"/>
        <v>0</v>
      </c>
      <c r="BK155" s="3298">
        <f t="shared" si="80"/>
        <v>0</v>
      </c>
      <c r="BL155" s="3298">
        <f t="shared" si="81"/>
        <v>0</v>
      </c>
      <c r="BM155" s="3298">
        <f t="shared" si="82"/>
        <v>0</v>
      </c>
      <c r="BN155" s="3298">
        <f t="shared" si="83"/>
        <v>0</v>
      </c>
      <c r="BO155" s="3298">
        <f t="shared" si="84"/>
        <v>0</v>
      </c>
      <c r="BP155" s="3298">
        <f t="shared" si="85"/>
        <v>0</v>
      </c>
      <c r="BQ155" s="3298">
        <f t="shared" si="86"/>
        <v>0</v>
      </c>
      <c r="BR155" s="3298">
        <f t="shared" si="87"/>
        <v>0</v>
      </c>
      <c r="BS155" s="3298">
        <f t="shared" si="88"/>
        <v>0</v>
      </c>
      <c r="BT155" s="3350">
        <f t="shared" si="89"/>
        <v>0</v>
      </c>
    </row>
    <row r="156" spans="1:72">
      <c r="A156" s="1407"/>
      <c r="B156" s="3296"/>
      <c r="C156" s="3296"/>
      <c r="D156" s="3297"/>
      <c r="E156" s="3298">
        <f t="shared" si="90"/>
        <v>0</v>
      </c>
      <c r="F156" s="3299"/>
      <c r="G156" s="3300">
        <f t="shared" si="65"/>
        <v>0</v>
      </c>
      <c r="H156" s="3301">
        <f t="shared" si="66"/>
        <v>0</v>
      </c>
      <c r="I156" s="3308"/>
      <c r="J156" s="3308"/>
      <c r="K156" s="3308"/>
      <c r="L156" s="3308"/>
      <c r="M156" s="3308"/>
      <c r="N156" s="3308"/>
      <c r="O156" s="3308"/>
      <c r="P156" s="3308"/>
      <c r="Q156" s="3308"/>
      <c r="R156" s="3308"/>
      <c r="S156" s="3308"/>
      <c r="T156" s="3308"/>
      <c r="U156" s="3308"/>
      <c r="V156" s="3308"/>
      <c r="W156" s="3308"/>
      <c r="X156" s="3308"/>
      <c r="Y156" s="3308"/>
      <c r="Z156" s="3308"/>
      <c r="AA156" s="3308"/>
      <c r="AB156" s="3308"/>
      <c r="AC156" s="3298">
        <f t="shared" si="67"/>
        <v>0</v>
      </c>
      <c r="AD156" s="3318"/>
      <c r="AE156" s="3318"/>
      <c r="AF156" s="3318"/>
      <c r="AG156" s="3318"/>
      <c r="AH156" s="3318"/>
      <c r="AI156" s="3318"/>
      <c r="AJ156" s="3318"/>
      <c r="AK156" s="3318"/>
      <c r="AL156" s="3318"/>
      <c r="AM156" s="3318"/>
      <c r="AN156" s="3318"/>
      <c r="AO156" s="3318"/>
      <c r="AP156" s="3318"/>
      <c r="AQ156" s="3318"/>
      <c r="AR156" s="3318"/>
      <c r="AS156" s="3318"/>
      <c r="AT156" s="3328"/>
      <c r="AU156" s="3329"/>
      <c r="AV156" s="963">
        <f t="shared" si="91"/>
        <v>0</v>
      </c>
      <c r="AW156" s="963">
        <f t="shared" si="92"/>
        <v>0</v>
      </c>
      <c r="AX156" s="963">
        <f t="shared" si="93"/>
        <v>0</v>
      </c>
      <c r="AY156" s="3343">
        <f t="shared" si="68"/>
        <v>0</v>
      </c>
      <c r="AZ156" s="3298">
        <f t="shared" si="69"/>
        <v>0</v>
      </c>
      <c r="BA156" s="3298">
        <f t="shared" si="70"/>
        <v>0</v>
      </c>
      <c r="BB156" s="3298">
        <f t="shared" si="71"/>
        <v>0</v>
      </c>
      <c r="BC156" s="3298">
        <f t="shared" si="72"/>
        <v>0</v>
      </c>
      <c r="BD156" s="3298">
        <f t="shared" si="73"/>
        <v>0</v>
      </c>
      <c r="BE156" s="3298">
        <f t="shared" si="74"/>
        <v>0</v>
      </c>
      <c r="BF156" s="3298">
        <f t="shared" si="75"/>
        <v>0</v>
      </c>
      <c r="BG156" s="3298">
        <f t="shared" si="76"/>
        <v>0</v>
      </c>
      <c r="BH156" s="3298">
        <f t="shared" si="77"/>
        <v>0</v>
      </c>
      <c r="BI156" s="3298">
        <f t="shared" si="78"/>
        <v>0</v>
      </c>
      <c r="BJ156" s="3298">
        <f t="shared" si="79"/>
        <v>0</v>
      </c>
      <c r="BK156" s="3298">
        <f t="shared" si="80"/>
        <v>0</v>
      </c>
      <c r="BL156" s="3298">
        <f t="shared" si="81"/>
        <v>0</v>
      </c>
      <c r="BM156" s="3298">
        <f t="shared" si="82"/>
        <v>0</v>
      </c>
      <c r="BN156" s="3298">
        <f t="shared" si="83"/>
        <v>0</v>
      </c>
      <c r="BO156" s="3298">
        <f t="shared" si="84"/>
        <v>0</v>
      </c>
      <c r="BP156" s="3298">
        <f t="shared" si="85"/>
        <v>0</v>
      </c>
      <c r="BQ156" s="3298">
        <f t="shared" si="86"/>
        <v>0</v>
      </c>
      <c r="BR156" s="3298">
        <f t="shared" si="87"/>
        <v>0</v>
      </c>
      <c r="BS156" s="3298">
        <f t="shared" si="88"/>
        <v>0</v>
      </c>
      <c r="BT156" s="3350">
        <f t="shared" si="89"/>
        <v>0</v>
      </c>
    </row>
    <row r="157" spans="1:72">
      <c r="A157" s="1407"/>
      <c r="B157" s="3296"/>
      <c r="C157" s="3296"/>
      <c r="D157" s="3297"/>
      <c r="E157" s="3298">
        <f t="shared" si="90"/>
        <v>0</v>
      </c>
      <c r="F157" s="3299"/>
      <c r="G157" s="3300">
        <f t="shared" si="65"/>
        <v>0</v>
      </c>
      <c r="H157" s="3301">
        <f t="shared" si="66"/>
        <v>0</v>
      </c>
      <c r="I157" s="3308"/>
      <c r="J157" s="3308"/>
      <c r="K157" s="3308"/>
      <c r="L157" s="3308"/>
      <c r="M157" s="3308"/>
      <c r="N157" s="3308"/>
      <c r="O157" s="3308"/>
      <c r="P157" s="3308"/>
      <c r="Q157" s="3308"/>
      <c r="R157" s="3308"/>
      <c r="S157" s="3308"/>
      <c r="T157" s="3308"/>
      <c r="U157" s="3308"/>
      <c r="V157" s="3308"/>
      <c r="W157" s="3308"/>
      <c r="X157" s="3308"/>
      <c r="Y157" s="3308"/>
      <c r="Z157" s="3308"/>
      <c r="AA157" s="3308"/>
      <c r="AB157" s="3308"/>
      <c r="AC157" s="3298">
        <f t="shared" si="67"/>
        <v>0</v>
      </c>
      <c r="AD157" s="3318"/>
      <c r="AE157" s="3318"/>
      <c r="AF157" s="3318"/>
      <c r="AG157" s="3318"/>
      <c r="AH157" s="3318"/>
      <c r="AI157" s="3318"/>
      <c r="AJ157" s="3318"/>
      <c r="AK157" s="3318"/>
      <c r="AL157" s="3318"/>
      <c r="AM157" s="3318"/>
      <c r="AN157" s="3318"/>
      <c r="AO157" s="3318"/>
      <c r="AP157" s="3318"/>
      <c r="AQ157" s="3318"/>
      <c r="AR157" s="3318"/>
      <c r="AS157" s="3318"/>
      <c r="AT157" s="3328"/>
      <c r="AU157" s="3329"/>
      <c r="AV157" s="963">
        <f t="shared" si="91"/>
        <v>0</v>
      </c>
      <c r="AW157" s="963">
        <f t="shared" si="92"/>
        <v>0</v>
      </c>
      <c r="AX157" s="963">
        <f t="shared" si="93"/>
        <v>0</v>
      </c>
      <c r="AY157" s="3343">
        <f t="shared" si="68"/>
        <v>0</v>
      </c>
      <c r="AZ157" s="3298">
        <f t="shared" si="69"/>
        <v>0</v>
      </c>
      <c r="BA157" s="3298">
        <f t="shared" si="70"/>
        <v>0</v>
      </c>
      <c r="BB157" s="3298">
        <f t="shared" si="71"/>
        <v>0</v>
      </c>
      <c r="BC157" s="3298">
        <f t="shared" si="72"/>
        <v>0</v>
      </c>
      <c r="BD157" s="3298">
        <f t="shared" si="73"/>
        <v>0</v>
      </c>
      <c r="BE157" s="3298">
        <f t="shared" si="74"/>
        <v>0</v>
      </c>
      <c r="BF157" s="3298">
        <f t="shared" si="75"/>
        <v>0</v>
      </c>
      <c r="BG157" s="3298">
        <f t="shared" si="76"/>
        <v>0</v>
      </c>
      <c r="BH157" s="3298">
        <f t="shared" si="77"/>
        <v>0</v>
      </c>
      <c r="BI157" s="3298">
        <f t="shared" si="78"/>
        <v>0</v>
      </c>
      <c r="BJ157" s="3298">
        <f t="shared" si="79"/>
        <v>0</v>
      </c>
      <c r="BK157" s="3298">
        <f t="shared" si="80"/>
        <v>0</v>
      </c>
      <c r="BL157" s="3298">
        <f t="shared" si="81"/>
        <v>0</v>
      </c>
      <c r="BM157" s="3298">
        <f t="shared" si="82"/>
        <v>0</v>
      </c>
      <c r="BN157" s="3298">
        <f t="shared" si="83"/>
        <v>0</v>
      </c>
      <c r="BO157" s="3298">
        <f t="shared" si="84"/>
        <v>0</v>
      </c>
      <c r="BP157" s="3298">
        <f t="shared" si="85"/>
        <v>0</v>
      </c>
      <c r="BQ157" s="3298">
        <f t="shared" si="86"/>
        <v>0</v>
      </c>
      <c r="BR157" s="3298">
        <f t="shared" si="87"/>
        <v>0</v>
      </c>
      <c r="BS157" s="3298">
        <f t="shared" si="88"/>
        <v>0</v>
      </c>
      <c r="BT157" s="3350">
        <f t="shared" si="89"/>
        <v>0</v>
      </c>
    </row>
    <row r="158" spans="1:72">
      <c r="A158" s="1407"/>
      <c r="B158" s="3296"/>
      <c r="C158" s="3296"/>
      <c r="D158" s="3297"/>
      <c r="E158" s="3298">
        <f t="shared" si="90"/>
        <v>0</v>
      </c>
      <c r="F158" s="3299"/>
      <c r="G158" s="3300">
        <f t="shared" si="65"/>
        <v>0</v>
      </c>
      <c r="H158" s="3301">
        <f t="shared" si="66"/>
        <v>0</v>
      </c>
      <c r="I158" s="3308"/>
      <c r="J158" s="3308"/>
      <c r="K158" s="3308"/>
      <c r="L158" s="3308"/>
      <c r="M158" s="3308"/>
      <c r="N158" s="3308"/>
      <c r="O158" s="3308"/>
      <c r="P158" s="3308"/>
      <c r="Q158" s="3308"/>
      <c r="R158" s="3308"/>
      <c r="S158" s="3308"/>
      <c r="T158" s="3308"/>
      <c r="U158" s="3308"/>
      <c r="V158" s="3308"/>
      <c r="W158" s="3308"/>
      <c r="X158" s="3308"/>
      <c r="Y158" s="3308"/>
      <c r="Z158" s="3308"/>
      <c r="AA158" s="3308"/>
      <c r="AB158" s="3308"/>
      <c r="AC158" s="3298">
        <f t="shared" si="67"/>
        <v>0</v>
      </c>
      <c r="AD158" s="3318"/>
      <c r="AE158" s="3318"/>
      <c r="AF158" s="3318"/>
      <c r="AG158" s="3318"/>
      <c r="AH158" s="3318"/>
      <c r="AI158" s="3318"/>
      <c r="AJ158" s="3318"/>
      <c r="AK158" s="3318"/>
      <c r="AL158" s="3318"/>
      <c r="AM158" s="3318"/>
      <c r="AN158" s="3318"/>
      <c r="AO158" s="3318"/>
      <c r="AP158" s="3318"/>
      <c r="AQ158" s="3318"/>
      <c r="AR158" s="3318"/>
      <c r="AS158" s="3318"/>
      <c r="AT158" s="3328"/>
      <c r="AU158" s="3329"/>
      <c r="AV158" s="963">
        <f t="shared" si="91"/>
        <v>0</v>
      </c>
      <c r="AW158" s="963">
        <f t="shared" si="92"/>
        <v>0</v>
      </c>
      <c r="AX158" s="963">
        <f t="shared" si="93"/>
        <v>0</v>
      </c>
      <c r="AY158" s="3343">
        <f t="shared" si="68"/>
        <v>0</v>
      </c>
      <c r="AZ158" s="3298">
        <f t="shared" si="69"/>
        <v>0</v>
      </c>
      <c r="BA158" s="3298">
        <f t="shared" si="70"/>
        <v>0</v>
      </c>
      <c r="BB158" s="3298">
        <f t="shared" si="71"/>
        <v>0</v>
      </c>
      <c r="BC158" s="3298">
        <f t="shared" si="72"/>
        <v>0</v>
      </c>
      <c r="BD158" s="3298">
        <f t="shared" si="73"/>
        <v>0</v>
      </c>
      <c r="BE158" s="3298">
        <f t="shared" si="74"/>
        <v>0</v>
      </c>
      <c r="BF158" s="3298">
        <f t="shared" si="75"/>
        <v>0</v>
      </c>
      <c r="BG158" s="3298">
        <f t="shared" si="76"/>
        <v>0</v>
      </c>
      <c r="BH158" s="3298">
        <f t="shared" si="77"/>
        <v>0</v>
      </c>
      <c r="BI158" s="3298">
        <f t="shared" si="78"/>
        <v>0</v>
      </c>
      <c r="BJ158" s="3298">
        <f t="shared" si="79"/>
        <v>0</v>
      </c>
      <c r="BK158" s="3298">
        <f t="shared" si="80"/>
        <v>0</v>
      </c>
      <c r="BL158" s="3298">
        <f t="shared" si="81"/>
        <v>0</v>
      </c>
      <c r="BM158" s="3298">
        <f t="shared" si="82"/>
        <v>0</v>
      </c>
      <c r="BN158" s="3298">
        <f t="shared" si="83"/>
        <v>0</v>
      </c>
      <c r="BO158" s="3298">
        <f t="shared" si="84"/>
        <v>0</v>
      </c>
      <c r="BP158" s="3298">
        <f t="shared" si="85"/>
        <v>0</v>
      </c>
      <c r="BQ158" s="3298">
        <f t="shared" si="86"/>
        <v>0</v>
      </c>
      <c r="BR158" s="3298">
        <f t="shared" si="87"/>
        <v>0</v>
      </c>
      <c r="BS158" s="3298">
        <f t="shared" si="88"/>
        <v>0</v>
      </c>
      <c r="BT158" s="3350">
        <f t="shared" si="89"/>
        <v>0</v>
      </c>
    </row>
    <row r="159" spans="1:72">
      <c r="A159" s="1407"/>
      <c r="B159" s="3296"/>
      <c r="C159" s="3296"/>
      <c r="D159" s="3297"/>
      <c r="E159" s="3298">
        <f t="shared" si="90"/>
        <v>0</v>
      </c>
      <c r="F159" s="3299"/>
      <c r="G159" s="3300">
        <f t="shared" si="65"/>
        <v>0</v>
      </c>
      <c r="H159" s="3301">
        <f t="shared" si="66"/>
        <v>0</v>
      </c>
      <c r="I159" s="3308"/>
      <c r="J159" s="3308"/>
      <c r="K159" s="3308"/>
      <c r="L159" s="3308"/>
      <c r="M159" s="3308"/>
      <c r="N159" s="3308"/>
      <c r="O159" s="3308"/>
      <c r="P159" s="3308"/>
      <c r="Q159" s="3308"/>
      <c r="R159" s="3308"/>
      <c r="S159" s="3308"/>
      <c r="T159" s="3308"/>
      <c r="U159" s="3308"/>
      <c r="V159" s="3308"/>
      <c r="W159" s="3308"/>
      <c r="X159" s="3308"/>
      <c r="Y159" s="3308"/>
      <c r="Z159" s="3308"/>
      <c r="AA159" s="3308"/>
      <c r="AB159" s="3308"/>
      <c r="AC159" s="3298">
        <f t="shared" si="67"/>
        <v>0</v>
      </c>
      <c r="AD159" s="3318"/>
      <c r="AE159" s="3318"/>
      <c r="AF159" s="3318"/>
      <c r="AG159" s="3318"/>
      <c r="AH159" s="3318"/>
      <c r="AI159" s="3318"/>
      <c r="AJ159" s="3318"/>
      <c r="AK159" s="3318"/>
      <c r="AL159" s="3318"/>
      <c r="AM159" s="3318"/>
      <c r="AN159" s="3318"/>
      <c r="AO159" s="3318"/>
      <c r="AP159" s="3318"/>
      <c r="AQ159" s="3318"/>
      <c r="AR159" s="3318"/>
      <c r="AS159" s="3318"/>
      <c r="AT159" s="3328"/>
      <c r="AU159" s="3329"/>
      <c r="AV159" s="963">
        <f t="shared" si="91"/>
        <v>0</v>
      </c>
      <c r="AW159" s="963">
        <f t="shared" si="92"/>
        <v>0</v>
      </c>
      <c r="AX159" s="963">
        <f t="shared" si="93"/>
        <v>0</v>
      </c>
      <c r="AY159" s="3343">
        <f t="shared" si="68"/>
        <v>0</v>
      </c>
      <c r="AZ159" s="3298">
        <f t="shared" si="69"/>
        <v>0</v>
      </c>
      <c r="BA159" s="3298">
        <f t="shared" si="70"/>
        <v>0</v>
      </c>
      <c r="BB159" s="3298">
        <f t="shared" si="71"/>
        <v>0</v>
      </c>
      <c r="BC159" s="3298">
        <f t="shared" si="72"/>
        <v>0</v>
      </c>
      <c r="BD159" s="3298">
        <f t="shared" si="73"/>
        <v>0</v>
      </c>
      <c r="BE159" s="3298">
        <f t="shared" si="74"/>
        <v>0</v>
      </c>
      <c r="BF159" s="3298">
        <f t="shared" si="75"/>
        <v>0</v>
      </c>
      <c r="BG159" s="3298">
        <f t="shared" si="76"/>
        <v>0</v>
      </c>
      <c r="BH159" s="3298">
        <f t="shared" si="77"/>
        <v>0</v>
      </c>
      <c r="BI159" s="3298">
        <f t="shared" si="78"/>
        <v>0</v>
      </c>
      <c r="BJ159" s="3298">
        <f t="shared" si="79"/>
        <v>0</v>
      </c>
      <c r="BK159" s="3298">
        <f t="shared" si="80"/>
        <v>0</v>
      </c>
      <c r="BL159" s="3298">
        <f t="shared" si="81"/>
        <v>0</v>
      </c>
      <c r="BM159" s="3298">
        <f t="shared" si="82"/>
        <v>0</v>
      </c>
      <c r="BN159" s="3298">
        <f t="shared" si="83"/>
        <v>0</v>
      </c>
      <c r="BO159" s="3298">
        <f t="shared" si="84"/>
        <v>0</v>
      </c>
      <c r="BP159" s="3298">
        <f t="shared" si="85"/>
        <v>0</v>
      </c>
      <c r="BQ159" s="3298">
        <f t="shared" si="86"/>
        <v>0</v>
      </c>
      <c r="BR159" s="3298">
        <f t="shared" si="87"/>
        <v>0</v>
      </c>
      <c r="BS159" s="3298">
        <f t="shared" si="88"/>
        <v>0</v>
      </c>
      <c r="BT159" s="3350">
        <f t="shared" si="89"/>
        <v>0</v>
      </c>
    </row>
    <row r="160" spans="1:72">
      <c r="A160" s="1407"/>
      <c r="B160" s="3296"/>
      <c r="C160" s="3296"/>
      <c r="D160" s="3297"/>
      <c r="E160" s="3298">
        <f t="shared" si="90"/>
        <v>0</v>
      </c>
      <c r="F160" s="3299"/>
      <c r="G160" s="3300">
        <f t="shared" si="65"/>
        <v>0</v>
      </c>
      <c r="H160" s="3301">
        <f t="shared" si="66"/>
        <v>0</v>
      </c>
      <c r="I160" s="3308"/>
      <c r="J160" s="3308"/>
      <c r="K160" s="3308"/>
      <c r="L160" s="3308"/>
      <c r="M160" s="3308"/>
      <c r="N160" s="3308"/>
      <c r="O160" s="3308"/>
      <c r="P160" s="3308"/>
      <c r="Q160" s="3308"/>
      <c r="R160" s="3308"/>
      <c r="S160" s="3308"/>
      <c r="T160" s="3308"/>
      <c r="U160" s="3308"/>
      <c r="V160" s="3308"/>
      <c r="W160" s="3308"/>
      <c r="X160" s="3308"/>
      <c r="Y160" s="3308"/>
      <c r="Z160" s="3308"/>
      <c r="AA160" s="3308"/>
      <c r="AB160" s="3308"/>
      <c r="AC160" s="3298">
        <f t="shared" si="67"/>
        <v>0</v>
      </c>
      <c r="AD160" s="3318"/>
      <c r="AE160" s="3318"/>
      <c r="AF160" s="3318"/>
      <c r="AG160" s="3318"/>
      <c r="AH160" s="3318"/>
      <c r="AI160" s="3318"/>
      <c r="AJ160" s="3318"/>
      <c r="AK160" s="3318"/>
      <c r="AL160" s="3318"/>
      <c r="AM160" s="3318"/>
      <c r="AN160" s="3318"/>
      <c r="AO160" s="3318"/>
      <c r="AP160" s="3318"/>
      <c r="AQ160" s="3318"/>
      <c r="AR160" s="3318"/>
      <c r="AS160" s="3318"/>
      <c r="AT160" s="3328"/>
      <c r="AU160" s="3329"/>
      <c r="AV160" s="963">
        <f t="shared" si="91"/>
        <v>0</v>
      </c>
      <c r="AW160" s="963">
        <f t="shared" si="92"/>
        <v>0</v>
      </c>
      <c r="AX160" s="963">
        <f t="shared" si="93"/>
        <v>0</v>
      </c>
      <c r="AY160" s="3343">
        <f t="shared" si="68"/>
        <v>0</v>
      </c>
      <c r="AZ160" s="3298">
        <f t="shared" si="69"/>
        <v>0</v>
      </c>
      <c r="BA160" s="3298">
        <f t="shared" si="70"/>
        <v>0</v>
      </c>
      <c r="BB160" s="3298">
        <f t="shared" si="71"/>
        <v>0</v>
      </c>
      <c r="BC160" s="3298">
        <f t="shared" si="72"/>
        <v>0</v>
      </c>
      <c r="BD160" s="3298">
        <f t="shared" si="73"/>
        <v>0</v>
      </c>
      <c r="BE160" s="3298">
        <f t="shared" si="74"/>
        <v>0</v>
      </c>
      <c r="BF160" s="3298">
        <f t="shared" si="75"/>
        <v>0</v>
      </c>
      <c r="BG160" s="3298">
        <f t="shared" si="76"/>
        <v>0</v>
      </c>
      <c r="BH160" s="3298">
        <f t="shared" si="77"/>
        <v>0</v>
      </c>
      <c r="BI160" s="3298">
        <f t="shared" si="78"/>
        <v>0</v>
      </c>
      <c r="BJ160" s="3298">
        <f t="shared" si="79"/>
        <v>0</v>
      </c>
      <c r="BK160" s="3298">
        <f t="shared" si="80"/>
        <v>0</v>
      </c>
      <c r="BL160" s="3298">
        <f t="shared" si="81"/>
        <v>0</v>
      </c>
      <c r="BM160" s="3298">
        <f t="shared" si="82"/>
        <v>0</v>
      </c>
      <c r="BN160" s="3298">
        <f t="shared" si="83"/>
        <v>0</v>
      </c>
      <c r="BO160" s="3298">
        <f t="shared" si="84"/>
        <v>0</v>
      </c>
      <c r="BP160" s="3298">
        <f t="shared" si="85"/>
        <v>0</v>
      </c>
      <c r="BQ160" s="3298">
        <f t="shared" si="86"/>
        <v>0</v>
      </c>
      <c r="BR160" s="3298">
        <f t="shared" si="87"/>
        <v>0</v>
      </c>
      <c r="BS160" s="3298">
        <f t="shared" si="88"/>
        <v>0</v>
      </c>
      <c r="BT160" s="3350">
        <f t="shared" si="89"/>
        <v>0</v>
      </c>
    </row>
    <row r="161" spans="1:72">
      <c r="A161" s="1407"/>
      <c r="B161" s="3296"/>
      <c r="C161" s="3296"/>
      <c r="D161" s="3297"/>
      <c r="E161" s="3298">
        <f t="shared" si="90"/>
        <v>0</v>
      </c>
      <c r="F161" s="3299"/>
      <c r="G161" s="3300">
        <f t="shared" si="65"/>
        <v>0</v>
      </c>
      <c r="H161" s="3301">
        <f t="shared" si="66"/>
        <v>0</v>
      </c>
      <c r="I161" s="3308"/>
      <c r="J161" s="3308"/>
      <c r="K161" s="3308"/>
      <c r="L161" s="3308"/>
      <c r="M161" s="3308"/>
      <c r="N161" s="3308"/>
      <c r="O161" s="3308"/>
      <c r="P161" s="3308"/>
      <c r="Q161" s="3308"/>
      <c r="R161" s="3308"/>
      <c r="S161" s="3308"/>
      <c r="T161" s="3308"/>
      <c r="U161" s="3308"/>
      <c r="V161" s="3308"/>
      <c r="W161" s="3308"/>
      <c r="X161" s="3308"/>
      <c r="Y161" s="3308"/>
      <c r="Z161" s="3308"/>
      <c r="AA161" s="3308"/>
      <c r="AB161" s="3308"/>
      <c r="AC161" s="3298">
        <f t="shared" si="67"/>
        <v>0</v>
      </c>
      <c r="AD161" s="3318"/>
      <c r="AE161" s="3318"/>
      <c r="AF161" s="3318"/>
      <c r="AG161" s="3318"/>
      <c r="AH161" s="3318"/>
      <c r="AI161" s="3318"/>
      <c r="AJ161" s="3318"/>
      <c r="AK161" s="3318"/>
      <c r="AL161" s="3318"/>
      <c r="AM161" s="3318"/>
      <c r="AN161" s="3318"/>
      <c r="AO161" s="3318"/>
      <c r="AP161" s="3318"/>
      <c r="AQ161" s="3318"/>
      <c r="AR161" s="3318"/>
      <c r="AS161" s="3318"/>
      <c r="AT161" s="3328"/>
      <c r="AU161" s="3329"/>
      <c r="AV161" s="963">
        <f t="shared" si="91"/>
        <v>0</v>
      </c>
      <c r="AW161" s="963">
        <f t="shared" si="92"/>
        <v>0</v>
      </c>
      <c r="AX161" s="963">
        <f t="shared" si="93"/>
        <v>0</v>
      </c>
      <c r="AY161" s="3343">
        <f t="shared" si="68"/>
        <v>0</v>
      </c>
      <c r="AZ161" s="3298">
        <f t="shared" si="69"/>
        <v>0</v>
      </c>
      <c r="BA161" s="3298">
        <f t="shared" si="70"/>
        <v>0</v>
      </c>
      <c r="BB161" s="3298">
        <f t="shared" si="71"/>
        <v>0</v>
      </c>
      <c r="BC161" s="3298">
        <f t="shared" si="72"/>
        <v>0</v>
      </c>
      <c r="BD161" s="3298">
        <f t="shared" si="73"/>
        <v>0</v>
      </c>
      <c r="BE161" s="3298">
        <f t="shared" si="74"/>
        <v>0</v>
      </c>
      <c r="BF161" s="3298">
        <f t="shared" si="75"/>
        <v>0</v>
      </c>
      <c r="BG161" s="3298">
        <f t="shared" si="76"/>
        <v>0</v>
      </c>
      <c r="BH161" s="3298">
        <f t="shared" si="77"/>
        <v>0</v>
      </c>
      <c r="BI161" s="3298">
        <f t="shared" si="78"/>
        <v>0</v>
      </c>
      <c r="BJ161" s="3298">
        <f t="shared" si="79"/>
        <v>0</v>
      </c>
      <c r="BK161" s="3298">
        <f t="shared" si="80"/>
        <v>0</v>
      </c>
      <c r="BL161" s="3298">
        <f t="shared" si="81"/>
        <v>0</v>
      </c>
      <c r="BM161" s="3298">
        <f t="shared" si="82"/>
        <v>0</v>
      </c>
      <c r="BN161" s="3298">
        <f t="shared" si="83"/>
        <v>0</v>
      </c>
      <c r="BO161" s="3298">
        <f t="shared" si="84"/>
        <v>0</v>
      </c>
      <c r="BP161" s="3298">
        <f t="shared" si="85"/>
        <v>0</v>
      </c>
      <c r="BQ161" s="3298">
        <f t="shared" si="86"/>
        <v>0</v>
      </c>
      <c r="BR161" s="3298">
        <f t="shared" si="87"/>
        <v>0</v>
      </c>
      <c r="BS161" s="3298">
        <f t="shared" si="88"/>
        <v>0</v>
      </c>
      <c r="BT161" s="3350">
        <f t="shared" si="89"/>
        <v>0</v>
      </c>
    </row>
    <row r="162" spans="1:72">
      <c r="A162" s="1407"/>
      <c r="B162" s="3296"/>
      <c r="C162" s="3296"/>
      <c r="D162" s="3297"/>
      <c r="E162" s="3298">
        <f t="shared" si="90"/>
        <v>0</v>
      </c>
      <c r="F162" s="3299"/>
      <c r="G162" s="3300">
        <f t="shared" si="65"/>
        <v>0</v>
      </c>
      <c r="H162" s="3301">
        <f t="shared" si="66"/>
        <v>0</v>
      </c>
      <c r="I162" s="3308"/>
      <c r="J162" s="3308"/>
      <c r="K162" s="3308"/>
      <c r="L162" s="3308"/>
      <c r="M162" s="3308"/>
      <c r="N162" s="3308"/>
      <c r="O162" s="3308"/>
      <c r="P162" s="3308"/>
      <c r="Q162" s="3308"/>
      <c r="R162" s="3308"/>
      <c r="S162" s="3308"/>
      <c r="T162" s="3308"/>
      <c r="U162" s="3308"/>
      <c r="V162" s="3308"/>
      <c r="W162" s="3308"/>
      <c r="X162" s="3308"/>
      <c r="Y162" s="3308"/>
      <c r="Z162" s="3308"/>
      <c r="AA162" s="3308"/>
      <c r="AB162" s="3308"/>
      <c r="AC162" s="3298">
        <f t="shared" si="67"/>
        <v>0</v>
      </c>
      <c r="AD162" s="3318"/>
      <c r="AE162" s="3318"/>
      <c r="AF162" s="3318"/>
      <c r="AG162" s="3318"/>
      <c r="AH162" s="3318"/>
      <c r="AI162" s="3318"/>
      <c r="AJ162" s="3318"/>
      <c r="AK162" s="3318"/>
      <c r="AL162" s="3318"/>
      <c r="AM162" s="3318"/>
      <c r="AN162" s="3318"/>
      <c r="AO162" s="3318"/>
      <c r="AP162" s="3318"/>
      <c r="AQ162" s="3318"/>
      <c r="AR162" s="3318"/>
      <c r="AS162" s="3318"/>
      <c r="AT162" s="3328"/>
      <c r="AU162" s="3329"/>
      <c r="AV162" s="963">
        <f t="shared" si="91"/>
        <v>0</v>
      </c>
      <c r="AW162" s="963">
        <f t="shared" si="92"/>
        <v>0</v>
      </c>
      <c r="AX162" s="963">
        <f t="shared" si="93"/>
        <v>0</v>
      </c>
      <c r="AY162" s="3343">
        <f t="shared" si="68"/>
        <v>0</v>
      </c>
      <c r="AZ162" s="3298">
        <f t="shared" si="69"/>
        <v>0</v>
      </c>
      <c r="BA162" s="3298">
        <f t="shared" si="70"/>
        <v>0</v>
      </c>
      <c r="BB162" s="3298">
        <f t="shared" si="71"/>
        <v>0</v>
      </c>
      <c r="BC162" s="3298">
        <f t="shared" si="72"/>
        <v>0</v>
      </c>
      <c r="BD162" s="3298">
        <f t="shared" si="73"/>
        <v>0</v>
      </c>
      <c r="BE162" s="3298">
        <f t="shared" si="74"/>
        <v>0</v>
      </c>
      <c r="BF162" s="3298">
        <f t="shared" si="75"/>
        <v>0</v>
      </c>
      <c r="BG162" s="3298">
        <f t="shared" si="76"/>
        <v>0</v>
      </c>
      <c r="BH162" s="3298">
        <f t="shared" si="77"/>
        <v>0</v>
      </c>
      <c r="BI162" s="3298">
        <f t="shared" si="78"/>
        <v>0</v>
      </c>
      <c r="BJ162" s="3298">
        <f t="shared" si="79"/>
        <v>0</v>
      </c>
      <c r="BK162" s="3298">
        <f t="shared" si="80"/>
        <v>0</v>
      </c>
      <c r="BL162" s="3298">
        <f t="shared" si="81"/>
        <v>0</v>
      </c>
      <c r="BM162" s="3298">
        <f t="shared" si="82"/>
        <v>0</v>
      </c>
      <c r="BN162" s="3298">
        <f t="shared" si="83"/>
        <v>0</v>
      </c>
      <c r="BO162" s="3298">
        <f t="shared" si="84"/>
        <v>0</v>
      </c>
      <c r="BP162" s="3298">
        <f t="shared" si="85"/>
        <v>0</v>
      </c>
      <c r="BQ162" s="3298">
        <f t="shared" si="86"/>
        <v>0</v>
      </c>
      <c r="BR162" s="3298">
        <f t="shared" si="87"/>
        <v>0</v>
      </c>
      <c r="BS162" s="3298">
        <f t="shared" si="88"/>
        <v>0</v>
      </c>
      <c r="BT162" s="3350">
        <f t="shared" si="89"/>
        <v>0</v>
      </c>
    </row>
    <row r="163" spans="1:72">
      <c r="A163" s="1407"/>
      <c r="B163" s="3296"/>
      <c r="C163" s="3296"/>
      <c r="D163" s="3297"/>
      <c r="E163" s="3298">
        <f t="shared" si="90"/>
        <v>0</v>
      </c>
      <c r="F163" s="3299"/>
      <c r="G163" s="3300">
        <f t="shared" si="65"/>
        <v>0</v>
      </c>
      <c r="H163" s="3301">
        <f t="shared" si="66"/>
        <v>0</v>
      </c>
      <c r="I163" s="3308"/>
      <c r="J163" s="3308"/>
      <c r="K163" s="3308"/>
      <c r="L163" s="3308"/>
      <c r="M163" s="3308"/>
      <c r="N163" s="3308"/>
      <c r="O163" s="3308"/>
      <c r="P163" s="3308"/>
      <c r="Q163" s="3308"/>
      <c r="R163" s="3308"/>
      <c r="S163" s="3308"/>
      <c r="T163" s="3308"/>
      <c r="U163" s="3308"/>
      <c r="V163" s="3308"/>
      <c r="W163" s="3308"/>
      <c r="X163" s="3308"/>
      <c r="Y163" s="3308"/>
      <c r="Z163" s="3308"/>
      <c r="AA163" s="3308"/>
      <c r="AB163" s="3308"/>
      <c r="AC163" s="3298">
        <f t="shared" si="67"/>
        <v>0</v>
      </c>
      <c r="AD163" s="3318"/>
      <c r="AE163" s="3318"/>
      <c r="AF163" s="3318"/>
      <c r="AG163" s="3318"/>
      <c r="AH163" s="3318"/>
      <c r="AI163" s="3318"/>
      <c r="AJ163" s="3318"/>
      <c r="AK163" s="3318"/>
      <c r="AL163" s="3318"/>
      <c r="AM163" s="3318"/>
      <c r="AN163" s="3318"/>
      <c r="AO163" s="3318"/>
      <c r="AP163" s="3318"/>
      <c r="AQ163" s="3318"/>
      <c r="AR163" s="3318"/>
      <c r="AS163" s="3318"/>
      <c r="AT163" s="3328"/>
      <c r="AU163" s="3329"/>
      <c r="AV163" s="963">
        <f t="shared" si="91"/>
        <v>0</v>
      </c>
      <c r="AW163" s="963">
        <f t="shared" si="92"/>
        <v>0</v>
      </c>
      <c r="AX163" s="963">
        <f t="shared" si="93"/>
        <v>0</v>
      </c>
      <c r="AY163" s="3343">
        <f t="shared" si="68"/>
        <v>0</v>
      </c>
      <c r="AZ163" s="3298">
        <f t="shared" si="69"/>
        <v>0</v>
      </c>
      <c r="BA163" s="3298">
        <f t="shared" si="70"/>
        <v>0</v>
      </c>
      <c r="BB163" s="3298">
        <f t="shared" si="71"/>
        <v>0</v>
      </c>
      <c r="BC163" s="3298">
        <f t="shared" si="72"/>
        <v>0</v>
      </c>
      <c r="BD163" s="3298">
        <f t="shared" si="73"/>
        <v>0</v>
      </c>
      <c r="BE163" s="3298">
        <f t="shared" si="74"/>
        <v>0</v>
      </c>
      <c r="BF163" s="3298">
        <f t="shared" si="75"/>
        <v>0</v>
      </c>
      <c r="BG163" s="3298">
        <f t="shared" si="76"/>
        <v>0</v>
      </c>
      <c r="BH163" s="3298">
        <f t="shared" si="77"/>
        <v>0</v>
      </c>
      <c r="BI163" s="3298">
        <f t="shared" si="78"/>
        <v>0</v>
      </c>
      <c r="BJ163" s="3298">
        <f t="shared" si="79"/>
        <v>0</v>
      </c>
      <c r="BK163" s="3298">
        <f t="shared" si="80"/>
        <v>0</v>
      </c>
      <c r="BL163" s="3298">
        <f t="shared" si="81"/>
        <v>0</v>
      </c>
      <c r="BM163" s="3298">
        <f t="shared" si="82"/>
        <v>0</v>
      </c>
      <c r="BN163" s="3298">
        <f t="shared" si="83"/>
        <v>0</v>
      </c>
      <c r="BO163" s="3298">
        <f t="shared" si="84"/>
        <v>0</v>
      </c>
      <c r="BP163" s="3298">
        <f t="shared" si="85"/>
        <v>0</v>
      </c>
      <c r="BQ163" s="3298">
        <f t="shared" si="86"/>
        <v>0</v>
      </c>
      <c r="BR163" s="3298">
        <f t="shared" si="87"/>
        <v>0</v>
      </c>
      <c r="BS163" s="3298">
        <f t="shared" si="88"/>
        <v>0</v>
      </c>
      <c r="BT163" s="3350">
        <f t="shared" si="89"/>
        <v>0</v>
      </c>
    </row>
    <row r="164" spans="1:72">
      <c r="A164" s="1407"/>
      <c r="B164" s="3296"/>
      <c r="C164" s="3296"/>
      <c r="D164" s="3297"/>
      <c r="E164" s="3298">
        <f t="shared" si="90"/>
        <v>0</v>
      </c>
      <c r="F164" s="3299"/>
      <c r="G164" s="3300">
        <f t="shared" si="65"/>
        <v>0</v>
      </c>
      <c r="H164" s="3301">
        <f t="shared" si="66"/>
        <v>0</v>
      </c>
      <c r="I164" s="3308"/>
      <c r="J164" s="3308"/>
      <c r="K164" s="3308"/>
      <c r="L164" s="3308"/>
      <c r="M164" s="3308"/>
      <c r="N164" s="3308"/>
      <c r="O164" s="3308"/>
      <c r="P164" s="3308"/>
      <c r="Q164" s="3308"/>
      <c r="R164" s="3308"/>
      <c r="S164" s="3308"/>
      <c r="T164" s="3308"/>
      <c r="U164" s="3308"/>
      <c r="V164" s="3308"/>
      <c r="W164" s="3308"/>
      <c r="X164" s="3308"/>
      <c r="Y164" s="3308"/>
      <c r="Z164" s="3308"/>
      <c r="AA164" s="3308"/>
      <c r="AB164" s="3308"/>
      <c r="AC164" s="3298">
        <f t="shared" si="67"/>
        <v>0</v>
      </c>
      <c r="AD164" s="3318"/>
      <c r="AE164" s="3318"/>
      <c r="AF164" s="3318"/>
      <c r="AG164" s="3318"/>
      <c r="AH164" s="3318"/>
      <c r="AI164" s="3318"/>
      <c r="AJ164" s="3318"/>
      <c r="AK164" s="3318"/>
      <c r="AL164" s="3318"/>
      <c r="AM164" s="3318"/>
      <c r="AN164" s="3318"/>
      <c r="AO164" s="3318"/>
      <c r="AP164" s="3318"/>
      <c r="AQ164" s="3318"/>
      <c r="AR164" s="3318"/>
      <c r="AS164" s="3318"/>
      <c r="AT164" s="3328"/>
      <c r="AU164" s="3329"/>
      <c r="AV164" s="963">
        <f t="shared" si="91"/>
        <v>0</v>
      </c>
      <c r="AW164" s="963">
        <f t="shared" si="92"/>
        <v>0</v>
      </c>
      <c r="AX164" s="963">
        <f t="shared" si="93"/>
        <v>0</v>
      </c>
      <c r="AY164" s="3343">
        <f t="shared" si="68"/>
        <v>0</v>
      </c>
      <c r="AZ164" s="3298">
        <f t="shared" si="69"/>
        <v>0</v>
      </c>
      <c r="BA164" s="3298">
        <f t="shared" si="70"/>
        <v>0</v>
      </c>
      <c r="BB164" s="3298">
        <f t="shared" si="71"/>
        <v>0</v>
      </c>
      <c r="BC164" s="3298">
        <f t="shared" si="72"/>
        <v>0</v>
      </c>
      <c r="BD164" s="3298">
        <f t="shared" si="73"/>
        <v>0</v>
      </c>
      <c r="BE164" s="3298">
        <f t="shared" si="74"/>
        <v>0</v>
      </c>
      <c r="BF164" s="3298">
        <f t="shared" si="75"/>
        <v>0</v>
      </c>
      <c r="BG164" s="3298">
        <f t="shared" si="76"/>
        <v>0</v>
      </c>
      <c r="BH164" s="3298">
        <f t="shared" si="77"/>
        <v>0</v>
      </c>
      <c r="BI164" s="3298">
        <f t="shared" si="78"/>
        <v>0</v>
      </c>
      <c r="BJ164" s="3298">
        <f t="shared" si="79"/>
        <v>0</v>
      </c>
      <c r="BK164" s="3298">
        <f t="shared" si="80"/>
        <v>0</v>
      </c>
      <c r="BL164" s="3298">
        <f t="shared" si="81"/>
        <v>0</v>
      </c>
      <c r="BM164" s="3298">
        <f t="shared" si="82"/>
        <v>0</v>
      </c>
      <c r="BN164" s="3298">
        <f t="shared" si="83"/>
        <v>0</v>
      </c>
      <c r="BO164" s="3298">
        <f t="shared" si="84"/>
        <v>0</v>
      </c>
      <c r="BP164" s="3298">
        <f t="shared" si="85"/>
        <v>0</v>
      </c>
      <c r="BQ164" s="3298">
        <f t="shared" si="86"/>
        <v>0</v>
      </c>
      <c r="BR164" s="3298">
        <f t="shared" si="87"/>
        <v>0</v>
      </c>
      <c r="BS164" s="3298">
        <f t="shared" si="88"/>
        <v>0</v>
      </c>
      <c r="BT164" s="3350">
        <f t="shared" si="89"/>
        <v>0</v>
      </c>
    </row>
    <row r="165" spans="1:72">
      <c r="A165" s="1407"/>
      <c r="B165" s="3296"/>
      <c r="C165" s="3296"/>
      <c r="D165" s="3297"/>
      <c r="E165" s="3298">
        <f t="shared" si="90"/>
        <v>0</v>
      </c>
      <c r="F165" s="3299"/>
      <c r="G165" s="3300">
        <f t="shared" si="65"/>
        <v>0</v>
      </c>
      <c r="H165" s="3301">
        <f t="shared" si="66"/>
        <v>0</v>
      </c>
      <c r="I165" s="3308"/>
      <c r="J165" s="3308"/>
      <c r="K165" s="3308"/>
      <c r="L165" s="3308"/>
      <c r="M165" s="3308"/>
      <c r="N165" s="3308"/>
      <c r="O165" s="3308"/>
      <c r="P165" s="3308"/>
      <c r="Q165" s="3308"/>
      <c r="R165" s="3308"/>
      <c r="S165" s="3308"/>
      <c r="T165" s="3308"/>
      <c r="U165" s="3308"/>
      <c r="V165" s="3308"/>
      <c r="W165" s="3308"/>
      <c r="X165" s="3308"/>
      <c r="Y165" s="3308"/>
      <c r="Z165" s="3308"/>
      <c r="AA165" s="3308"/>
      <c r="AB165" s="3308"/>
      <c r="AC165" s="3298">
        <f t="shared" si="67"/>
        <v>0</v>
      </c>
      <c r="AD165" s="3318"/>
      <c r="AE165" s="3318"/>
      <c r="AF165" s="3318"/>
      <c r="AG165" s="3318"/>
      <c r="AH165" s="3318"/>
      <c r="AI165" s="3318"/>
      <c r="AJ165" s="3318"/>
      <c r="AK165" s="3318"/>
      <c r="AL165" s="3318"/>
      <c r="AM165" s="3318"/>
      <c r="AN165" s="3318"/>
      <c r="AO165" s="3318"/>
      <c r="AP165" s="3318"/>
      <c r="AQ165" s="3318"/>
      <c r="AR165" s="3318"/>
      <c r="AS165" s="3318"/>
      <c r="AT165" s="3328"/>
      <c r="AU165" s="3329"/>
      <c r="AV165" s="963">
        <f t="shared" si="91"/>
        <v>0</v>
      </c>
      <c r="AW165" s="963">
        <f t="shared" si="92"/>
        <v>0</v>
      </c>
      <c r="AX165" s="963">
        <f t="shared" si="93"/>
        <v>0</v>
      </c>
      <c r="AY165" s="3343">
        <f t="shared" si="68"/>
        <v>0</v>
      </c>
      <c r="AZ165" s="3298">
        <f t="shared" si="69"/>
        <v>0</v>
      </c>
      <c r="BA165" s="3298">
        <f t="shared" si="70"/>
        <v>0</v>
      </c>
      <c r="BB165" s="3298">
        <f t="shared" si="71"/>
        <v>0</v>
      </c>
      <c r="BC165" s="3298">
        <f t="shared" si="72"/>
        <v>0</v>
      </c>
      <c r="BD165" s="3298">
        <f t="shared" si="73"/>
        <v>0</v>
      </c>
      <c r="BE165" s="3298">
        <f t="shared" si="74"/>
        <v>0</v>
      </c>
      <c r="BF165" s="3298">
        <f t="shared" si="75"/>
        <v>0</v>
      </c>
      <c r="BG165" s="3298">
        <f t="shared" si="76"/>
        <v>0</v>
      </c>
      <c r="BH165" s="3298">
        <f t="shared" si="77"/>
        <v>0</v>
      </c>
      <c r="BI165" s="3298">
        <f t="shared" si="78"/>
        <v>0</v>
      </c>
      <c r="BJ165" s="3298">
        <f t="shared" si="79"/>
        <v>0</v>
      </c>
      <c r="BK165" s="3298">
        <f t="shared" si="80"/>
        <v>0</v>
      </c>
      <c r="BL165" s="3298">
        <f t="shared" si="81"/>
        <v>0</v>
      </c>
      <c r="BM165" s="3298">
        <f t="shared" si="82"/>
        <v>0</v>
      </c>
      <c r="BN165" s="3298">
        <f t="shared" si="83"/>
        <v>0</v>
      </c>
      <c r="BO165" s="3298">
        <f t="shared" si="84"/>
        <v>0</v>
      </c>
      <c r="BP165" s="3298">
        <f t="shared" si="85"/>
        <v>0</v>
      </c>
      <c r="BQ165" s="3298">
        <f t="shared" si="86"/>
        <v>0</v>
      </c>
      <c r="BR165" s="3298">
        <f t="shared" si="87"/>
        <v>0</v>
      </c>
      <c r="BS165" s="3298">
        <f t="shared" si="88"/>
        <v>0</v>
      </c>
      <c r="BT165" s="3350">
        <f t="shared" si="89"/>
        <v>0</v>
      </c>
    </row>
    <row r="166" spans="1:72">
      <c r="A166" s="1407"/>
      <c r="B166" s="3296"/>
      <c r="C166" s="3296"/>
      <c r="D166" s="3297"/>
      <c r="E166" s="3298">
        <f t="shared" si="90"/>
        <v>0</v>
      </c>
      <c r="F166" s="3299"/>
      <c r="G166" s="3300">
        <f t="shared" si="65"/>
        <v>0</v>
      </c>
      <c r="H166" s="3301">
        <f t="shared" si="66"/>
        <v>0</v>
      </c>
      <c r="I166" s="3308"/>
      <c r="J166" s="3308"/>
      <c r="K166" s="3308"/>
      <c r="L166" s="3308"/>
      <c r="M166" s="3308"/>
      <c r="N166" s="3308"/>
      <c r="O166" s="3308"/>
      <c r="P166" s="3308"/>
      <c r="Q166" s="3308"/>
      <c r="R166" s="3308"/>
      <c r="S166" s="3308"/>
      <c r="T166" s="3308"/>
      <c r="U166" s="3308"/>
      <c r="V166" s="3308"/>
      <c r="W166" s="3308"/>
      <c r="X166" s="3308"/>
      <c r="Y166" s="3308"/>
      <c r="Z166" s="3308"/>
      <c r="AA166" s="3308"/>
      <c r="AB166" s="3308"/>
      <c r="AC166" s="3298">
        <f t="shared" si="67"/>
        <v>0</v>
      </c>
      <c r="AD166" s="3318"/>
      <c r="AE166" s="3318"/>
      <c r="AF166" s="3318"/>
      <c r="AG166" s="3318"/>
      <c r="AH166" s="3318"/>
      <c r="AI166" s="3318"/>
      <c r="AJ166" s="3318"/>
      <c r="AK166" s="3318"/>
      <c r="AL166" s="3318"/>
      <c r="AM166" s="3318"/>
      <c r="AN166" s="3318"/>
      <c r="AO166" s="3318"/>
      <c r="AP166" s="3318"/>
      <c r="AQ166" s="3318"/>
      <c r="AR166" s="3318"/>
      <c r="AS166" s="3318"/>
      <c r="AT166" s="3328"/>
      <c r="AU166" s="3329"/>
      <c r="AV166" s="963">
        <f t="shared" si="91"/>
        <v>0</v>
      </c>
      <c r="AW166" s="963">
        <f t="shared" si="92"/>
        <v>0</v>
      </c>
      <c r="AX166" s="963">
        <f t="shared" si="93"/>
        <v>0</v>
      </c>
      <c r="AY166" s="3343">
        <f t="shared" si="68"/>
        <v>0</v>
      </c>
      <c r="AZ166" s="3298">
        <f t="shared" si="69"/>
        <v>0</v>
      </c>
      <c r="BA166" s="3298">
        <f t="shared" si="70"/>
        <v>0</v>
      </c>
      <c r="BB166" s="3298">
        <f t="shared" si="71"/>
        <v>0</v>
      </c>
      <c r="BC166" s="3298">
        <f t="shared" si="72"/>
        <v>0</v>
      </c>
      <c r="BD166" s="3298">
        <f t="shared" si="73"/>
        <v>0</v>
      </c>
      <c r="BE166" s="3298">
        <f t="shared" si="74"/>
        <v>0</v>
      </c>
      <c r="BF166" s="3298">
        <f t="shared" si="75"/>
        <v>0</v>
      </c>
      <c r="BG166" s="3298">
        <f t="shared" si="76"/>
        <v>0</v>
      </c>
      <c r="BH166" s="3298">
        <f t="shared" si="77"/>
        <v>0</v>
      </c>
      <c r="BI166" s="3298">
        <f t="shared" si="78"/>
        <v>0</v>
      </c>
      <c r="BJ166" s="3298">
        <f t="shared" si="79"/>
        <v>0</v>
      </c>
      <c r="BK166" s="3298">
        <f t="shared" si="80"/>
        <v>0</v>
      </c>
      <c r="BL166" s="3298">
        <f t="shared" si="81"/>
        <v>0</v>
      </c>
      <c r="BM166" s="3298">
        <f t="shared" si="82"/>
        <v>0</v>
      </c>
      <c r="BN166" s="3298">
        <f t="shared" si="83"/>
        <v>0</v>
      </c>
      <c r="BO166" s="3298">
        <f t="shared" si="84"/>
        <v>0</v>
      </c>
      <c r="BP166" s="3298">
        <f t="shared" si="85"/>
        <v>0</v>
      </c>
      <c r="BQ166" s="3298">
        <f t="shared" si="86"/>
        <v>0</v>
      </c>
      <c r="BR166" s="3298">
        <f t="shared" si="87"/>
        <v>0</v>
      </c>
      <c r="BS166" s="3298">
        <f t="shared" si="88"/>
        <v>0</v>
      </c>
      <c r="BT166" s="3350">
        <f t="shared" si="89"/>
        <v>0</v>
      </c>
    </row>
    <row r="167" spans="1:72">
      <c r="A167" s="1407"/>
      <c r="B167" s="3296"/>
      <c r="C167" s="3296"/>
      <c r="D167" s="3297"/>
      <c r="E167" s="3298">
        <f t="shared" si="90"/>
        <v>0</v>
      </c>
      <c r="F167" s="3299"/>
      <c r="G167" s="3300">
        <f t="shared" si="65"/>
        <v>0</v>
      </c>
      <c r="H167" s="3301">
        <f t="shared" si="66"/>
        <v>0</v>
      </c>
      <c r="I167" s="3308"/>
      <c r="J167" s="3308"/>
      <c r="K167" s="3308"/>
      <c r="L167" s="3308"/>
      <c r="M167" s="3308"/>
      <c r="N167" s="3308"/>
      <c r="O167" s="3308"/>
      <c r="P167" s="3308"/>
      <c r="Q167" s="3308"/>
      <c r="R167" s="3308"/>
      <c r="S167" s="3308"/>
      <c r="T167" s="3308"/>
      <c r="U167" s="3308"/>
      <c r="V167" s="3308"/>
      <c r="W167" s="3308"/>
      <c r="X167" s="3308"/>
      <c r="Y167" s="3308"/>
      <c r="Z167" s="3308"/>
      <c r="AA167" s="3308"/>
      <c r="AB167" s="3308"/>
      <c r="AC167" s="3298">
        <f t="shared" si="67"/>
        <v>0</v>
      </c>
      <c r="AD167" s="3318"/>
      <c r="AE167" s="3318"/>
      <c r="AF167" s="3318"/>
      <c r="AG167" s="3318"/>
      <c r="AH167" s="3318"/>
      <c r="AI167" s="3318"/>
      <c r="AJ167" s="3318"/>
      <c r="AK167" s="3318"/>
      <c r="AL167" s="3318"/>
      <c r="AM167" s="3318"/>
      <c r="AN167" s="3318"/>
      <c r="AO167" s="3318"/>
      <c r="AP167" s="3318"/>
      <c r="AQ167" s="3318"/>
      <c r="AR167" s="3318"/>
      <c r="AS167" s="3318"/>
      <c r="AT167" s="3328"/>
      <c r="AU167" s="3329"/>
      <c r="AV167" s="963">
        <f t="shared" si="91"/>
        <v>0</v>
      </c>
      <c r="AW167" s="963">
        <f t="shared" si="92"/>
        <v>0</v>
      </c>
      <c r="AX167" s="963">
        <f t="shared" si="93"/>
        <v>0</v>
      </c>
      <c r="AY167" s="3343">
        <f t="shared" si="68"/>
        <v>0</v>
      </c>
      <c r="AZ167" s="3298">
        <f t="shared" si="69"/>
        <v>0</v>
      </c>
      <c r="BA167" s="3298">
        <f t="shared" si="70"/>
        <v>0</v>
      </c>
      <c r="BB167" s="3298">
        <f t="shared" si="71"/>
        <v>0</v>
      </c>
      <c r="BC167" s="3298">
        <f t="shared" si="72"/>
        <v>0</v>
      </c>
      <c r="BD167" s="3298">
        <f t="shared" si="73"/>
        <v>0</v>
      </c>
      <c r="BE167" s="3298">
        <f t="shared" si="74"/>
        <v>0</v>
      </c>
      <c r="BF167" s="3298">
        <f t="shared" si="75"/>
        <v>0</v>
      </c>
      <c r="BG167" s="3298">
        <f t="shared" si="76"/>
        <v>0</v>
      </c>
      <c r="BH167" s="3298">
        <f t="shared" si="77"/>
        <v>0</v>
      </c>
      <c r="BI167" s="3298">
        <f t="shared" si="78"/>
        <v>0</v>
      </c>
      <c r="BJ167" s="3298">
        <f t="shared" si="79"/>
        <v>0</v>
      </c>
      <c r="BK167" s="3298">
        <f t="shared" si="80"/>
        <v>0</v>
      </c>
      <c r="BL167" s="3298">
        <f t="shared" si="81"/>
        <v>0</v>
      </c>
      <c r="BM167" s="3298">
        <f t="shared" si="82"/>
        <v>0</v>
      </c>
      <c r="BN167" s="3298">
        <f t="shared" si="83"/>
        <v>0</v>
      </c>
      <c r="BO167" s="3298">
        <f t="shared" si="84"/>
        <v>0</v>
      </c>
      <c r="BP167" s="3298">
        <f t="shared" si="85"/>
        <v>0</v>
      </c>
      <c r="BQ167" s="3298">
        <f t="shared" si="86"/>
        <v>0</v>
      </c>
      <c r="BR167" s="3298">
        <f t="shared" si="87"/>
        <v>0</v>
      </c>
      <c r="BS167" s="3298">
        <f t="shared" si="88"/>
        <v>0</v>
      </c>
      <c r="BT167" s="3350">
        <f t="shared" si="89"/>
        <v>0</v>
      </c>
    </row>
    <row r="168" spans="1:72">
      <c r="A168" s="1407"/>
      <c r="B168" s="3296"/>
      <c r="C168" s="3296"/>
      <c r="D168" s="3297"/>
      <c r="E168" s="3298">
        <f t="shared" si="90"/>
        <v>0</v>
      </c>
      <c r="F168" s="3299"/>
      <c r="G168" s="3300">
        <f t="shared" si="65"/>
        <v>0</v>
      </c>
      <c r="H168" s="3301">
        <f t="shared" si="66"/>
        <v>0</v>
      </c>
      <c r="I168" s="3308"/>
      <c r="J168" s="3308"/>
      <c r="K168" s="3308"/>
      <c r="L168" s="3308"/>
      <c r="M168" s="3308"/>
      <c r="N168" s="3308"/>
      <c r="O168" s="3308"/>
      <c r="P168" s="3308"/>
      <c r="Q168" s="3308"/>
      <c r="R168" s="3308"/>
      <c r="S168" s="3308"/>
      <c r="T168" s="3308"/>
      <c r="U168" s="3308"/>
      <c r="V168" s="3308"/>
      <c r="W168" s="3308"/>
      <c r="X168" s="3308"/>
      <c r="Y168" s="3308"/>
      <c r="Z168" s="3308"/>
      <c r="AA168" s="3308"/>
      <c r="AB168" s="3308"/>
      <c r="AC168" s="3298">
        <f t="shared" si="67"/>
        <v>0</v>
      </c>
      <c r="AD168" s="3318"/>
      <c r="AE168" s="3318"/>
      <c r="AF168" s="3318"/>
      <c r="AG168" s="3318"/>
      <c r="AH168" s="3318"/>
      <c r="AI168" s="3318"/>
      <c r="AJ168" s="3318"/>
      <c r="AK168" s="3318"/>
      <c r="AL168" s="3318"/>
      <c r="AM168" s="3318"/>
      <c r="AN168" s="3318"/>
      <c r="AO168" s="3318"/>
      <c r="AP168" s="3318"/>
      <c r="AQ168" s="3318"/>
      <c r="AR168" s="3318"/>
      <c r="AS168" s="3318"/>
      <c r="AT168" s="3328"/>
      <c r="AU168" s="3329"/>
      <c r="AV168" s="963">
        <f t="shared" si="91"/>
        <v>0</v>
      </c>
      <c r="AW168" s="963">
        <f t="shared" si="92"/>
        <v>0</v>
      </c>
      <c r="AX168" s="963">
        <f t="shared" si="93"/>
        <v>0</v>
      </c>
      <c r="AY168" s="3343">
        <f t="shared" si="68"/>
        <v>0</v>
      </c>
      <c r="AZ168" s="3298">
        <f t="shared" si="69"/>
        <v>0</v>
      </c>
      <c r="BA168" s="3298">
        <f t="shared" si="70"/>
        <v>0</v>
      </c>
      <c r="BB168" s="3298">
        <f t="shared" si="71"/>
        <v>0</v>
      </c>
      <c r="BC168" s="3298">
        <f t="shared" si="72"/>
        <v>0</v>
      </c>
      <c r="BD168" s="3298">
        <f t="shared" si="73"/>
        <v>0</v>
      </c>
      <c r="BE168" s="3298">
        <f t="shared" si="74"/>
        <v>0</v>
      </c>
      <c r="BF168" s="3298">
        <f t="shared" si="75"/>
        <v>0</v>
      </c>
      <c r="BG168" s="3298">
        <f t="shared" si="76"/>
        <v>0</v>
      </c>
      <c r="BH168" s="3298">
        <f t="shared" si="77"/>
        <v>0</v>
      </c>
      <c r="BI168" s="3298">
        <f t="shared" si="78"/>
        <v>0</v>
      </c>
      <c r="BJ168" s="3298">
        <f t="shared" si="79"/>
        <v>0</v>
      </c>
      <c r="BK168" s="3298">
        <f t="shared" si="80"/>
        <v>0</v>
      </c>
      <c r="BL168" s="3298">
        <f t="shared" si="81"/>
        <v>0</v>
      </c>
      <c r="BM168" s="3298">
        <f t="shared" si="82"/>
        <v>0</v>
      </c>
      <c r="BN168" s="3298">
        <f t="shared" si="83"/>
        <v>0</v>
      </c>
      <c r="BO168" s="3298">
        <f t="shared" si="84"/>
        <v>0</v>
      </c>
      <c r="BP168" s="3298">
        <f t="shared" si="85"/>
        <v>0</v>
      </c>
      <c r="BQ168" s="3298">
        <f t="shared" si="86"/>
        <v>0</v>
      </c>
      <c r="BR168" s="3298">
        <f t="shared" si="87"/>
        <v>0</v>
      </c>
      <c r="BS168" s="3298">
        <f t="shared" si="88"/>
        <v>0</v>
      </c>
      <c r="BT168" s="3350">
        <f t="shared" si="89"/>
        <v>0</v>
      </c>
    </row>
    <row r="169" spans="1:72">
      <c r="A169" s="1407"/>
      <c r="B169" s="3296"/>
      <c r="C169" s="3296"/>
      <c r="D169" s="3297"/>
      <c r="E169" s="3298">
        <f t="shared" si="90"/>
        <v>0</v>
      </c>
      <c r="F169" s="3299"/>
      <c r="G169" s="3300">
        <f t="shared" si="65"/>
        <v>0</v>
      </c>
      <c r="H169" s="3301">
        <f t="shared" si="66"/>
        <v>0</v>
      </c>
      <c r="I169" s="3308"/>
      <c r="J169" s="3308"/>
      <c r="K169" s="3308"/>
      <c r="L169" s="3308"/>
      <c r="M169" s="3308"/>
      <c r="N169" s="3308"/>
      <c r="O169" s="3308"/>
      <c r="P169" s="3308"/>
      <c r="Q169" s="3308"/>
      <c r="R169" s="3308"/>
      <c r="S169" s="3308"/>
      <c r="T169" s="3308"/>
      <c r="U169" s="3308"/>
      <c r="V169" s="3308"/>
      <c r="W169" s="3308"/>
      <c r="X169" s="3308"/>
      <c r="Y169" s="3308"/>
      <c r="Z169" s="3308"/>
      <c r="AA169" s="3308"/>
      <c r="AB169" s="3308"/>
      <c r="AC169" s="3298">
        <f t="shared" si="67"/>
        <v>0</v>
      </c>
      <c r="AD169" s="3318"/>
      <c r="AE169" s="3318"/>
      <c r="AF169" s="3318"/>
      <c r="AG169" s="3318"/>
      <c r="AH169" s="3318"/>
      <c r="AI169" s="3318"/>
      <c r="AJ169" s="3318"/>
      <c r="AK169" s="3318"/>
      <c r="AL169" s="3318"/>
      <c r="AM169" s="3318"/>
      <c r="AN169" s="3318"/>
      <c r="AO169" s="3318"/>
      <c r="AP169" s="3318"/>
      <c r="AQ169" s="3318"/>
      <c r="AR169" s="3318"/>
      <c r="AS169" s="3318"/>
      <c r="AT169" s="3328"/>
      <c r="AU169" s="3329"/>
      <c r="AV169" s="963">
        <f t="shared" si="91"/>
        <v>0</v>
      </c>
      <c r="AW169" s="963">
        <f t="shared" si="92"/>
        <v>0</v>
      </c>
      <c r="AX169" s="963">
        <f t="shared" si="93"/>
        <v>0</v>
      </c>
      <c r="AY169" s="3343">
        <f t="shared" si="68"/>
        <v>0</v>
      </c>
      <c r="AZ169" s="3298">
        <f t="shared" si="69"/>
        <v>0</v>
      </c>
      <c r="BA169" s="3298">
        <f t="shared" si="70"/>
        <v>0</v>
      </c>
      <c r="BB169" s="3298">
        <f t="shared" si="71"/>
        <v>0</v>
      </c>
      <c r="BC169" s="3298">
        <f t="shared" si="72"/>
        <v>0</v>
      </c>
      <c r="BD169" s="3298">
        <f t="shared" si="73"/>
        <v>0</v>
      </c>
      <c r="BE169" s="3298">
        <f t="shared" si="74"/>
        <v>0</v>
      </c>
      <c r="BF169" s="3298">
        <f t="shared" si="75"/>
        <v>0</v>
      </c>
      <c r="BG169" s="3298">
        <f t="shared" si="76"/>
        <v>0</v>
      </c>
      <c r="BH169" s="3298">
        <f t="shared" si="77"/>
        <v>0</v>
      </c>
      <c r="BI169" s="3298">
        <f t="shared" si="78"/>
        <v>0</v>
      </c>
      <c r="BJ169" s="3298">
        <f t="shared" si="79"/>
        <v>0</v>
      </c>
      <c r="BK169" s="3298">
        <f t="shared" si="80"/>
        <v>0</v>
      </c>
      <c r="BL169" s="3298">
        <f t="shared" si="81"/>
        <v>0</v>
      </c>
      <c r="BM169" s="3298">
        <f t="shared" si="82"/>
        <v>0</v>
      </c>
      <c r="BN169" s="3298">
        <f t="shared" si="83"/>
        <v>0</v>
      </c>
      <c r="BO169" s="3298">
        <f t="shared" si="84"/>
        <v>0</v>
      </c>
      <c r="BP169" s="3298">
        <f t="shared" si="85"/>
        <v>0</v>
      </c>
      <c r="BQ169" s="3298">
        <f t="shared" si="86"/>
        <v>0</v>
      </c>
      <c r="BR169" s="3298">
        <f t="shared" si="87"/>
        <v>0</v>
      </c>
      <c r="BS169" s="3298">
        <f t="shared" si="88"/>
        <v>0</v>
      </c>
      <c r="BT169" s="3350">
        <f t="shared" si="89"/>
        <v>0</v>
      </c>
    </row>
    <row r="170" spans="1:72">
      <c r="A170" s="1407"/>
      <c r="B170" s="3296"/>
      <c r="C170" s="3296"/>
      <c r="D170" s="3297"/>
      <c r="E170" s="3298">
        <f t="shared" si="90"/>
        <v>0</v>
      </c>
      <c r="F170" s="3299"/>
      <c r="G170" s="3300">
        <f t="shared" si="65"/>
        <v>0</v>
      </c>
      <c r="H170" s="3301">
        <f t="shared" si="66"/>
        <v>0</v>
      </c>
      <c r="I170" s="3308"/>
      <c r="J170" s="3308"/>
      <c r="K170" s="3308"/>
      <c r="L170" s="3308"/>
      <c r="M170" s="3308"/>
      <c r="N170" s="3308"/>
      <c r="O170" s="3308"/>
      <c r="P170" s="3308"/>
      <c r="Q170" s="3308"/>
      <c r="R170" s="3308"/>
      <c r="S170" s="3308"/>
      <c r="T170" s="3308"/>
      <c r="U170" s="3308"/>
      <c r="V170" s="3308"/>
      <c r="W170" s="3308"/>
      <c r="X170" s="3308"/>
      <c r="Y170" s="3308"/>
      <c r="Z170" s="3308"/>
      <c r="AA170" s="3308"/>
      <c r="AB170" s="3308"/>
      <c r="AC170" s="3298">
        <f t="shared" si="67"/>
        <v>0</v>
      </c>
      <c r="AD170" s="3318"/>
      <c r="AE170" s="3318"/>
      <c r="AF170" s="3318"/>
      <c r="AG170" s="3318"/>
      <c r="AH170" s="3318"/>
      <c r="AI170" s="3318"/>
      <c r="AJ170" s="3318"/>
      <c r="AK170" s="3318"/>
      <c r="AL170" s="3318"/>
      <c r="AM170" s="3318"/>
      <c r="AN170" s="3318"/>
      <c r="AO170" s="3318"/>
      <c r="AP170" s="3318"/>
      <c r="AQ170" s="3318"/>
      <c r="AR170" s="3318"/>
      <c r="AS170" s="3318"/>
      <c r="AT170" s="3328"/>
      <c r="AU170" s="3329"/>
      <c r="AV170" s="963">
        <f t="shared" si="91"/>
        <v>0</v>
      </c>
      <c r="AW170" s="963">
        <f t="shared" si="92"/>
        <v>0</v>
      </c>
      <c r="AX170" s="963">
        <f t="shared" si="93"/>
        <v>0</v>
      </c>
      <c r="AY170" s="3343">
        <f t="shared" si="68"/>
        <v>0</v>
      </c>
      <c r="AZ170" s="3298">
        <f t="shared" si="69"/>
        <v>0</v>
      </c>
      <c r="BA170" s="3298">
        <f t="shared" si="70"/>
        <v>0</v>
      </c>
      <c r="BB170" s="3298">
        <f t="shared" si="71"/>
        <v>0</v>
      </c>
      <c r="BC170" s="3298">
        <f t="shared" si="72"/>
        <v>0</v>
      </c>
      <c r="BD170" s="3298">
        <f t="shared" si="73"/>
        <v>0</v>
      </c>
      <c r="BE170" s="3298">
        <f t="shared" si="74"/>
        <v>0</v>
      </c>
      <c r="BF170" s="3298">
        <f t="shared" si="75"/>
        <v>0</v>
      </c>
      <c r="BG170" s="3298">
        <f t="shared" si="76"/>
        <v>0</v>
      </c>
      <c r="BH170" s="3298">
        <f t="shared" si="77"/>
        <v>0</v>
      </c>
      <c r="BI170" s="3298">
        <f t="shared" si="78"/>
        <v>0</v>
      </c>
      <c r="BJ170" s="3298">
        <f t="shared" si="79"/>
        <v>0</v>
      </c>
      <c r="BK170" s="3298">
        <f t="shared" si="80"/>
        <v>0</v>
      </c>
      <c r="BL170" s="3298">
        <f t="shared" si="81"/>
        <v>0</v>
      </c>
      <c r="BM170" s="3298">
        <f t="shared" si="82"/>
        <v>0</v>
      </c>
      <c r="BN170" s="3298">
        <f t="shared" si="83"/>
        <v>0</v>
      </c>
      <c r="BO170" s="3298">
        <f t="shared" si="84"/>
        <v>0</v>
      </c>
      <c r="BP170" s="3298">
        <f t="shared" si="85"/>
        <v>0</v>
      </c>
      <c r="BQ170" s="3298">
        <f t="shared" si="86"/>
        <v>0</v>
      </c>
      <c r="BR170" s="3298">
        <f t="shared" si="87"/>
        <v>0</v>
      </c>
      <c r="BS170" s="3298">
        <f t="shared" si="88"/>
        <v>0</v>
      </c>
      <c r="BT170" s="3350">
        <f t="shared" si="89"/>
        <v>0</v>
      </c>
    </row>
    <row r="171" spans="1:72">
      <c r="A171" s="1407"/>
      <c r="B171" s="3296"/>
      <c r="C171" s="3296"/>
      <c r="D171" s="3297"/>
      <c r="E171" s="3298">
        <f t="shared" si="90"/>
        <v>0</v>
      </c>
      <c r="F171" s="3299"/>
      <c r="G171" s="3300">
        <f t="shared" si="65"/>
        <v>0</v>
      </c>
      <c r="H171" s="3301">
        <f t="shared" si="66"/>
        <v>0</v>
      </c>
      <c r="I171" s="3308"/>
      <c r="J171" s="3308"/>
      <c r="K171" s="3308"/>
      <c r="L171" s="3308"/>
      <c r="M171" s="3308"/>
      <c r="N171" s="3308"/>
      <c r="O171" s="3308"/>
      <c r="P171" s="3308"/>
      <c r="Q171" s="3308"/>
      <c r="R171" s="3308"/>
      <c r="S171" s="3308"/>
      <c r="T171" s="3308"/>
      <c r="U171" s="3308"/>
      <c r="V171" s="3308"/>
      <c r="W171" s="3308"/>
      <c r="X171" s="3308"/>
      <c r="Y171" s="3308"/>
      <c r="Z171" s="3308"/>
      <c r="AA171" s="3308"/>
      <c r="AB171" s="3308"/>
      <c r="AC171" s="3298">
        <f t="shared" si="67"/>
        <v>0</v>
      </c>
      <c r="AD171" s="3318"/>
      <c r="AE171" s="3318"/>
      <c r="AF171" s="3318"/>
      <c r="AG171" s="3318"/>
      <c r="AH171" s="3318"/>
      <c r="AI171" s="3318"/>
      <c r="AJ171" s="3318"/>
      <c r="AK171" s="3318"/>
      <c r="AL171" s="3318"/>
      <c r="AM171" s="3318"/>
      <c r="AN171" s="3318"/>
      <c r="AO171" s="3318"/>
      <c r="AP171" s="3318"/>
      <c r="AQ171" s="3318"/>
      <c r="AR171" s="3318"/>
      <c r="AS171" s="3318"/>
      <c r="AT171" s="3328"/>
      <c r="AU171" s="3329"/>
      <c r="AV171" s="963">
        <f t="shared" si="91"/>
        <v>0</v>
      </c>
      <c r="AW171" s="963">
        <f t="shared" si="92"/>
        <v>0</v>
      </c>
      <c r="AX171" s="963">
        <f t="shared" si="93"/>
        <v>0</v>
      </c>
      <c r="AY171" s="3343">
        <f t="shared" si="68"/>
        <v>0</v>
      </c>
      <c r="AZ171" s="3298">
        <f t="shared" si="69"/>
        <v>0</v>
      </c>
      <c r="BA171" s="3298">
        <f t="shared" si="70"/>
        <v>0</v>
      </c>
      <c r="BB171" s="3298">
        <f t="shared" si="71"/>
        <v>0</v>
      </c>
      <c r="BC171" s="3298">
        <f t="shared" si="72"/>
        <v>0</v>
      </c>
      <c r="BD171" s="3298">
        <f t="shared" si="73"/>
        <v>0</v>
      </c>
      <c r="BE171" s="3298">
        <f t="shared" si="74"/>
        <v>0</v>
      </c>
      <c r="BF171" s="3298">
        <f t="shared" si="75"/>
        <v>0</v>
      </c>
      <c r="BG171" s="3298">
        <f t="shared" si="76"/>
        <v>0</v>
      </c>
      <c r="BH171" s="3298">
        <f t="shared" si="77"/>
        <v>0</v>
      </c>
      <c r="BI171" s="3298">
        <f t="shared" si="78"/>
        <v>0</v>
      </c>
      <c r="BJ171" s="3298">
        <f t="shared" si="79"/>
        <v>0</v>
      </c>
      <c r="BK171" s="3298">
        <f t="shared" si="80"/>
        <v>0</v>
      </c>
      <c r="BL171" s="3298">
        <f t="shared" si="81"/>
        <v>0</v>
      </c>
      <c r="BM171" s="3298">
        <f t="shared" si="82"/>
        <v>0</v>
      </c>
      <c r="BN171" s="3298">
        <f t="shared" si="83"/>
        <v>0</v>
      </c>
      <c r="BO171" s="3298">
        <f t="shared" si="84"/>
        <v>0</v>
      </c>
      <c r="BP171" s="3298">
        <f t="shared" si="85"/>
        <v>0</v>
      </c>
      <c r="BQ171" s="3298">
        <f t="shared" si="86"/>
        <v>0</v>
      </c>
      <c r="BR171" s="3298">
        <f t="shared" si="87"/>
        <v>0</v>
      </c>
      <c r="BS171" s="3298">
        <f t="shared" si="88"/>
        <v>0</v>
      </c>
      <c r="BT171" s="3350">
        <f t="shared" si="89"/>
        <v>0</v>
      </c>
    </row>
    <row r="172" spans="1:72">
      <c r="A172" s="1407"/>
      <c r="B172" s="3296"/>
      <c r="C172" s="3296"/>
      <c r="D172" s="3297"/>
      <c r="E172" s="3298">
        <f t="shared" si="90"/>
        <v>0</v>
      </c>
      <c r="F172" s="3299"/>
      <c r="G172" s="3300">
        <f t="shared" si="65"/>
        <v>0</v>
      </c>
      <c r="H172" s="3301">
        <f t="shared" si="66"/>
        <v>0</v>
      </c>
      <c r="I172" s="3308"/>
      <c r="J172" s="3308"/>
      <c r="K172" s="3308"/>
      <c r="L172" s="3308"/>
      <c r="M172" s="3308"/>
      <c r="N172" s="3308"/>
      <c r="O172" s="3308"/>
      <c r="P172" s="3308"/>
      <c r="Q172" s="3308"/>
      <c r="R172" s="3308"/>
      <c r="S172" s="3308"/>
      <c r="T172" s="3308"/>
      <c r="U172" s="3308"/>
      <c r="V172" s="3308"/>
      <c r="W172" s="3308"/>
      <c r="X172" s="3308"/>
      <c r="Y172" s="3308"/>
      <c r="Z172" s="3308"/>
      <c r="AA172" s="3308"/>
      <c r="AB172" s="3308"/>
      <c r="AC172" s="3298">
        <f t="shared" si="67"/>
        <v>0</v>
      </c>
      <c r="AD172" s="3318"/>
      <c r="AE172" s="3318"/>
      <c r="AF172" s="3318"/>
      <c r="AG172" s="3318"/>
      <c r="AH172" s="3318"/>
      <c r="AI172" s="3318"/>
      <c r="AJ172" s="3318"/>
      <c r="AK172" s="3318"/>
      <c r="AL172" s="3318"/>
      <c r="AM172" s="3318"/>
      <c r="AN172" s="3318"/>
      <c r="AO172" s="3318"/>
      <c r="AP172" s="3318"/>
      <c r="AQ172" s="3318"/>
      <c r="AR172" s="3318"/>
      <c r="AS172" s="3318"/>
      <c r="AT172" s="3328"/>
      <c r="AU172" s="3329"/>
      <c r="AV172" s="963">
        <f t="shared" si="91"/>
        <v>0</v>
      </c>
      <c r="AW172" s="963">
        <f t="shared" si="92"/>
        <v>0</v>
      </c>
      <c r="AX172" s="963">
        <f t="shared" si="93"/>
        <v>0</v>
      </c>
      <c r="AY172" s="3343">
        <f t="shared" si="68"/>
        <v>0</v>
      </c>
      <c r="AZ172" s="3298">
        <f t="shared" si="69"/>
        <v>0</v>
      </c>
      <c r="BA172" s="3298">
        <f t="shared" si="70"/>
        <v>0</v>
      </c>
      <c r="BB172" s="3298">
        <f t="shared" si="71"/>
        <v>0</v>
      </c>
      <c r="BC172" s="3298">
        <f t="shared" si="72"/>
        <v>0</v>
      </c>
      <c r="BD172" s="3298">
        <f t="shared" si="73"/>
        <v>0</v>
      </c>
      <c r="BE172" s="3298">
        <f t="shared" si="74"/>
        <v>0</v>
      </c>
      <c r="BF172" s="3298">
        <f t="shared" si="75"/>
        <v>0</v>
      </c>
      <c r="BG172" s="3298">
        <f t="shared" si="76"/>
        <v>0</v>
      </c>
      <c r="BH172" s="3298">
        <f t="shared" si="77"/>
        <v>0</v>
      </c>
      <c r="BI172" s="3298">
        <f t="shared" si="78"/>
        <v>0</v>
      </c>
      <c r="BJ172" s="3298">
        <f t="shared" si="79"/>
        <v>0</v>
      </c>
      <c r="BK172" s="3298">
        <f t="shared" si="80"/>
        <v>0</v>
      </c>
      <c r="BL172" s="3298">
        <f t="shared" si="81"/>
        <v>0</v>
      </c>
      <c r="BM172" s="3298">
        <f t="shared" si="82"/>
        <v>0</v>
      </c>
      <c r="BN172" s="3298">
        <f t="shared" si="83"/>
        <v>0</v>
      </c>
      <c r="BO172" s="3298">
        <f t="shared" si="84"/>
        <v>0</v>
      </c>
      <c r="BP172" s="3298">
        <f t="shared" si="85"/>
        <v>0</v>
      </c>
      <c r="BQ172" s="3298">
        <f t="shared" si="86"/>
        <v>0</v>
      </c>
      <c r="BR172" s="3298">
        <f t="shared" si="87"/>
        <v>0</v>
      </c>
      <c r="BS172" s="3298">
        <f t="shared" si="88"/>
        <v>0</v>
      </c>
      <c r="BT172" s="3350">
        <f t="shared" si="89"/>
        <v>0</v>
      </c>
    </row>
    <row r="173" spans="1:72">
      <c r="A173" s="1407"/>
      <c r="B173" s="3296"/>
      <c r="C173" s="3296"/>
      <c r="D173" s="3297"/>
      <c r="E173" s="3298">
        <f t="shared" si="90"/>
        <v>0</v>
      </c>
      <c r="F173" s="3299"/>
      <c r="G173" s="3300">
        <f t="shared" si="65"/>
        <v>0</v>
      </c>
      <c r="H173" s="3301">
        <f t="shared" si="66"/>
        <v>0</v>
      </c>
      <c r="I173" s="3308"/>
      <c r="J173" s="3308"/>
      <c r="K173" s="3308"/>
      <c r="L173" s="3308"/>
      <c r="M173" s="3308"/>
      <c r="N173" s="3308"/>
      <c r="O173" s="3308"/>
      <c r="P173" s="3308"/>
      <c r="Q173" s="3308"/>
      <c r="R173" s="3308"/>
      <c r="S173" s="3308"/>
      <c r="T173" s="3308"/>
      <c r="U173" s="3308"/>
      <c r="V173" s="3308"/>
      <c r="W173" s="3308"/>
      <c r="X173" s="3308"/>
      <c r="Y173" s="3308"/>
      <c r="Z173" s="3308"/>
      <c r="AA173" s="3308"/>
      <c r="AB173" s="3308"/>
      <c r="AC173" s="3298">
        <f t="shared" si="67"/>
        <v>0</v>
      </c>
      <c r="AD173" s="3318"/>
      <c r="AE173" s="3318"/>
      <c r="AF173" s="3318"/>
      <c r="AG173" s="3318"/>
      <c r="AH173" s="3318"/>
      <c r="AI173" s="3318"/>
      <c r="AJ173" s="3318"/>
      <c r="AK173" s="3318"/>
      <c r="AL173" s="3318"/>
      <c r="AM173" s="3318"/>
      <c r="AN173" s="3318"/>
      <c r="AO173" s="3318"/>
      <c r="AP173" s="3318"/>
      <c r="AQ173" s="3318"/>
      <c r="AR173" s="3318"/>
      <c r="AS173" s="3318"/>
      <c r="AT173" s="3328"/>
      <c r="AU173" s="3329"/>
      <c r="AV173" s="963">
        <f t="shared" si="91"/>
        <v>0</v>
      </c>
      <c r="AW173" s="963">
        <f t="shared" si="92"/>
        <v>0</v>
      </c>
      <c r="AX173" s="963">
        <f t="shared" si="93"/>
        <v>0</v>
      </c>
      <c r="AY173" s="3343">
        <f t="shared" si="68"/>
        <v>0</v>
      </c>
      <c r="AZ173" s="3298">
        <f t="shared" si="69"/>
        <v>0</v>
      </c>
      <c r="BA173" s="3298">
        <f t="shared" si="70"/>
        <v>0</v>
      </c>
      <c r="BB173" s="3298">
        <f t="shared" si="71"/>
        <v>0</v>
      </c>
      <c r="BC173" s="3298">
        <f t="shared" si="72"/>
        <v>0</v>
      </c>
      <c r="BD173" s="3298">
        <f t="shared" si="73"/>
        <v>0</v>
      </c>
      <c r="BE173" s="3298">
        <f t="shared" si="74"/>
        <v>0</v>
      </c>
      <c r="BF173" s="3298">
        <f t="shared" si="75"/>
        <v>0</v>
      </c>
      <c r="BG173" s="3298">
        <f t="shared" si="76"/>
        <v>0</v>
      </c>
      <c r="BH173" s="3298">
        <f t="shared" si="77"/>
        <v>0</v>
      </c>
      <c r="BI173" s="3298">
        <f t="shared" si="78"/>
        <v>0</v>
      </c>
      <c r="BJ173" s="3298">
        <f t="shared" si="79"/>
        <v>0</v>
      </c>
      <c r="BK173" s="3298">
        <f t="shared" si="80"/>
        <v>0</v>
      </c>
      <c r="BL173" s="3298">
        <f t="shared" si="81"/>
        <v>0</v>
      </c>
      <c r="BM173" s="3298">
        <f t="shared" si="82"/>
        <v>0</v>
      </c>
      <c r="BN173" s="3298">
        <f t="shared" si="83"/>
        <v>0</v>
      </c>
      <c r="BO173" s="3298">
        <f t="shared" si="84"/>
        <v>0</v>
      </c>
      <c r="BP173" s="3298">
        <f t="shared" si="85"/>
        <v>0</v>
      </c>
      <c r="BQ173" s="3298">
        <f t="shared" si="86"/>
        <v>0</v>
      </c>
      <c r="BR173" s="3298">
        <f t="shared" si="87"/>
        <v>0</v>
      </c>
      <c r="BS173" s="3298">
        <f t="shared" si="88"/>
        <v>0</v>
      </c>
      <c r="BT173" s="3350">
        <f t="shared" si="89"/>
        <v>0</v>
      </c>
    </row>
    <row r="174" spans="1:72">
      <c r="A174" s="1407"/>
      <c r="B174" s="3296"/>
      <c r="C174" s="3296"/>
      <c r="D174" s="3297"/>
      <c r="E174" s="3298">
        <f t="shared" si="90"/>
        <v>0</v>
      </c>
      <c r="F174" s="3299"/>
      <c r="G174" s="3300">
        <f t="shared" ref="G174:G207" si="94">H174+AC174+AT174</f>
        <v>0</v>
      </c>
      <c r="H174" s="3301">
        <f t="shared" ref="H174:H207" si="95">SUMIF(I$12:AB$12,"总值",I174:AB174)</f>
        <v>0</v>
      </c>
      <c r="I174" s="3308"/>
      <c r="J174" s="3308"/>
      <c r="K174" s="3308"/>
      <c r="L174" s="3308"/>
      <c r="M174" s="3308"/>
      <c r="N174" s="3308"/>
      <c r="O174" s="3308"/>
      <c r="P174" s="3308"/>
      <c r="Q174" s="3308"/>
      <c r="R174" s="3308"/>
      <c r="S174" s="3308"/>
      <c r="T174" s="3308"/>
      <c r="U174" s="3308"/>
      <c r="V174" s="3308"/>
      <c r="W174" s="3308"/>
      <c r="X174" s="3308"/>
      <c r="Y174" s="3308"/>
      <c r="Z174" s="3308"/>
      <c r="AA174" s="3308"/>
      <c r="AB174" s="3308"/>
      <c r="AC174" s="3298">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28"/>
      <c r="AU174" s="3329"/>
      <c r="AV174" s="963">
        <f t="shared" si="91"/>
        <v>0</v>
      </c>
      <c r="AW174" s="963">
        <f t="shared" si="92"/>
        <v>0</v>
      </c>
      <c r="AX174" s="963">
        <f t="shared" si="93"/>
        <v>0</v>
      </c>
      <c r="AY174" s="3343">
        <f t="shared" ref="AY174:AY207" si="97">ROUND($AY$6*AZ174/$AZ$5,2)</f>
        <v>0</v>
      </c>
      <c r="AZ174" s="3298">
        <f t="shared" ref="AZ174:AZ207" si="98">BA174+BL174</f>
        <v>0</v>
      </c>
      <c r="BA174" s="3298">
        <f t="shared" ref="BA174:BA207" si="99">SUM(BB174:BK174)</f>
        <v>0</v>
      </c>
      <c r="BB174" s="3298">
        <f t="shared" ref="BB174:BB207" si="100">IF($D174="是",I174-J174,0)</f>
        <v>0</v>
      </c>
      <c r="BC174" s="3298">
        <f t="shared" ref="BC174:BC207" si="101">IF($D174="是",K174-L174,0)</f>
        <v>0</v>
      </c>
      <c r="BD174" s="3298">
        <f t="shared" ref="BD174:BD207" si="102">IF($D174="是",M174-N174,0)</f>
        <v>0</v>
      </c>
      <c r="BE174" s="3298">
        <f t="shared" ref="BE174:BE207" si="103">IF($D174="是",O174-P174,0)</f>
        <v>0</v>
      </c>
      <c r="BF174" s="3298">
        <f t="shared" ref="BF174:BF207" si="104">IF($D174="是",Q174-R174,0)</f>
        <v>0</v>
      </c>
      <c r="BG174" s="3298">
        <f t="shared" ref="BG174:BG207" si="105">IF($D174="是",S174-T174,0)</f>
        <v>0</v>
      </c>
      <c r="BH174" s="3298">
        <f t="shared" ref="BH174:BH207" si="106">IF($D174="是",U174-V174,0)</f>
        <v>0</v>
      </c>
      <c r="BI174" s="3298">
        <f t="shared" ref="BI174:BI207" si="107">IF($D174="是",W174-X174,0)</f>
        <v>0</v>
      </c>
      <c r="BJ174" s="3298">
        <f t="shared" ref="BJ174:BJ207" si="108">IF($D174="是",Y174-Z174,0)</f>
        <v>0</v>
      </c>
      <c r="BK174" s="3298">
        <f t="shared" ref="BK174:BK207" si="109">IF($D174="是",AA174-AB174,0)</f>
        <v>0</v>
      </c>
      <c r="BL174" s="3298">
        <f t="shared" ref="BL174:BL207" si="110">SUM(BM174:BT174)</f>
        <v>0</v>
      </c>
      <c r="BM174" s="3298">
        <f t="shared" ref="BM174:BM207" si="111">IF($D174="是",AD174-AE174,0)</f>
        <v>0</v>
      </c>
      <c r="BN174" s="3298">
        <f t="shared" ref="BN174:BN207" si="112">IF($D174="是",AF174-AG174,0)</f>
        <v>0</v>
      </c>
      <c r="BO174" s="3298">
        <f t="shared" ref="BO174:BO207" si="113">IF($D174="是",AH174-AI174,0)</f>
        <v>0</v>
      </c>
      <c r="BP174" s="3298">
        <f t="shared" ref="BP174:BP207" si="114">IF($D174="是",AJ174-AK174,0)</f>
        <v>0</v>
      </c>
      <c r="BQ174" s="3298">
        <f t="shared" ref="BQ174:BQ207" si="115">IF($D174="是",AL174-AM174,0)</f>
        <v>0</v>
      </c>
      <c r="BR174" s="3298">
        <f t="shared" ref="BR174:BR207" si="116">IF($D174="是",AN174-AO174,0)</f>
        <v>0</v>
      </c>
      <c r="BS174" s="3298">
        <f t="shared" ref="BS174:BS207" si="117">IF($D174="是",AP174-AQ174,0)</f>
        <v>0</v>
      </c>
      <c r="BT174" s="3350">
        <f t="shared" ref="BT174:BT207" si="118">IF($D174="是",AR174-AS174,0)</f>
        <v>0</v>
      </c>
    </row>
    <row r="175" spans="1:72">
      <c r="A175" s="1407"/>
      <c r="B175" s="3296"/>
      <c r="C175" s="3296"/>
      <c r="D175" s="3297"/>
      <c r="E175" s="3298">
        <f t="shared" si="90"/>
        <v>0</v>
      </c>
      <c r="F175" s="3299"/>
      <c r="G175" s="3300">
        <f t="shared" si="94"/>
        <v>0</v>
      </c>
      <c r="H175" s="3301">
        <f t="shared" si="95"/>
        <v>0</v>
      </c>
      <c r="I175" s="3308"/>
      <c r="J175" s="3308"/>
      <c r="K175" s="3308"/>
      <c r="L175" s="3308"/>
      <c r="M175" s="3308"/>
      <c r="N175" s="3308"/>
      <c r="O175" s="3308"/>
      <c r="P175" s="3308"/>
      <c r="Q175" s="3308"/>
      <c r="R175" s="3308"/>
      <c r="S175" s="3308"/>
      <c r="T175" s="3308"/>
      <c r="U175" s="3308"/>
      <c r="V175" s="3308"/>
      <c r="W175" s="3308"/>
      <c r="X175" s="3308"/>
      <c r="Y175" s="3308"/>
      <c r="Z175" s="3308"/>
      <c r="AA175" s="3308"/>
      <c r="AB175" s="3308"/>
      <c r="AC175" s="3298">
        <f t="shared" si="96"/>
        <v>0</v>
      </c>
      <c r="AD175" s="3318"/>
      <c r="AE175" s="3318"/>
      <c r="AF175" s="3318"/>
      <c r="AG175" s="3318"/>
      <c r="AH175" s="3318"/>
      <c r="AI175" s="3318"/>
      <c r="AJ175" s="3318"/>
      <c r="AK175" s="3318"/>
      <c r="AL175" s="3318"/>
      <c r="AM175" s="3318"/>
      <c r="AN175" s="3318"/>
      <c r="AO175" s="3318"/>
      <c r="AP175" s="3318"/>
      <c r="AQ175" s="3318"/>
      <c r="AR175" s="3318"/>
      <c r="AS175" s="3318"/>
      <c r="AT175" s="3328"/>
      <c r="AU175" s="3329"/>
      <c r="AV175" s="963">
        <f t="shared" si="91"/>
        <v>0</v>
      </c>
      <c r="AW175" s="963">
        <f t="shared" si="92"/>
        <v>0</v>
      </c>
      <c r="AX175" s="963">
        <f t="shared" si="93"/>
        <v>0</v>
      </c>
      <c r="AY175" s="3343">
        <f t="shared" si="97"/>
        <v>0</v>
      </c>
      <c r="AZ175" s="3298">
        <f t="shared" si="98"/>
        <v>0</v>
      </c>
      <c r="BA175" s="3298">
        <f t="shared" si="99"/>
        <v>0</v>
      </c>
      <c r="BB175" s="3298">
        <f t="shared" si="100"/>
        <v>0</v>
      </c>
      <c r="BC175" s="3298">
        <f t="shared" si="101"/>
        <v>0</v>
      </c>
      <c r="BD175" s="3298">
        <f t="shared" si="102"/>
        <v>0</v>
      </c>
      <c r="BE175" s="3298">
        <f t="shared" si="103"/>
        <v>0</v>
      </c>
      <c r="BF175" s="3298">
        <f t="shared" si="104"/>
        <v>0</v>
      </c>
      <c r="BG175" s="3298">
        <f t="shared" si="105"/>
        <v>0</v>
      </c>
      <c r="BH175" s="3298">
        <f t="shared" si="106"/>
        <v>0</v>
      </c>
      <c r="BI175" s="3298">
        <f t="shared" si="107"/>
        <v>0</v>
      </c>
      <c r="BJ175" s="3298">
        <f t="shared" si="108"/>
        <v>0</v>
      </c>
      <c r="BK175" s="3298">
        <f t="shared" si="109"/>
        <v>0</v>
      </c>
      <c r="BL175" s="3298">
        <f t="shared" si="110"/>
        <v>0</v>
      </c>
      <c r="BM175" s="3298">
        <f t="shared" si="111"/>
        <v>0</v>
      </c>
      <c r="BN175" s="3298">
        <f t="shared" si="112"/>
        <v>0</v>
      </c>
      <c r="BO175" s="3298">
        <f t="shared" si="113"/>
        <v>0</v>
      </c>
      <c r="BP175" s="3298">
        <f t="shared" si="114"/>
        <v>0</v>
      </c>
      <c r="BQ175" s="3298">
        <f t="shared" si="115"/>
        <v>0</v>
      </c>
      <c r="BR175" s="3298">
        <f t="shared" si="116"/>
        <v>0</v>
      </c>
      <c r="BS175" s="3298">
        <f t="shared" si="117"/>
        <v>0</v>
      </c>
      <c r="BT175" s="3350">
        <f t="shared" si="118"/>
        <v>0</v>
      </c>
    </row>
    <row r="176" spans="1:72">
      <c r="A176" s="1407"/>
      <c r="B176" s="3296"/>
      <c r="C176" s="3296"/>
      <c r="D176" s="3297"/>
      <c r="E176" s="3298">
        <f t="shared" si="90"/>
        <v>0</v>
      </c>
      <c r="F176" s="3299"/>
      <c r="G176" s="3300">
        <f t="shared" si="94"/>
        <v>0</v>
      </c>
      <c r="H176" s="3301">
        <f t="shared" si="95"/>
        <v>0</v>
      </c>
      <c r="I176" s="3308"/>
      <c r="J176" s="3308"/>
      <c r="K176" s="3308"/>
      <c r="L176" s="3308"/>
      <c r="M176" s="3308"/>
      <c r="N176" s="3308"/>
      <c r="O176" s="3308"/>
      <c r="P176" s="3308"/>
      <c r="Q176" s="3308"/>
      <c r="R176" s="3308"/>
      <c r="S176" s="3308"/>
      <c r="T176" s="3308"/>
      <c r="U176" s="3308"/>
      <c r="V176" s="3308"/>
      <c r="W176" s="3308"/>
      <c r="X176" s="3308"/>
      <c r="Y176" s="3308"/>
      <c r="Z176" s="3308"/>
      <c r="AA176" s="3308"/>
      <c r="AB176" s="3308"/>
      <c r="AC176" s="3298">
        <f t="shared" si="96"/>
        <v>0</v>
      </c>
      <c r="AD176" s="3318"/>
      <c r="AE176" s="3318"/>
      <c r="AF176" s="3318"/>
      <c r="AG176" s="3318"/>
      <c r="AH176" s="3318"/>
      <c r="AI176" s="3318"/>
      <c r="AJ176" s="3318"/>
      <c r="AK176" s="3318"/>
      <c r="AL176" s="3318"/>
      <c r="AM176" s="3318"/>
      <c r="AN176" s="3318"/>
      <c r="AO176" s="3318"/>
      <c r="AP176" s="3318"/>
      <c r="AQ176" s="3318"/>
      <c r="AR176" s="3318"/>
      <c r="AS176" s="3318"/>
      <c r="AT176" s="3328"/>
      <c r="AU176" s="3329"/>
      <c r="AV176" s="963">
        <f t="shared" si="91"/>
        <v>0</v>
      </c>
      <c r="AW176" s="963">
        <f t="shared" si="92"/>
        <v>0</v>
      </c>
      <c r="AX176" s="963">
        <f t="shared" si="93"/>
        <v>0</v>
      </c>
      <c r="AY176" s="3343">
        <f t="shared" si="97"/>
        <v>0</v>
      </c>
      <c r="AZ176" s="3298">
        <f t="shared" si="98"/>
        <v>0</v>
      </c>
      <c r="BA176" s="3298">
        <f t="shared" si="99"/>
        <v>0</v>
      </c>
      <c r="BB176" s="3298">
        <f t="shared" si="100"/>
        <v>0</v>
      </c>
      <c r="BC176" s="3298">
        <f t="shared" si="101"/>
        <v>0</v>
      </c>
      <c r="BD176" s="3298">
        <f t="shared" si="102"/>
        <v>0</v>
      </c>
      <c r="BE176" s="3298">
        <f t="shared" si="103"/>
        <v>0</v>
      </c>
      <c r="BF176" s="3298">
        <f t="shared" si="104"/>
        <v>0</v>
      </c>
      <c r="BG176" s="3298">
        <f t="shared" si="105"/>
        <v>0</v>
      </c>
      <c r="BH176" s="3298">
        <f t="shared" si="106"/>
        <v>0</v>
      </c>
      <c r="BI176" s="3298">
        <f t="shared" si="107"/>
        <v>0</v>
      </c>
      <c r="BJ176" s="3298">
        <f t="shared" si="108"/>
        <v>0</v>
      </c>
      <c r="BK176" s="3298">
        <f t="shared" si="109"/>
        <v>0</v>
      </c>
      <c r="BL176" s="3298">
        <f t="shared" si="110"/>
        <v>0</v>
      </c>
      <c r="BM176" s="3298">
        <f t="shared" si="111"/>
        <v>0</v>
      </c>
      <c r="BN176" s="3298">
        <f t="shared" si="112"/>
        <v>0</v>
      </c>
      <c r="BO176" s="3298">
        <f t="shared" si="113"/>
        <v>0</v>
      </c>
      <c r="BP176" s="3298">
        <f t="shared" si="114"/>
        <v>0</v>
      </c>
      <c r="BQ176" s="3298">
        <f t="shared" si="115"/>
        <v>0</v>
      </c>
      <c r="BR176" s="3298">
        <f t="shared" si="116"/>
        <v>0</v>
      </c>
      <c r="BS176" s="3298">
        <f t="shared" si="117"/>
        <v>0</v>
      </c>
      <c r="BT176" s="3350">
        <f t="shared" si="118"/>
        <v>0</v>
      </c>
    </row>
    <row r="177" spans="1:72">
      <c r="A177" s="1407"/>
      <c r="B177" s="3296"/>
      <c r="C177" s="3296"/>
      <c r="D177" s="3297"/>
      <c r="E177" s="3298">
        <f t="shared" ref="E177:E207" si="119">IF($C$3="是",ROUND($A$3*G177/$B$3,2),ROUND($A$3*(G177-AT177)/$B$3,2))</f>
        <v>0</v>
      </c>
      <c r="F177" s="3299"/>
      <c r="G177" s="3300">
        <f t="shared" si="94"/>
        <v>0</v>
      </c>
      <c r="H177" s="3301">
        <f t="shared" si="95"/>
        <v>0</v>
      </c>
      <c r="I177" s="3308"/>
      <c r="J177" s="3308"/>
      <c r="K177" s="3308"/>
      <c r="L177" s="3308"/>
      <c r="M177" s="3308"/>
      <c r="N177" s="3308"/>
      <c r="O177" s="3308"/>
      <c r="P177" s="3308"/>
      <c r="Q177" s="3308"/>
      <c r="R177" s="3308"/>
      <c r="S177" s="3308"/>
      <c r="T177" s="3308"/>
      <c r="U177" s="3308"/>
      <c r="V177" s="3308"/>
      <c r="W177" s="3308"/>
      <c r="X177" s="3308"/>
      <c r="Y177" s="3308"/>
      <c r="Z177" s="3308"/>
      <c r="AA177" s="3308"/>
      <c r="AB177" s="3308"/>
      <c r="AC177" s="3298">
        <f t="shared" si="96"/>
        <v>0</v>
      </c>
      <c r="AD177" s="3318"/>
      <c r="AE177" s="3318"/>
      <c r="AF177" s="3318"/>
      <c r="AG177" s="3318"/>
      <c r="AH177" s="3318"/>
      <c r="AI177" s="3318"/>
      <c r="AJ177" s="3318"/>
      <c r="AK177" s="3318"/>
      <c r="AL177" s="3318"/>
      <c r="AM177" s="3318"/>
      <c r="AN177" s="3318"/>
      <c r="AO177" s="3318"/>
      <c r="AP177" s="3318"/>
      <c r="AQ177" s="3318"/>
      <c r="AR177" s="3318"/>
      <c r="AS177" s="3318"/>
      <c r="AT177" s="3328"/>
      <c r="AU177" s="3329"/>
      <c r="AV177" s="963">
        <f t="shared" ref="AV177:AV207" si="120">A177</f>
        <v>0</v>
      </c>
      <c r="AW177" s="963">
        <f t="shared" ref="AW177:AW207" si="121">B177</f>
        <v>0</v>
      </c>
      <c r="AX177" s="963">
        <f t="shared" ref="AX177:AX207" si="122">C177</f>
        <v>0</v>
      </c>
      <c r="AY177" s="3343">
        <f t="shared" si="97"/>
        <v>0</v>
      </c>
      <c r="AZ177" s="3298">
        <f t="shared" si="98"/>
        <v>0</v>
      </c>
      <c r="BA177" s="3298">
        <f t="shared" si="99"/>
        <v>0</v>
      </c>
      <c r="BB177" s="3298">
        <f t="shared" si="100"/>
        <v>0</v>
      </c>
      <c r="BC177" s="3298">
        <f t="shared" si="101"/>
        <v>0</v>
      </c>
      <c r="BD177" s="3298">
        <f t="shared" si="102"/>
        <v>0</v>
      </c>
      <c r="BE177" s="3298">
        <f t="shared" si="103"/>
        <v>0</v>
      </c>
      <c r="BF177" s="3298">
        <f t="shared" si="104"/>
        <v>0</v>
      </c>
      <c r="BG177" s="3298">
        <f t="shared" si="105"/>
        <v>0</v>
      </c>
      <c r="BH177" s="3298">
        <f t="shared" si="106"/>
        <v>0</v>
      </c>
      <c r="BI177" s="3298">
        <f t="shared" si="107"/>
        <v>0</v>
      </c>
      <c r="BJ177" s="3298">
        <f t="shared" si="108"/>
        <v>0</v>
      </c>
      <c r="BK177" s="3298">
        <f t="shared" si="109"/>
        <v>0</v>
      </c>
      <c r="BL177" s="3298">
        <f t="shared" si="110"/>
        <v>0</v>
      </c>
      <c r="BM177" s="3298">
        <f t="shared" si="111"/>
        <v>0</v>
      </c>
      <c r="BN177" s="3298">
        <f t="shared" si="112"/>
        <v>0</v>
      </c>
      <c r="BO177" s="3298">
        <f t="shared" si="113"/>
        <v>0</v>
      </c>
      <c r="BP177" s="3298">
        <f t="shared" si="114"/>
        <v>0</v>
      </c>
      <c r="BQ177" s="3298">
        <f t="shared" si="115"/>
        <v>0</v>
      </c>
      <c r="BR177" s="3298">
        <f t="shared" si="116"/>
        <v>0</v>
      </c>
      <c r="BS177" s="3298">
        <f t="shared" si="117"/>
        <v>0</v>
      </c>
      <c r="BT177" s="3350">
        <f t="shared" si="118"/>
        <v>0</v>
      </c>
    </row>
    <row r="178" spans="1:72">
      <c r="A178" s="1407"/>
      <c r="B178" s="3296"/>
      <c r="C178" s="3296"/>
      <c r="D178" s="3297"/>
      <c r="E178" s="3298">
        <f t="shared" si="119"/>
        <v>0</v>
      </c>
      <c r="F178" s="3299"/>
      <c r="G178" s="3300">
        <f t="shared" si="94"/>
        <v>0</v>
      </c>
      <c r="H178" s="3301">
        <f t="shared" si="95"/>
        <v>0</v>
      </c>
      <c r="I178" s="3308"/>
      <c r="J178" s="3308"/>
      <c r="K178" s="3308"/>
      <c r="L178" s="3308"/>
      <c r="M178" s="3308"/>
      <c r="N178" s="3308"/>
      <c r="O178" s="3308"/>
      <c r="P178" s="3308"/>
      <c r="Q178" s="3308"/>
      <c r="R178" s="3308"/>
      <c r="S178" s="3308"/>
      <c r="T178" s="3308"/>
      <c r="U178" s="3308"/>
      <c r="V178" s="3308"/>
      <c r="W178" s="3308"/>
      <c r="X178" s="3308"/>
      <c r="Y178" s="3308"/>
      <c r="Z178" s="3308"/>
      <c r="AA178" s="3308"/>
      <c r="AB178" s="3308"/>
      <c r="AC178" s="3298">
        <f t="shared" si="96"/>
        <v>0</v>
      </c>
      <c r="AD178" s="3318"/>
      <c r="AE178" s="3318"/>
      <c r="AF178" s="3318"/>
      <c r="AG178" s="3318"/>
      <c r="AH178" s="3318"/>
      <c r="AI178" s="3318"/>
      <c r="AJ178" s="3318"/>
      <c r="AK178" s="3318"/>
      <c r="AL178" s="3318"/>
      <c r="AM178" s="3318"/>
      <c r="AN178" s="3318"/>
      <c r="AO178" s="3318"/>
      <c r="AP178" s="3318"/>
      <c r="AQ178" s="3318"/>
      <c r="AR178" s="3318"/>
      <c r="AS178" s="3318"/>
      <c r="AT178" s="3328"/>
      <c r="AU178" s="3329"/>
      <c r="AV178" s="963">
        <f t="shared" si="120"/>
        <v>0</v>
      </c>
      <c r="AW178" s="963">
        <f t="shared" si="121"/>
        <v>0</v>
      </c>
      <c r="AX178" s="963">
        <f t="shared" si="122"/>
        <v>0</v>
      </c>
      <c r="AY178" s="3343">
        <f t="shared" si="97"/>
        <v>0</v>
      </c>
      <c r="AZ178" s="3298">
        <f t="shared" si="98"/>
        <v>0</v>
      </c>
      <c r="BA178" s="3298">
        <f t="shared" si="99"/>
        <v>0</v>
      </c>
      <c r="BB178" s="3298">
        <f t="shared" si="100"/>
        <v>0</v>
      </c>
      <c r="BC178" s="3298">
        <f t="shared" si="101"/>
        <v>0</v>
      </c>
      <c r="BD178" s="3298">
        <f t="shared" si="102"/>
        <v>0</v>
      </c>
      <c r="BE178" s="3298">
        <f t="shared" si="103"/>
        <v>0</v>
      </c>
      <c r="BF178" s="3298">
        <f t="shared" si="104"/>
        <v>0</v>
      </c>
      <c r="BG178" s="3298">
        <f t="shared" si="105"/>
        <v>0</v>
      </c>
      <c r="BH178" s="3298">
        <f t="shared" si="106"/>
        <v>0</v>
      </c>
      <c r="BI178" s="3298">
        <f t="shared" si="107"/>
        <v>0</v>
      </c>
      <c r="BJ178" s="3298">
        <f t="shared" si="108"/>
        <v>0</v>
      </c>
      <c r="BK178" s="3298">
        <f t="shared" si="109"/>
        <v>0</v>
      </c>
      <c r="BL178" s="3298">
        <f t="shared" si="110"/>
        <v>0</v>
      </c>
      <c r="BM178" s="3298">
        <f t="shared" si="111"/>
        <v>0</v>
      </c>
      <c r="BN178" s="3298">
        <f t="shared" si="112"/>
        <v>0</v>
      </c>
      <c r="BO178" s="3298">
        <f t="shared" si="113"/>
        <v>0</v>
      </c>
      <c r="BP178" s="3298">
        <f t="shared" si="114"/>
        <v>0</v>
      </c>
      <c r="BQ178" s="3298">
        <f t="shared" si="115"/>
        <v>0</v>
      </c>
      <c r="BR178" s="3298">
        <f t="shared" si="116"/>
        <v>0</v>
      </c>
      <c r="BS178" s="3298">
        <f t="shared" si="117"/>
        <v>0</v>
      </c>
      <c r="BT178" s="3350">
        <f t="shared" si="118"/>
        <v>0</v>
      </c>
    </row>
    <row r="179" spans="1:72">
      <c r="A179" s="1407"/>
      <c r="B179" s="3296"/>
      <c r="C179" s="3296"/>
      <c r="D179" s="3297"/>
      <c r="E179" s="3298">
        <f t="shared" si="119"/>
        <v>0</v>
      </c>
      <c r="F179" s="3299"/>
      <c r="G179" s="3300">
        <f t="shared" si="94"/>
        <v>0</v>
      </c>
      <c r="H179" s="3301">
        <f t="shared" si="95"/>
        <v>0</v>
      </c>
      <c r="I179" s="3308"/>
      <c r="J179" s="3308"/>
      <c r="K179" s="3308"/>
      <c r="L179" s="3308"/>
      <c r="M179" s="3308"/>
      <c r="N179" s="3308"/>
      <c r="O179" s="3308"/>
      <c r="P179" s="3308"/>
      <c r="Q179" s="3308"/>
      <c r="R179" s="3308"/>
      <c r="S179" s="3308"/>
      <c r="T179" s="3308"/>
      <c r="U179" s="3308"/>
      <c r="V179" s="3308"/>
      <c r="W179" s="3308"/>
      <c r="X179" s="3308"/>
      <c r="Y179" s="3308"/>
      <c r="Z179" s="3308"/>
      <c r="AA179" s="3308"/>
      <c r="AB179" s="3308"/>
      <c r="AC179" s="3298">
        <f t="shared" si="96"/>
        <v>0</v>
      </c>
      <c r="AD179" s="3318"/>
      <c r="AE179" s="3318"/>
      <c r="AF179" s="3318"/>
      <c r="AG179" s="3318"/>
      <c r="AH179" s="3318"/>
      <c r="AI179" s="3318"/>
      <c r="AJ179" s="3318"/>
      <c r="AK179" s="3318"/>
      <c r="AL179" s="3318"/>
      <c r="AM179" s="3318"/>
      <c r="AN179" s="3318"/>
      <c r="AO179" s="3318"/>
      <c r="AP179" s="3318"/>
      <c r="AQ179" s="3318"/>
      <c r="AR179" s="3318"/>
      <c r="AS179" s="3318"/>
      <c r="AT179" s="3328"/>
      <c r="AU179" s="3329"/>
      <c r="AV179" s="963">
        <f t="shared" si="120"/>
        <v>0</v>
      </c>
      <c r="AW179" s="963">
        <f t="shared" si="121"/>
        <v>0</v>
      </c>
      <c r="AX179" s="963">
        <f t="shared" si="122"/>
        <v>0</v>
      </c>
      <c r="AY179" s="3343">
        <f t="shared" si="97"/>
        <v>0</v>
      </c>
      <c r="AZ179" s="3298">
        <f t="shared" si="98"/>
        <v>0</v>
      </c>
      <c r="BA179" s="3298">
        <f t="shared" si="99"/>
        <v>0</v>
      </c>
      <c r="BB179" s="3298">
        <f t="shared" si="100"/>
        <v>0</v>
      </c>
      <c r="BC179" s="3298">
        <f t="shared" si="101"/>
        <v>0</v>
      </c>
      <c r="BD179" s="3298">
        <f t="shared" si="102"/>
        <v>0</v>
      </c>
      <c r="BE179" s="3298">
        <f t="shared" si="103"/>
        <v>0</v>
      </c>
      <c r="BF179" s="3298">
        <f t="shared" si="104"/>
        <v>0</v>
      </c>
      <c r="BG179" s="3298">
        <f t="shared" si="105"/>
        <v>0</v>
      </c>
      <c r="BH179" s="3298">
        <f t="shared" si="106"/>
        <v>0</v>
      </c>
      <c r="BI179" s="3298">
        <f t="shared" si="107"/>
        <v>0</v>
      </c>
      <c r="BJ179" s="3298">
        <f t="shared" si="108"/>
        <v>0</v>
      </c>
      <c r="BK179" s="3298">
        <f t="shared" si="109"/>
        <v>0</v>
      </c>
      <c r="BL179" s="3298">
        <f t="shared" si="110"/>
        <v>0</v>
      </c>
      <c r="BM179" s="3298">
        <f t="shared" si="111"/>
        <v>0</v>
      </c>
      <c r="BN179" s="3298">
        <f t="shared" si="112"/>
        <v>0</v>
      </c>
      <c r="BO179" s="3298">
        <f t="shared" si="113"/>
        <v>0</v>
      </c>
      <c r="BP179" s="3298">
        <f t="shared" si="114"/>
        <v>0</v>
      </c>
      <c r="BQ179" s="3298">
        <f t="shared" si="115"/>
        <v>0</v>
      </c>
      <c r="BR179" s="3298">
        <f t="shared" si="116"/>
        <v>0</v>
      </c>
      <c r="BS179" s="3298">
        <f t="shared" si="117"/>
        <v>0</v>
      </c>
      <c r="BT179" s="3350">
        <f t="shared" si="118"/>
        <v>0</v>
      </c>
    </row>
    <row r="180" spans="1:72">
      <c r="A180" s="1407"/>
      <c r="B180" s="3296"/>
      <c r="C180" s="3296"/>
      <c r="D180" s="3297"/>
      <c r="E180" s="3298">
        <f t="shared" si="119"/>
        <v>0</v>
      </c>
      <c r="F180" s="3299"/>
      <c r="G180" s="3300">
        <f t="shared" si="94"/>
        <v>0</v>
      </c>
      <c r="H180" s="3301">
        <f t="shared" si="95"/>
        <v>0</v>
      </c>
      <c r="I180" s="3308"/>
      <c r="J180" s="3308"/>
      <c r="K180" s="3308"/>
      <c r="L180" s="3308"/>
      <c r="M180" s="3308"/>
      <c r="N180" s="3308"/>
      <c r="O180" s="3308"/>
      <c r="P180" s="3308"/>
      <c r="Q180" s="3308"/>
      <c r="R180" s="3308"/>
      <c r="S180" s="3308"/>
      <c r="T180" s="3308"/>
      <c r="U180" s="3308"/>
      <c r="V180" s="3308"/>
      <c r="W180" s="3308"/>
      <c r="X180" s="3308"/>
      <c r="Y180" s="3308"/>
      <c r="Z180" s="3308"/>
      <c r="AA180" s="3308"/>
      <c r="AB180" s="3308"/>
      <c r="AC180" s="3298">
        <f t="shared" si="96"/>
        <v>0</v>
      </c>
      <c r="AD180" s="3318"/>
      <c r="AE180" s="3318"/>
      <c r="AF180" s="3318"/>
      <c r="AG180" s="3318"/>
      <c r="AH180" s="3318"/>
      <c r="AI180" s="3318"/>
      <c r="AJ180" s="3318"/>
      <c r="AK180" s="3318"/>
      <c r="AL180" s="3318"/>
      <c r="AM180" s="3318"/>
      <c r="AN180" s="3318"/>
      <c r="AO180" s="3318"/>
      <c r="AP180" s="3318"/>
      <c r="AQ180" s="3318"/>
      <c r="AR180" s="3318"/>
      <c r="AS180" s="3318"/>
      <c r="AT180" s="3328"/>
      <c r="AU180" s="3329"/>
      <c r="AV180" s="963">
        <f t="shared" si="120"/>
        <v>0</v>
      </c>
      <c r="AW180" s="963">
        <f t="shared" si="121"/>
        <v>0</v>
      </c>
      <c r="AX180" s="963">
        <f t="shared" si="122"/>
        <v>0</v>
      </c>
      <c r="AY180" s="3343">
        <f t="shared" si="97"/>
        <v>0</v>
      </c>
      <c r="AZ180" s="3298">
        <f t="shared" si="98"/>
        <v>0</v>
      </c>
      <c r="BA180" s="3298">
        <f t="shared" si="99"/>
        <v>0</v>
      </c>
      <c r="BB180" s="3298">
        <f t="shared" si="100"/>
        <v>0</v>
      </c>
      <c r="BC180" s="3298">
        <f t="shared" si="101"/>
        <v>0</v>
      </c>
      <c r="BD180" s="3298">
        <f t="shared" si="102"/>
        <v>0</v>
      </c>
      <c r="BE180" s="3298">
        <f t="shared" si="103"/>
        <v>0</v>
      </c>
      <c r="BF180" s="3298">
        <f t="shared" si="104"/>
        <v>0</v>
      </c>
      <c r="BG180" s="3298">
        <f t="shared" si="105"/>
        <v>0</v>
      </c>
      <c r="BH180" s="3298">
        <f t="shared" si="106"/>
        <v>0</v>
      </c>
      <c r="BI180" s="3298">
        <f t="shared" si="107"/>
        <v>0</v>
      </c>
      <c r="BJ180" s="3298">
        <f t="shared" si="108"/>
        <v>0</v>
      </c>
      <c r="BK180" s="3298">
        <f t="shared" si="109"/>
        <v>0</v>
      </c>
      <c r="BL180" s="3298">
        <f t="shared" si="110"/>
        <v>0</v>
      </c>
      <c r="BM180" s="3298">
        <f t="shared" si="111"/>
        <v>0</v>
      </c>
      <c r="BN180" s="3298">
        <f t="shared" si="112"/>
        <v>0</v>
      </c>
      <c r="BO180" s="3298">
        <f t="shared" si="113"/>
        <v>0</v>
      </c>
      <c r="BP180" s="3298">
        <f t="shared" si="114"/>
        <v>0</v>
      </c>
      <c r="BQ180" s="3298">
        <f t="shared" si="115"/>
        <v>0</v>
      </c>
      <c r="BR180" s="3298">
        <f t="shared" si="116"/>
        <v>0</v>
      </c>
      <c r="BS180" s="3298">
        <f t="shared" si="117"/>
        <v>0</v>
      </c>
      <c r="BT180" s="3350">
        <f t="shared" si="118"/>
        <v>0</v>
      </c>
    </row>
    <row r="181" spans="1:72">
      <c r="A181" s="1407"/>
      <c r="B181" s="3296"/>
      <c r="C181" s="3296"/>
      <c r="D181" s="3297"/>
      <c r="E181" s="3298">
        <f t="shared" si="119"/>
        <v>0</v>
      </c>
      <c r="F181" s="3299"/>
      <c r="G181" s="3300">
        <f t="shared" si="94"/>
        <v>0</v>
      </c>
      <c r="H181" s="3301">
        <f t="shared" si="95"/>
        <v>0</v>
      </c>
      <c r="I181" s="3308"/>
      <c r="J181" s="3308"/>
      <c r="K181" s="3308"/>
      <c r="L181" s="3308"/>
      <c r="M181" s="3308"/>
      <c r="N181" s="3308"/>
      <c r="O181" s="3308"/>
      <c r="P181" s="3308"/>
      <c r="Q181" s="3308"/>
      <c r="R181" s="3308"/>
      <c r="S181" s="3308"/>
      <c r="T181" s="3308"/>
      <c r="U181" s="3308"/>
      <c r="V181" s="3308"/>
      <c r="W181" s="3308"/>
      <c r="X181" s="3308"/>
      <c r="Y181" s="3308"/>
      <c r="Z181" s="3308"/>
      <c r="AA181" s="3308"/>
      <c r="AB181" s="3308"/>
      <c r="AC181" s="3298">
        <f t="shared" si="96"/>
        <v>0</v>
      </c>
      <c r="AD181" s="3318"/>
      <c r="AE181" s="3318"/>
      <c r="AF181" s="3318"/>
      <c r="AG181" s="3318"/>
      <c r="AH181" s="3318"/>
      <c r="AI181" s="3318"/>
      <c r="AJ181" s="3318"/>
      <c r="AK181" s="3318"/>
      <c r="AL181" s="3318"/>
      <c r="AM181" s="3318"/>
      <c r="AN181" s="3318"/>
      <c r="AO181" s="3318"/>
      <c r="AP181" s="3318"/>
      <c r="AQ181" s="3318"/>
      <c r="AR181" s="3318"/>
      <c r="AS181" s="3318"/>
      <c r="AT181" s="3328"/>
      <c r="AU181" s="3329"/>
      <c r="AV181" s="963">
        <f t="shared" si="120"/>
        <v>0</v>
      </c>
      <c r="AW181" s="963">
        <f t="shared" si="121"/>
        <v>0</v>
      </c>
      <c r="AX181" s="963">
        <f t="shared" si="122"/>
        <v>0</v>
      </c>
      <c r="AY181" s="3343">
        <f t="shared" si="97"/>
        <v>0</v>
      </c>
      <c r="AZ181" s="3298">
        <f t="shared" si="98"/>
        <v>0</v>
      </c>
      <c r="BA181" s="3298">
        <f t="shared" si="99"/>
        <v>0</v>
      </c>
      <c r="BB181" s="3298">
        <f t="shared" si="100"/>
        <v>0</v>
      </c>
      <c r="BC181" s="3298">
        <f t="shared" si="101"/>
        <v>0</v>
      </c>
      <c r="BD181" s="3298">
        <f t="shared" si="102"/>
        <v>0</v>
      </c>
      <c r="BE181" s="3298">
        <f t="shared" si="103"/>
        <v>0</v>
      </c>
      <c r="BF181" s="3298">
        <f t="shared" si="104"/>
        <v>0</v>
      </c>
      <c r="BG181" s="3298">
        <f t="shared" si="105"/>
        <v>0</v>
      </c>
      <c r="BH181" s="3298">
        <f t="shared" si="106"/>
        <v>0</v>
      </c>
      <c r="BI181" s="3298">
        <f t="shared" si="107"/>
        <v>0</v>
      </c>
      <c r="BJ181" s="3298">
        <f t="shared" si="108"/>
        <v>0</v>
      </c>
      <c r="BK181" s="3298">
        <f t="shared" si="109"/>
        <v>0</v>
      </c>
      <c r="BL181" s="3298">
        <f t="shared" si="110"/>
        <v>0</v>
      </c>
      <c r="BM181" s="3298">
        <f t="shared" si="111"/>
        <v>0</v>
      </c>
      <c r="BN181" s="3298">
        <f t="shared" si="112"/>
        <v>0</v>
      </c>
      <c r="BO181" s="3298">
        <f t="shared" si="113"/>
        <v>0</v>
      </c>
      <c r="BP181" s="3298">
        <f t="shared" si="114"/>
        <v>0</v>
      </c>
      <c r="BQ181" s="3298">
        <f t="shared" si="115"/>
        <v>0</v>
      </c>
      <c r="BR181" s="3298">
        <f t="shared" si="116"/>
        <v>0</v>
      </c>
      <c r="BS181" s="3298">
        <f t="shared" si="117"/>
        <v>0</v>
      </c>
      <c r="BT181" s="3350">
        <f t="shared" si="118"/>
        <v>0</v>
      </c>
    </row>
    <row r="182" spans="1:72">
      <c r="A182" s="1407"/>
      <c r="B182" s="3296"/>
      <c r="C182" s="3296"/>
      <c r="D182" s="3297"/>
      <c r="E182" s="3298">
        <f t="shared" si="119"/>
        <v>0</v>
      </c>
      <c r="F182" s="3299"/>
      <c r="G182" s="3300">
        <f t="shared" si="94"/>
        <v>0</v>
      </c>
      <c r="H182" s="3301">
        <f t="shared" si="95"/>
        <v>0</v>
      </c>
      <c r="I182" s="3308"/>
      <c r="J182" s="3308"/>
      <c r="K182" s="3308"/>
      <c r="L182" s="3308"/>
      <c r="M182" s="3308"/>
      <c r="N182" s="3308"/>
      <c r="O182" s="3308"/>
      <c r="P182" s="3308"/>
      <c r="Q182" s="3308"/>
      <c r="R182" s="3308"/>
      <c r="S182" s="3308"/>
      <c r="T182" s="3308"/>
      <c r="U182" s="3308"/>
      <c r="V182" s="3308"/>
      <c r="W182" s="3308"/>
      <c r="X182" s="3308"/>
      <c r="Y182" s="3308"/>
      <c r="Z182" s="3308"/>
      <c r="AA182" s="3308"/>
      <c r="AB182" s="3308"/>
      <c r="AC182" s="3298">
        <f t="shared" si="96"/>
        <v>0</v>
      </c>
      <c r="AD182" s="3318"/>
      <c r="AE182" s="3318"/>
      <c r="AF182" s="3318"/>
      <c r="AG182" s="3318"/>
      <c r="AH182" s="3318"/>
      <c r="AI182" s="3318"/>
      <c r="AJ182" s="3318"/>
      <c r="AK182" s="3318"/>
      <c r="AL182" s="3318"/>
      <c r="AM182" s="3318"/>
      <c r="AN182" s="3318"/>
      <c r="AO182" s="3318"/>
      <c r="AP182" s="3318"/>
      <c r="AQ182" s="3318"/>
      <c r="AR182" s="3318"/>
      <c r="AS182" s="3318"/>
      <c r="AT182" s="3328"/>
      <c r="AU182" s="3329"/>
      <c r="AV182" s="963">
        <f t="shared" si="120"/>
        <v>0</v>
      </c>
      <c r="AW182" s="963">
        <f t="shared" si="121"/>
        <v>0</v>
      </c>
      <c r="AX182" s="963">
        <f t="shared" si="122"/>
        <v>0</v>
      </c>
      <c r="AY182" s="3343">
        <f t="shared" si="97"/>
        <v>0</v>
      </c>
      <c r="AZ182" s="3298">
        <f t="shared" si="98"/>
        <v>0</v>
      </c>
      <c r="BA182" s="3298">
        <f t="shared" si="99"/>
        <v>0</v>
      </c>
      <c r="BB182" s="3298">
        <f t="shared" si="100"/>
        <v>0</v>
      </c>
      <c r="BC182" s="3298">
        <f t="shared" si="101"/>
        <v>0</v>
      </c>
      <c r="BD182" s="3298">
        <f t="shared" si="102"/>
        <v>0</v>
      </c>
      <c r="BE182" s="3298">
        <f t="shared" si="103"/>
        <v>0</v>
      </c>
      <c r="BF182" s="3298">
        <f t="shared" si="104"/>
        <v>0</v>
      </c>
      <c r="BG182" s="3298">
        <f t="shared" si="105"/>
        <v>0</v>
      </c>
      <c r="BH182" s="3298">
        <f t="shared" si="106"/>
        <v>0</v>
      </c>
      <c r="BI182" s="3298">
        <f t="shared" si="107"/>
        <v>0</v>
      </c>
      <c r="BJ182" s="3298">
        <f t="shared" si="108"/>
        <v>0</v>
      </c>
      <c r="BK182" s="3298">
        <f t="shared" si="109"/>
        <v>0</v>
      </c>
      <c r="BL182" s="3298">
        <f t="shared" si="110"/>
        <v>0</v>
      </c>
      <c r="BM182" s="3298">
        <f t="shared" si="111"/>
        <v>0</v>
      </c>
      <c r="BN182" s="3298">
        <f t="shared" si="112"/>
        <v>0</v>
      </c>
      <c r="BO182" s="3298">
        <f t="shared" si="113"/>
        <v>0</v>
      </c>
      <c r="BP182" s="3298">
        <f t="shared" si="114"/>
        <v>0</v>
      </c>
      <c r="BQ182" s="3298">
        <f t="shared" si="115"/>
        <v>0</v>
      </c>
      <c r="BR182" s="3298">
        <f t="shared" si="116"/>
        <v>0</v>
      </c>
      <c r="BS182" s="3298">
        <f t="shared" si="117"/>
        <v>0</v>
      </c>
      <c r="BT182" s="3350">
        <f t="shared" si="118"/>
        <v>0</v>
      </c>
    </row>
    <row r="183" spans="1:72">
      <c r="A183" s="1407"/>
      <c r="B183" s="3296"/>
      <c r="C183" s="3296"/>
      <c r="D183" s="3297"/>
      <c r="E183" s="3298">
        <f t="shared" si="119"/>
        <v>0</v>
      </c>
      <c r="F183" s="3299"/>
      <c r="G183" s="3300">
        <f t="shared" si="94"/>
        <v>0</v>
      </c>
      <c r="H183" s="3301">
        <f t="shared" si="95"/>
        <v>0</v>
      </c>
      <c r="I183" s="3308"/>
      <c r="J183" s="3308"/>
      <c r="K183" s="3308"/>
      <c r="L183" s="3308"/>
      <c r="M183" s="3308"/>
      <c r="N183" s="3308"/>
      <c r="O183" s="3308"/>
      <c r="P183" s="3308"/>
      <c r="Q183" s="3308"/>
      <c r="R183" s="3308"/>
      <c r="S183" s="3308"/>
      <c r="T183" s="3308"/>
      <c r="U183" s="3308"/>
      <c r="V183" s="3308"/>
      <c r="W183" s="3308"/>
      <c r="X183" s="3308"/>
      <c r="Y183" s="3308"/>
      <c r="Z183" s="3308"/>
      <c r="AA183" s="3308"/>
      <c r="AB183" s="3308"/>
      <c r="AC183" s="3298">
        <f t="shared" si="96"/>
        <v>0</v>
      </c>
      <c r="AD183" s="3318"/>
      <c r="AE183" s="3318"/>
      <c r="AF183" s="3318"/>
      <c r="AG183" s="3318"/>
      <c r="AH183" s="3318"/>
      <c r="AI183" s="3318"/>
      <c r="AJ183" s="3318"/>
      <c r="AK183" s="3318"/>
      <c r="AL183" s="3318"/>
      <c r="AM183" s="3318"/>
      <c r="AN183" s="3318"/>
      <c r="AO183" s="3318"/>
      <c r="AP183" s="3318"/>
      <c r="AQ183" s="3318"/>
      <c r="AR183" s="3318"/>
      <c r="AS183" s="3318"/>
      <c r="AT183" s="3328"/>
      <c r="AU183" s="3329"/>
      <c r="AV183" s="963">
        <f t="shared" si="120"/>
        <v>0</v>
      </c>
      <c r="AW183" s="963">
        <f t="shared" si="121"/>
        <v>0</v>
      </c>
      <c r="AX183" s="963">
        <f t="shared" si="122"/>
        <v>0</v>
      </c>
      <c r="AY183" s="3343">
        <f t="shared" si="97"/>
        <v>0</v>
      </c>
      <c r="AZ183" s="3298">
        <f t="shared" si="98"/>
        <v>0</v>
      </c>
      <c r="BA183" s="3298">
        <f t="shared" si="99"/>
        <v>0</v>
      </c>
      <c r="BB183" s="3298">
        <f t="shared" si="100"/>
        <v>0</v>
      </c>
      <c r="BC183" s="3298">
        <f t="shared" si="101"/>
        <v>0</v>
      </c>
      <c r="BD183" s="3298">
        <f t="shared" si="102"/>
        <v>0</v>
      </c>
      <c r="BE183" s="3298">
        <f t="shared" si="103"/>
        <v>0</v>
      </c>
      <c r="BF183" s="3298">
        <f t="shared" si="104"/>
        <v>0</v>
      </c>
      <c r="BG183" s="3298">
        <f t="shared" si="105"/>
        <v>0</v>
      </c>
      <c r="BH183" s="3298">
        <f t="shared" si="106"/>
        <v>0</v>
      </c>
      <c r="BI183" s="3298">
        <f t="shared" si="107"/>
        <v>0</v>
      </c>
      <c r="BJ183" s="3298">
        <f t="shared" si="108"/>
        <v>0</v>
      </c>
      <c r="BK183" s="3298">
        <f t="shared" si="109"/>
        <v>0</v>
      </c>
      <c r="BL183" s="3298">
        <f t="shared" si="110"/>
        <v>0</v>
      </c>
      <c r="BM183" s="3298">
        <f t="shared" si="111"/>
        <v>0</v>
      </c>
      <c r="BN183" s="3298">
        <f t="shared" si="112"/>
        <v>0</v>
      </c>
      <c r="BO183" s="3298">
        <f t="shared" si="113"/>
        <v>0</v>
      </c>
      <c r="BP183" s="3298">
        <f t="shared" si="114"/>
        <v>0</v>
      </c>
      <c r="BQ183" s="3298">
        <f t="shared" si="115"/>
        <v>0</v>
      </c>
      <c r="BR183" s="3298">
        <f t="shared" si="116"/>
        <v>0</v>
      </c>
      <c r="BS183" s="3298">
        <f t="shared" si="117"/>
        <v>0</v>
      </c>
      <c r="BT183" s="3350">
        <f t="shared" si="118"/>
        <v>0</v>
      </c>
    </row>
    <row r="184" spans="1:72">
      <c r="A184" s="1407"/>
      <c r="B184" s="3296"/>
      <c r="C184" s="3296"/>
      <c r="D184" s="3297"/>
      <c r="E184" s="3298">
        <f t="shared" si="119"/>
        <v>0</v>
      </c>
      <c r="F184" s="3299"/>
      <c r="G184" s="3300">
        <f t="shared" si="94"/>
        <v>0</v>
      </c>
      <c r="H184" s="3301">
        <f t="shared" si="95"/>
        <v>0</v>
      </c>
      <c r="I184" s="3308"/>
      <c r="J184" s="3308"/>
      <c r="K184" s="3308"/>
      <c r="L184" s="3308"/>
      <c r="M184" s="3308"/>
      <c r="N184" s="3308"/>
      <c r="O184" s="3308"/>
      <c r="P184" s="3308"/>
      <c r="Q184" s="3308"/>
      <c r="R184" s="3308"/>
      <c r="S184" s="3308"/>
      <c r="T184" s="3308"/>
      <c r="U184" s="3308"/>
      <c r="V184" s="3308"/>
      <c r="W184" s="3308"/>
      <c r="X184" s="3308"/>
      <c r="Y184" s="3308"/>
      <c r="Z184" s="3308"/>
      <c r="AA184" s="3308"/>
      <c r="AB184" s="3308"/>
      <c r="AC184" s="3298">
        <f t="shared" si="96"/>
        <v>0</v>
      </c>
      <c r="AD184" s="3318"/>
      <c r="AE184" s="3318"/>
      <c r="AF184" s="3318"/>
      <c r="AG184" s="3318"/>
      <c r="AH184" s="3318"/>
      <c r="AI184" s="3318"/>
      <c r="AJ184" s="3318"/>
      <c r="AK184" s="3318"/>
      <c r="AL184" s="3318"/>
      <c r="AM184" s="3318"/>
      <c r="AN184" s="3318"/>
      <c r="AO184" s="3318"/>
      <c r="AP184" s="3318"/>
      <c r="AQ184" s="3318"/>
      <c r="AR184" s="3318"/>
      <c r="AS184" s="3318"/>
      <c r="AT184" s="3328"/>
      <c r="AU184" s="3329"/>
      <c r="AV184" s="963">
        <f t="shared" si="120"/>
        <v>0</v>
      </c>
      <c r="AW184" s="963">
        <f t="shared" si="121"/>
        <v>0</v>
      </c>
      <c r="AX184" s="963">
        <f t="shared" si="122"/>
        <v>0</v>
      </c>
      <c r="AY184" s="3343">
        <f t="shared" si="97"/>
        <v>0</v>
      </c>
      <c r="AZ184" s="3298">
        <f t="shared" si="98"/>
        <v>0</v>
      </c>
      <c r="BA184" s="3298">
        <f t="shared" si="99"/>
        <v>0</v>
      </c>
      <c r="BB184" s="3298">
        <f t="shared" si="100"/>
        <v>0</v>
      </c>
      <c r="BC184" s="3298">
        <f t="shared" si="101"/>
        <v>0</v>
      </c>
      <c r="BD184" s="3298">
        <f t="shared" si="102"/>
        <v>0</v>
      </c>
      <c r="BE184" s="3298">
        <f t="shared" si="103"/>
        <v>0</v>
      </c>
      <c r="BF184" s="3298">
        <f t="shared" si="104"/>
        <v>0</v>
      </c>
      <c r="BG184" s="3298">
        <f t="shared" si="105"/>
        <v>0</v>
      </c>
      <c r="BH184" s="3298">
        <f t="shared" si="106"/>
        <v>0</v>
      </c>
      <c r="BI184" s="3298">
        <f t="shared" si="107"/>
        <v>0</v>
      </c>
      <c r="BJ184" s="3298">
        <f t="shared" si="108"/>
        <v>0</v>
      </c>
      <c r="BK184" s="3298">
        <f t="shared" si="109"/>
        <v>0</v>
      </c>
      <c r="BL184" s="3298">
        <f t="shared" si="110"/>
        <v>0</v>
      </c>
      <c r="BM184" s="3298">
        <f t="shared" si="111"/>
        <v>0</v>
      </c>
      <c r="BN184" s="3298">
        <f t="shared" si="112"/>
        <v>0</v>
      </c>
      <c r="BO184" s="3298">
        <f t="shared" si="113"/>
        <v>0</v>
      </c>
      <c r="BP184" s="3298">
        <f t="shared" si="114"/>
        <v>0</v>
      </c>
      <c r="BQ184" s="3298">
        <f t="shared" si="115"/>
        <v>0</v>
      </c>
      <c r="BR184" s="3298">
        <f t="shared" si="116"/>
        <v>0</v>
      </c>
      <c r="BS184" s="3298">
        <f t="shared" si="117"/>
        <v>0</v>
      </c>
      <c r="BT184" s="3350">
        <f t="shared" si="118"/>
        <v>0</v>
      </c>
    </row>
    <row r="185" spans="1:72">
      <c r="A185" s="1407"/>
      <c r="B185" s="3296"/>
      <c r="C185" s="3296"/>
      <c r="D185" s="3297"/>
      <c r="E185" s="3298">
        <f t="shared" si="119"/>
        <v>0</v>
      </c>
      <c r="F185" s="3299"/>
      <c r="G185" s="3300">
        <f t="shared" si="94"/>
        <v>0</v>
      </c>
      <c r="H185" s="3301">
        <f t="shared" si="95"/>
        <v>0</v>
      </c>
      <c r="I185" s="3308"/>
      <c r="J185" s="3308"/>
      <c r="K185" s="3308"/>
      <c r="L185" s="3308"/>
      <c r="M185" s="3308"/>
      <c r="N185" s="3308"/>
      <c r="O185" s="3308"/>
      <c r="P185" s="3308"/>
      <c r="Q185" s="3308"/>
      <c r="R185" s="3308"/>
      <c r="S185" s="3308"/>
      <c r="T185" s="3308"/>
      <c r="U185" s="3308"/>
      <c r="V185" s="3308"/>
      <c r="W185" s="3308"/>
      <c r="X185" s="3308"/>
      <c r="Y185" s="3308"/>
      <c r="Z185" s="3308"/>
      <c r="AA185" s="3308"/>
      <c r="AB185" s="3308"/>
      <c r="AC185" s="3298">
        <f t="shared" si="96"/>
        <v>0</v>
      </c>
      <c r="AD185" s="3318"/>
      <c r="AE185" s="3318"/>
      <c r="AF185" s="3318"/>
      <c r="AG185" s="3318"/>
      <c r="AH185" s="3318"/>
      <c r="AI185" s="3318"/>
      <c r="AJ185" s="3318"/>
      <c r="AK185" s="3318"/>
      <c r="AL185" s="3318"/>
      <c r="AM185" s="3318"/>
      <c r="AN185" s="3318"/>
      <c r="AO185" s="3318"/>
      <c r="AP185" s="3318"/>
      <c r="AQ185" s="3318"/>
      <c r="AR185" s="3318"/>
      <c r="AS185" s="3318"/>
      <c r="AT185" s="3328"/>
      <c r="AU185" s="3329"/>
      <c r="AV185" s="963">
        <f t="shared" si="120"/>
        <v>0</v>
      </c>
      <c r="AW185" s="963">
        <f t="shared" si="121"/>
        <v>0</v>
      </c>
      <c r="AX185" s="963">
        <f t="shared" si="122"/>
        <v>0</v>
      </c>
      <c r="AY185" s="3343">
        <f t="shared" si="97"/>
        <v>0</v>
      </c>
      <c r="AZ185" s="3298">
        <f t="shared" si="98"/>
        <v>0</v>
      </c>
      <c r="BA185" s="3298">
        <f t="shared" si="99"/>
        <v>0</v>
      </c>
      <c r="BB185" s="3298">
        <f t="shared" si="100"/>
        <v>0</v>
      </c>
      <c r="BC185" s="3298">
        <f t="shared" si="101"/>
        <v>0</v>
      </c>
      <c r="BD185" s="3298">
        <f t="shared" si="102"/>
        <v>0</v>
      </c>
      <c r="BE185" s="3298">
        <f t="shared" si="103"/>
        <v>0</v>
      </c>
      <c r="BF185" s="3298">
        <f t="shared" si="104"/>
        <v>0</v>
      </c>
      <c r="BG185" s="3298">
        <f t="shared" si="105"/>
        <v>0</v>
      </c>
      <c r="BH185" s="3298">
        <f t="shared" si="106"/>
        <v>0</v>
      </c>
      <c r="BI185" s="3298">
        <f t="shared" si="107"/>
        <v>0</v>
      </c>
      <c r="BJ185" s="3298">
        <f t="shared" si="108"/>
        <v>0</v>
      </c>
      <c r="BK185" s="3298">
        <f t="shared" si="109"/>
        <v>0</v>
      </c>
      <c r="BL185" s="3298">
        <f t="shared" si="110"/>
        <v>0</v>
      </c>
      <c r="BM185" s="3298">
        <f t="shared" si="111"/>
        <v>0</v>
      </c>
      <c r="BN185" s="3298">
        <f t="shared" si="112"/>
        <v>0</v>
      </c>
      <c r="BO185" s="3298">
        <f t="shared" si="113"/>
        <v>0</v>
      </c>
      <c r="BP185" s="3298">
        <f t="shared" si="114"/>
        <v>0</v>
      </c>
      <c r="BQ185" s="3298">
        <f t="shared" si="115"/>
        <v>0</v>
      </c>
      <c r="BR185" s="3298">
        <f t="shared" si="116"/>
        <v>0</v>
      </c>
      <c r="BS185" s="3298">
        <f t="shared" si="117"/>
        <v>0</v>
      </c>
      <c r="BT185" s="3350">
        <f t="shared" si="118"/>
        <v>0</v>
      </c>
    </row>
    <row r="186" spans="1:72">
      <c r="A186" s="1407"/>
      <c r="B186" s="3296"/>
      <c r="C186" s="3296"/>
      <c r="D186" s="3297"/>
      <c r="E186" s="3298">
        <f t="shared" si="119"/>
        <v>0</v>
      </c>
      <c r="F186" s="3299"/>
      <c r="G186" s="3300">
        <f t="shared" si="94"/>
        <v>0</v>
      </c>
      <c r="H186" s="3301">
        <f t="shared" si="95"/>
        <v>0</v>
      </c>
      <c r="I186" s="3308"/>
      <c r="J186" s="3308"/>
      <c r="K186" s="3308"/>
      <c r="L186" s="3308"/>
      <c r="M186" s="3308"/>
      <c r="N186" s="3308"/>
      <c r="O186" s="3308"/>
      <c r="P186" s="3308"/>
      <c r="Q186" s="3308"/>
      <c r="R186" s="3308"/>
      <c r="S186" s="3308"/>
      <c r="T186" s="3308"/>
      <c r="U186" s="3308"/>
      <c r="V186" s="3308"/>
      <c r="W186" s="3308"/>
      <c r="X186" s="3308"/>
      <c r="Y186" s="3308"/>
      <c r="Z186" s="3308"/>
      <c r="AA186" s="3308"/>
      <c r="AB186" s="3308"/>
      <c r="AC186" s="3298">
        <f t="shared" si="96"/>
        <v>0</v>
      </c>
      <c r="AD186" s="3318"/>
      <c r="AE186" s="3318"/>
      <c r="AF186" s="3318"/>
      <c r="AG186" s="3318"/>
      <c r="AH186" s="3318"/>
      <c r="AI186" s="3318"/>
      <c r="AJ186" s="3318"/>
      <c r="AK186" s="3318"/>
      <c r="AL186" s="3318"/>
      <c r="AM186" s="3318"/>
      <c r="AN186" s="3318"/>
      <c r="AO186" s="3318"/>
      <c r="AP186" s="3318"/>
      <c r="AQ186" s="3318"/>
      <c r="AR186" s="3318"/>
      <c r="AS186" s="3318"/>
      <c r="AT186" s="3328"/>
      <c r="AU186" s="3329"/>
      <c r="AV186" s="963">
        <f t="shared" si="120"/>
        <v>0</v>
      </c>
      <c r="AW186" s="963">
        <f t="shared" si="121"/>
        <v>0</v>
      </c>
      <c r="AX186" s="963">
        <f t="shared" si="122"/>
        <v>0</v>
      </c>
      <c r="AY186" s="3343">
        <f t="shared" si="97"/>
        <v>0</v>
      </c>
      <c r="AZ186" s="3298">
        <f t="shared" si="98"/>
        <v>0</v>
      </c>
      <c r="BA186" s="3298">
        <f t="shared" si="99"/>
        <v>0</v>
      </c>
      <c r="BB186" s="3298">
        <f t="shared" si="100"/>
        <v>0</v>
      </c>
      <c r="BC186" s="3298">
        <f t="shared" si="101"/>
        <v>0</v>
      </c>
      <c r="BD186" s="3298">
        <f t="shared" si="102"/>
        <v>0</v>
      </c>
      <c r="BE186" s="3298">
        <f t="shared" si="103"/>
        <v>0</v>
      </c>
      <c r="BF186" s="3298">
        <f t="shared" si="104"/>
        <v>0</v>
      </c>
      <c r="BG186" s="3298">
        <f t="shared" si="105"/>
        <v>0</v>
      </c>
      <c r="BH186" s="3298">
        <f t="shared" si="106"/>
        <v>0</v>
      </c>
      <c r="BI186" s="3298">
        <f t="shared" si="107"/>
        <v>0</v>
      </c>
      <c r="BJ186" s="3298">
        <f t="shared" si="108"/>
        <v>0</v>
      </c>
      <c r="BK186" s="3298">
        <f t="shared" si="109"/>
        <v>0</v>
      </c>
      <c r="BL186" s="3298">
        <f t="shared" si="110"/>
        <v>0</v>
      </c>
      <c r="BM186" s="3298">
        <f t="shared" si="111"/>
        <v>0</v>
      </c>
      <c r="BN186" s="3298">
        <f t="shared" si="112"/>
        <v>0</v>
      </c>
      <c r="BO186" s="3298">
        <f t="shared" si="113"/>
        <v>0</v>
      </c>
      <c r="BP186" s="3298">
        <f t="shared" si="114"/>
        <v>0</v>
      </c>
      <c r="BQ186" s="3298">
        <f t="shared" si="115"/>
        <v>0</v>
      </c>
      <c r="BR186" s="3298">
        <f t="shared" si="116"/>
        <v>0</v>
      </c>
      <c r="BS186" s="3298">
        <f t="shared" si="117"/>
        <v>0</v>
      </c>
      <c r="BT186" s="3350">
        <f t="shared" si="118"/>
        <v>0</v>
      </c>
    </row>
    <row r="187" spans="1:72">
      <c r="A187" s="1407"/>
      <c r="B187" s="3296"/>
      <c r="C187" s="3296"/>
      <c r="D187" s="3297"/>
      <c r="E187" s="3298">
        <f t="shared" si="119"/>
        <v>0</v>
      </c>
      <c r="F187" s="3299"/>
      <c r="G187" s="3300">
        <f t="shared" si="94"/>
        <v>0</v>
      </c>
      <c r="H187" s="3301">
        <f t="shared" si="95"/>
        <v>0</v>
      </c>
      <c r="I187" s="3308"/>
      <c r="J187" s="3308"/>
      <c r="K187" s="3308"/>
      <c r="L187" s="3308"/>
      <c r="M187" s="3308"/>
      <c r="N187" s="3308"/>
      <c r="O187" s="3308"/>
      <c r="P187" s="3308"/>
      <c r="Q187" s="3308"/>
      <c r="R187" s="3308"/>
      <c r="S187" s="3308"/>
      <c r="T187" s="3308"/>
      <c r="U187" s="3308"/>
      <c r="V187" s="3308"/>
      <c r="W187" s="3308"/>
      <c r="X187" s="3308"/>
      <c r="Y187" s="3308"/>
      <c r="Z187" s="3308"/>
      <c r="AA187" s="3308"/>
      <c r="AB187" s="3308"/>
      <c r="AC187" s="3298">
        <f t="shared" si="96"/>
        <v>0</v>
      </c>
      <c r="AD187" s="3318"/>
      <c r="AE187" s="3318"/>
      <c r="AF187" s="3318"/>
      <c r="AG187" s="3318"/>
      <c r="AH187" s="3318"/>
      <c r="AI187" s="3318"/>
      <c r="AJ187" s="3318"/>
      <c r="AK187" s="3318"/>
      <c r="AL187" s="3318"/>
      <c r="AM187" s="3318"/>
      <c r="AN187" s="3318"/>
      <c r="AO187" s="3318"/>
      <c r="AP187" s="3318"/>
      <c r="AQ187" s="3318"/>
      <c r="AR187" s="3318"/>
      <c r="AS187" s="3318"/>
      <c r="AT187" s="3328"/>
      <c r="AU187" s="3329"/>
      <c r="AV187" s="963">
        <f t="shared" si="120"/>
        <v>0</v>
      </c>
      <c r="AW187" s="963">
        <f t="shared" si="121"/>
        <v>0</v>
      </c>
      <c r="AX187" s="963">
        <f t="shared" si="122"/>
        <v>0</v>
      </c>
      <c r="AY187" s="3343">
        <f t="shared" si="97"/>
        <v>0</v>
      </c>
      <c r="AZ187" s="3298">
        <f t="shared" si="98"/>
        <v>0</v>
      </c>
      <c r="BA187" s="3298">
        <f t="shared" si="99"/>
        <v>0</v>
      </c>
      <c r="BB187" s="3298">
        <f t="shared" si="100"/>
        <v>0</v>
      </c>
      <c r="BC187" s="3298">
        <f t="shared" si="101"/>
        <v>0</v>
      </c>
      <c r="BD187" s="3298">
        <f t="shared" si="102"/>
        <v>0</v>
      </c>
      <c r="BE187" s="3298">
        <f t="shared" si="103"/>
        <v>0</v>
      </c>
      <c r="BF187" s="3298">
        <f t="shared" si="104"/>
        <v>0</v>
      </c>
      <c r="BG187" s="3298">
        <f t="shared" si="105"/>
        <v>0</v>
      </c>
      <c r="BH187" s="3298">
        <f t="shared" si="106"/>
        <v>0</v>
      </c>
      <c r="BI187" s="3298">
        <f t="shared" si="107"/>
        <v>0</v>
      </c>
      <c r="BJ187" s="3298">
        <f t="shared" si="108"/>
        <v>0</v>
      </c>
      <c r="BK187" s="3298">
        <f t="shared" si="109"/>
        <v>0</v>
      </c>
      <c r="BL187" s="3298">
        <f t="shared" si="110"/>
        <v>0</v>
      </c>
      <c r="BM187" s="3298">
        <f t="shared" si="111"/>
        <v>0</v>
      </c>
      <c r="BN187" s="3298">
        <f t="shared" si="112"/>
        <v>0</v>
      </c>
      <c r="BO187" s="3298">
        <f t="shared" si="113"/>
        <v>0</v>
      </c>
      <c r="BP187" s="3298">
        <f t="shared" si="114"/>
        <v>0</v>
      </c>
      <c r="BQ187" s="3298">
        <f t="shared" si="115"/>
        <v>0</v>
      </c>
      <c r="BR187" s="3298">
        <f t="shared" si="116"/>
        <v>0</v>
      </c>
      <c r="BS187" s="3298">
        <f t="shared" si="117"/>
        <v>0</v>
      </c>
      <c r="BT187" s="3350">
        <f t="shared" si="118"/>
        <v>0</v>
      </c>
    </row>
    <row r="188" spans="1:72">
      <c r="A188" s="1407"/>
      <c r="B188" s="3296"/>
      <c r="C188" s="3296"/>
      <c r="D188" s="3297"/>
      <c r="E188" s="3298">
        <f t="shared" si="119"/>
        <v>0</v>
      </c>
      <c r="F188" s="3299"/>
      <c r="G188" s="3300">
        <f t="shared" si="94"/>
        <v>0</v>
      </c>
      <c r="H188" s="3301">
        <f t="shared" si="95"/>
        <v>0</v>
      </c>
      <c r="I188" s="3308"/>
      <c r="J188" s="3308"/>
      <c r="K188" s="3308"/>
      <c r="L188" s="3308"/>
      <c r="M188" s="3308"/>
      <c r="N188" s="3308"/>
      <c r="O188" s="3308"/>
      <c r="P188" s="3308"/>
      <c r="Q188" s="3308"/>
      <c r="R188" s="3308"/>
      <c r="S188" s="3308"/>
      <c r="T188" s="3308"/>
      <c r="U188" s="3308"/>
      <c r="V188" s="3308"/>
      <c r="W188" s="3308"/>
      <c r="X188" s="3308"/>
      <c r="Y188" s="3308"/>
      <c r="Z188" s="3308"/>
      <c r="AA188" s="3308"/>
      <c r="AB188" s="3308"/>
      <c r="AC188" s="3298">
        <f t="shared" si="96"/>
        <v>0</v>
      </c>
      <c r="AD188" s="3318"/>
      <c r="AE188" s="3318"/>
      <c r="AF188" s="3318"/>
      <c r="AG188" s="3318"/>
      <c r="AH188" s="3318"/>
      <c r="AI188" s="3318"/>
      <c r="AJ188" s="3318"/>
      <c r="AK188" s="3318"/>
      <c r="AL188" s="3318"/>
      <c r="AM188" s="3318"/>
      <c r="AN188" s="3318"/>
      <c r="AO188" s="3318"/>
      <c r="AP188" s="3318"/>
      <c r="AQ188" s="3318"/>
      <c r="AR188" s="3318"/>
      <c r="AS188" s="3318"/>
      <c r="AT188" s="3328"/>
      <c r="AU188" s="3329"/>
      <c r="AV188" s="963">
        <f t="shared" si="120"/>
        <v>0</v>
      </c>
      <c r="AW188" s="963">
        <f t="shared" si="121"/>
        <v>0</v>
      </c>
      <c r="AX188" s="963">
        <f t="shared" si="122"/>
        <v>0</v>
      </c>
      <c r="AY188" s="3343">
        <f t="shared" si="97"/>
        <v>0</v>
      </c>
      <c r="AZ188" s="3298">
        <f t="shared" si="98"/>
        <v>0</v>
      </c>
      <c r="BA188" s="3298">
        <f t="shared" si="99"/>
        <v>0</v>
      </c>
      <c r="BB188" s="3298">
        <f t="shared" si="100"/>
        <v>0</v>
      </c>
      <c r="BC188" s="3298">
        <f t="shared" si="101"/>
        <v>0</v>
      </c>
      <c r="BD188" s="3298">
        <f t="shared" si="102"/>
        <v>0</v>
      </c>
      <c r="BE188" s="3298">
        <f t="shared" si="103"/>
        <v>0</v>
      </c>
      <c r="BF188" s="3298">
        <f t="shared" si="104"/>
        <v>0</v>
      </c>
      <c r="BG188" s="3298">
        <f t="shared" si="105"/>
        <v>0</v>
      </c>
      <c r="BH188" s="3298">
        <f t="shared" si="106"/>
        <v>0</v>
      </c>
      <c r="BI188" s="3298">
        <f t="shared" si="107"/>
        <v>0</v>
      </c>
      <c r="BJ188" s="3298">
        <f t="shared" si="108"/>
        <v>0</v>
      </c>
      <c r="BK188" s="3298">
        <f t="shared" si="109"/>
        <v>0</v>
      </c>
      <c r="BL188" s="3298">
        <f t="shared" si="110"/>
        <v>0</v>
      </c>
      <c r="BM188" s="3298">
        <f t="shared" si="111"/>
        <v>0</v>
      </c>
      <c r="BN188" s="3298">
        <f t="shared" si="112"/>
        <v>0</v>
      </c>
      <c r="BO188" s="3298">
        <f t="shared" si="113"/>
        <v>0</v>
      </c>
      <c r="BP188" s="3298">
        <f t="shared" si="114"/>
        <v>0</v>
      </c>
      <c r="BQ188" s="3298">
        <f t="shared" si="115"/>
        <v>0</v>
      </c>
      <c r="BR188" s="3298">
        <f t="shared" si="116"/>
        <v>0</v>
      </c>
      <c r="BS188" s="3298">
        <f t="shared" si="117"/>
        <v>0</v>
      </c>
      <c r="BT188" s="3350">
        <f t="shared" si="118"/>
        <v>0</v>
      </c>
    </row>
    <row r="189" spans="1:72">
      <c r="A189" s="1407"/>
      <c r="B189" s="3296"/>
      <c r="C189" s="3296"/>
      <c r="D189" s="3297"/>
      <c r="E189" s="3298">
        <f t="shared" si="119"/>
        <v>0</v>
      </c>
      <c r="F189" s="3299"/>
      <c r="G189" s="3300">
        <f t="shared" si="94"/>
        <v>0</v>
      </c>
      <c r="H189" s="3301">
        <f t="shared" si="95"/>
        <v>0</v>
      </c>
      <c r="I189" s="3308"/>
      <c r="J189" s="3308"/>
      <c r="K189" s="3308"/>
      <c r="L189" s="3308"/>
      <c r="M189" s="3308"/>
      <c r="N189" s="3308"/>
      <c r="O189" s="3308"/>
      <c r="P189" s="3308"/>
      <c r="Q189" s="3308"/>
      <c r="R189" s="3308"/>
      <c r="S189" s="3308"/>
      <c r="T189" s="3308"/>
      <c r="U189" s="3308"/>
      <c r="V189" s="3308"/>
      <c r="W189" s="3308"/>
      <c r="X189" s="3308"/>
      <c r="Y189" s="3308"/>
      <c r="Z189" s="3308"/>
      <c r="AA189" s="3308"/>
      <c r="AB189" s="3308"/>
      <c r="AC189" s="3298">
        <f t="shared" si="96"/>
        <v>0</v>
      </c>
      <c r="AD189" s="3318"/>
      <c r="AE189" s="3318"/>
      <c r="AF189" s="3318"/>
      <c r="AG189" s="3318"/>
      <c r="AH189" s="3318"/>
      <c r="AI189" s="3318"/>
      <c r="AJ189" s="3318"/>
      <c r="AK189" s="3318"/>
      <c r="AL189" s="3318"/>
      <c r="AM189" s="3318"/>
      <c r="AN189" s="3318"/>
      <c r="AO189" s="3318"/>
      <c r="AP189" s="3318"/>
      <c r="AQ189" s="3318"/>
      <c r="AR189" s="3318"/>
      <c r="AS189" s="3318"/>
      <c r="AT189" s="3328"/>
      <c r="AU189" s="3329"/>
      <c r="AV189" s="963">
        <f t="shared" si="120"/>
        <v>0</v>
      </c>
      <c r="AW189" s="963">
        <f t="shared" si="121"/>
        <v>0</v>
      </c>
      <c r="AX189" s="963">
        <f t="shared" si="122"/>
        <v>0</v>
      </c>
      <c r="AY189" s="3343">
        <f t="shared" si="97"/>
        <v>0</v>
      </c>
      <c r="AZ189" s="3298">
        <f t="shared" si="98"/>
        <v>0</v>
      </c>
      <c r="BA189" s="3298">
        <f t="shared" si="99"/>
        <v>0</v>
      </c>
      <c r="BB189" s="3298">
        <f t="shared" si="100"/>
        <v>0</v>
      </c>
      <c r="BC189" s="3298">
        <f t="shared" si="101"/>
        <v>0</v>
      </c>
      <c r="BD189" s="3298">
        <f t="shared" si="102"/>
        <v>0</v>
      </c>
      <c r="BE189" s="3298">
        <f t="shared" si="103"/>
        <v>0</v>
      </c>
      <c r="BF189" s="3298">
        <f t="shared" si="104"/>
        <v>0</v>
      </c>
      <c r="BG189" s="3298">
        <f t="shared" si="105"/>
        <v>0</v>
      </c>
      <c r="BH189" s="3298">
        <f t="shared" si="106"/>
        <v>0</v>
      </c>
      <c r="BI189" s="3298">
        <f t="shared" si="107"/>
        <v>0</v>
      </c>
      <c r="BJ189" s="3298">
        <f t="shared" si="108"/>
        <v>0</v>
      </c>
      <c r="BK189" s="3298">
        <f t="shared" si="109"/>
        <v>0</v>
      </c>
      <c r="BL189" s="3298">
        <f t="shared" si="110"/>
        <v>0</v>
      </c>
      <c r="BM189" s="3298">
        <f t="shared" si="111"/>
        <v>0</v>
      </c>
      <c r="BN189" s="3298">
        <f t="shared" si="112"/>
        <v>0</v>
      </c>
      <c r="BO189" s="3298">
        <f t="shared" si="113"/>
        <v>0</v>
      </c>
      <c r="BP189" s="3298">
        <f t="shared" si="114"/>
        <v>0</v>
      </c>
      <c r="BQ189" s="3298">
        <f t="shared" si="115"/>
        <v>0</v>
      </c>
      <c r="BR189" s="3298">
        <f t="shared" si="116"/>
        <v>0</v>
      </c>
      <c r="BS189" s="3298">
        <f t="shared" si="117"/>
        <v>0</v>
      </c>
      <c r="BT189" s="3350">
        <f t="shared" si="118"/>
        <v>0</v>
      </c>
    </row>
    <row r="190" spans="1:72">
      <c r="A190" s="1407"/>
      <c r="B190" s="3296"/>
      <c r="C190" s="3296"/>
      <c r="D190" s="3297"/>
      <c r="E190" s="3298">
        <f t="shared" si="119"/>
        <v>0</v>
      </c>
      <c r="F190" s="3299"/>
      <c r="G190" s="3300">
        <f t="shared" si="94"/>
        <v>0</v>
      </c>
      <c r="H190" s="3301">
        <f t="shared" si="95"/>
        <v>0</v>
      </c>
      <c r="I190" s="3308"/>
      <c r="J190" s="3308"/>
      <c r="K190" s="3308"/>
      <c r="L190" s="3308"/>
      <c r="M190" s="3308"/>
      <c r="N190" s="3308"/>
      <c r="O190" s="3308"/>
      <c r="P190" s="3308"/>
      <c r="Q190" s="3308"/>
      <c r="R190" s="3308"/>
      <c r="S190" s="3308"/>
      <c r="T190" s="3308"/>
      <c r="U190" s="3308"/>
      <c r="V190" s="3308"/>
      <c r="W190" s="3308"/>
      <c r="X190" s="3308"/>
      <c r="Y190" s="3308"/>
      <c r="Z190" s="3308"/>
      <c r="AA190" s="3308"/>
      <c r="AB190" s="3308"/>
      <c r="AC190" s="3298">
        <f t="shared" si="96"/>
        <v>0</v>
      </c>
      <c r="AD190" s="3318"/>
      <c r="AE190" s="3318"/>
      <c r="AF190" s="3318"/>
      <c r="AG190" s="3318"/>
      <c r="AH190" s="3318"/>
      <c r="AI190" s="3318"/>
      <c r="AJ190" s="3318"/>
      <c r="AK190" s="3318"/>
      <c r="AL190" s="3318"/>
      <c r="AM190" s="3318"/>
      <c r="AN190" s="3318"/>
      <c r="AO190" s="3318"/>
      <c r="AP190" s="3318"/>
      <c r="AQ190" s="3318"/>
      <c r="AR190" s="3318"/>
      <c r="AS190" s="3318"/>
      <c r="AT190" s="3328"/>
      <c r="AU190" s="3329"/>
      <c r="AV190" s="963">
        <f t="shared" si="120"/>
        <v>0</v>
      </c>
      <c r="AW190" s="963">
        <f t="shared" si="121"/>
        <v>0</v>
      </c>
      <c r="AX190" s="963">
        <f t="shared" si="122"/>
        <v>0</v>
      </c>
      <c r="AY190" s="3343">
        <f t="shared" si="97"/>
        <v>0</v>
      </c>
      <c r="AZ190" s="3298">
        <f t="shared" si="98"/>
        <v>0</v>
      </c>
      <c r="BA190" s="3298">
        <f t="shared" si="99"/>
        <v>0</v>
      </c>
      <c r="BB190" s="3298">
        <f t="shared" si="100"/>
        <v>0</v>
      </c>
      <c r="BC190" s="3298">
        <f t="shared" si="101"/>
        <v>0</v>
      </c>
      <c r="BD190" s="3298">
        <f t="shared" si="102"/>
        <v>0</v>
      </c>
      <c r="BE190" s="3298">
        <f t="shared" si="103"/>
        <v>0</v>
      </c>
      <c r="BF190" s="3298">
        <f t="shared" si="104"/>
        <v>0</v>
      </c>
      <c r="BG190" s="3298">
        <f t="shared" si="105"/>
        <v>0</v>
      </c>
      <c r="BH190" s="3298">
        <f t="shared" si="106"/>
        <v>0</v>
      </c>
      <c r="BI190" s="3298">
        <f t="shared" si="107"/>
        <v>0</v>
      </c>
      <c r="BJ190" s="3298">
        <f t="shared" si="108"/>
        <v>0</v>
      </c>
      <c r="BK190" s="3298">
        <f t="shared" si="109"/>
        <v>0</v>
      </c>
      <c r="BL190" s="3298">
        <f t="shared" si="110"/>
        <v>0</v>
      </c>
      <c r="BM190" s="3298">
        <f t="shared" si="111"/>
        <v>0</v>
      </c>
      <c r="BN190" s="3298">
        <f t="shared" si="112"/>
        <v>0</v>
      </c>
      <c r="BO190" s="3298">
        <f t="shared" si="113"/>
        <v>0</v>
      </c>
      <c r="BP190" s="3298">
        <f t="shared" si="114"/>
        <v>0</v>
      </c>
      <c r="BQ190" s="3298">
        <f t="shared" si="115"/>
        <v>0</v>
      </c>
      <c r="BR190" s="3298">
        <f t="shared" si="116"/>
        <v>0</v>
      </c>
      <c r="BS190" s="3298">
        <f t="shared" si="117"/>
        <v>0</v>
      </c>
      <c r="BT190" s="3350">
        <f t="shared" si="118"/>
        <v>0</v>
      </c>
    </row>
    <row r="191" spans="1:72">
      <c r="A191" s="1407"/>
      <c r="B191" s="3296"/>
      <c r="C191" s="3296"/>
      <c r="D191" s="3297"/>
      <c r="E191" s="3298">
        <f t="shared" si="119"/>
        <v>0</v>
      </c>
      <c r="F191" s="3299"/>
      <c r="G191" s="3300">
        <f t="shared" si="94"/>
        <v>0</v>
      </c>
      <c r="H191" s="3301">
        <f t="shared" si="95"/>
        <v>0</v>
      </c>
      <c r="I191" s="3308"/>
      <c r="J191" s="3308"/>
      <c r="K191" s="3308"/>
      <c r="L191" s="3308"/>
      <c r="M191" s="3308"/>
      <c r="N191" s="3308"/>
      <c r="O191" s="3308"/>
      <c r="P191" s="3308"/>
      <c r="Q191" s="3308"/>
      <c r="R191" s="3308"/>
      <c r="S191" s="3308"/>
      <c r="T191" s="3308"/>
      <c r="U191" s="3308"/>
      <c r="V191" s="3308"/>
      <c r="W191" s="3308"/>
      <c r="X191" s="3308"/>
      <c r="Y191" s="3308"/>
      <c r="Z191" s="3308"/>
      <c r="AA191" s="3308"/>
      <c r="AB191" s="3308"/>
      <c r="AC191" s="3298">
        <f t="shared" si="96"/>
        <v>0</v>
      </c>
      <c r="AD191" s="3318"/>
      <c r="AE191" s="3318"/>
      <c r="AF191" s="3318"/>
      <c r="AG191" s="3318"/>
      <c r="AH191" s="3318"/>
      <c r="AI191" s="3318"/>
      <c r="AJ191" s="3318"/>
      <c r="AK191" s="3318"/>
      <c r="AL191" s="3318"/>
      <c r="AM191" s="3318"/>
      <c r="AN191" s="3318"/>
      <c r="AO191" s="3318"/>
      <c r="AP191" s="3318"/>
      <c r="AQ191" s="3318"/>
      <c r="AR191" s="3318"/>
      <c r="AS191" s="3318"/>
      <c r="AT191" s="3328"/>
      <c r="AU191" s="3329"/>
      <c r="AV191" s="963">
        <f t="shared" si="120"/>
        <v>0</v>
      </c>
      <c r="AW191" s="963">
        <f t="shared" si="121"/>
        <v>0</v>
      </c>
      <c r="AX191" s="963">
        <f t="shared" si="122"/>
        <v>0</v>
      </c>
      <c r="AY191" s="3343">
        <f t="shared" si="97"/>
        <v>0</v>
      </c>
      <c r="AZ191" s="3298">
        <f t="shared" si="98"/>
        <v>0</v>
      </c>
      <c r="BA191" s="3298">
        <f t="shared" si="99"/>
        <v>0</v>
      </c>
      <c r="BB191" s="3298">
        <f t="shared" si="100"/>
        <v>0</v>
      </c>
      <c r="BC191" s="3298">
        <f t="shared" si="101"/>
        <v>0</v>
      </c>
      <c r="BD191" s="3298">
        <f t="shared" si="102"/>
        <v>0</v>
      </c>
      <c r="BE191" s="3298">
        <f t="shared" si="103"/>
        <v>0</v>
      </c>
      <c r="BF191" s="3298">
        <f t="shared" si="104"/>
        <v>0</v>
      </c>
      <c r="BG191" s="3298">
        <f t="shared" si="105"/>
        <v>0</v>
      </c>
      <c r="BH191" s="3298">
        <f t="shared" si="106"/>
        <v>0</v>
      </c>
      <c r="BI191" s="3298">
        <f t="shared" si="107"/>
        <v>0</v>
      </c>
      <c r="BJ191" s="3298">
        <f t="shared" si="108"/>
        <v>0</v>
      </c>
      <c r="BK191" s="3298">
        <f t="shared" si="109"/>
        <v>0</v>
      </c>
      <c r="BL191" s="3298">
        <f t="shared" si="110"/>
        <v>0</v>
      </c>
      <c r="BM191" s="3298">
        <f t="shared" si="111"/>
        <v>0</v>
      </c>
      <c r="BN191" s="3298">
        <f t="shared" si="112"/>
        <v>0</v>
      </c>
      <c r="BO191" s="3298">
        <f t="shared" si="113"/>
        <v>0</v>
      </c>
      <c r="BP191" s="3298">
        <f t="shared" si="114"/>
        <v>0</v>
      </c>
      <c r="BQ191" s="3298">
        <f t="shared" si="115"/>
        <v>0</v>
      </c>
      <c r="BR191" s="3298">
        <f t="shared" si="116"/>
        <v>0</v>
      </c>
      <c r="BS191" s="3298">
        <f t="shared" si="117"/>
        <v>0</v>
      </c>
      <c r="BT191" s="3350">
        <f t="shared" si="118"/>
        <v>0</v>
      </c>
    </row>
    <row r="192" spans="1:72">
      <c r="A192" s="1407"/>
      <c r="B192" s="3296"/>
      <c r="C192" s="3296"/>
      <c r="D192" s="3297"/>
      <c r="E192" s="3298">
        <f t="shared" si="119"/>
        <v>0</v>
      </c>
      <c r="F192" s="3299"/>
      <c r="G192" s="3300">
        <f t="shared" si="94"/>
        <v>0</v>
      </c>
      <c r="H192" s="3301">
        <f t="shared" si="95"/>
        <v>0</v>
      </c>
      <c r="I192" s="3308"/>
      <c r="J192" s="3308"/>
      <c r="K192" s="3308"/>
      <c r="L192" s="3308"/>
      <c r="M192" s="3308"/>
      <c r="N192" s="3308"/>
      <c r="O192" s="3308"/>
      <c r="P192" s="3308"/>
      <c r="Q192" s="3308"/>
      <c r="R192" s="3308"/>
      <c r="S192" s="3308"/>
      <c r="T192" s="3308"/>
      <c r="U192" s="3308"/>
      <c r="V192" s="3308"/>
      <c r="W192" s="3308"/>
      <c r="X192" s="3308"/>
      <c r="Y192" s="3308"/>
      <c r="Z192" s="3308"/>
      <c r="AA192" s="3308"/>
      <c r="AB192" s="3308"/>
      <c r="AC192" s="3298">
        <f t="shared" si="96"/>
        <v>0</v>
      </c>
      <c r="AD192" s="3318"/>
      <c r="AE192" s="3318"/>
      <c r="AF192" s="3318"/>
      <c r="AG192" s="3318"/>
      <c r="AH192" s="3318"/>
      <c r="AI192" s="3318"/>
      <c r="AJ192" s="3318"/>
      <c r="AK192" s="3318"/>
      <c r="AL192" s="3318"/>
      <c r="AM192" s="3318"/>
      <c r="AN192" s="3318"/>
      <c r="AO192" s="3318"/>
      <c r="AP192" s="3318"/>
      <c r="AQ192" s="3318"/>
      <c r="AR192" s="3318"/>
      <c r="AS192" s="3318"/>
      <c r="AT192" s="3328"/>
      <c r="AU192" s="3329"/>
      <c r="AV192" s="963">
        <f t="shared" si="120"/>
        <v>0</v>
      </c>
      <c r="AW192" s="963">
        <f t="shared" si="121"/>
        <v>0</v>
      </c>
      <c r="AX192" s="963">
        <f t="shared" si="122"/>
        <v>0</v>
      </c>
      <c r="AY192" s="3343">
        <f t="shared" si="97"/>
        <v>0</v>
      </c>
      <c r="AZ192" s="3298">
        <f t="shared" si="98"/>
        <v>0</v>
      </c>
      <c r="BA192" s="3298">
        <f t="shared" si="99"/>
        <v>0</v>
      </c>
      <c r="BB192" s="3298">
        <f t="shared" si="100"/>
        <v>0</v>
      </c>
      <c r="BC192" s="3298">
        <f t="shared" si="101"/>
        <v>0</v>
      </c>
      <c r="BD192" s="3298">
        <f t="shared" si="102"/>
        <v>0</v>
      </c>
      <c r="BE192" s="3298">
        <f t="shared" si="103"/>
        <v>0</v>
      </c>
      <c r="BF192" s="3298">
        <f t="shared" si="104"/>
        <v>0</v>
      </c>
      <c r="BG192" s="3298">
        <f t="shared" si="105"/>
        <v>0</v>
      </c>
      <c r="BH192" s="3298">
        <f t="shared" si="106"/>
        <v>0</v>
      </c>
      <c r="BI192" s="3298">
        <f t="shared" si="107"/>
        <v>0</v>
      </c>
      <c r="BJ192" s="3298">
        <f t="shared" si="108"/>
        <v>0</v>
      </c>
      <c r="BK192" s="3298">
        <f t="shared" si="109"/>
        <v>0</v>
      </c>
      <c r="BL192" s="3298">
        <f t="shared" si="110"/>
        <v>0</v>
      </c>
      <c r="BM192" s="3298">
        <f t="shared" si="111"/>
        <v>0</v>
      </c>
      <c r="BN192" s="3298">
        <f t="shared" si="112"/>
        <v>0</v>
      </c>
      <c r="BO192" s="3298">
        <f t="shared" si="113"/>
        <v>0</v>
      </c>
      <c r="BP192" s="3298">
        <f t="shared" si="114"/>
        <v>0</v>
      </c>
      <c r="BQ192" s="3298">
        <f t="shared" si="115"/>
        <v>0</v>
      </c>
      <c r="BR192" s="3298">
        <f t="shared" si="116"/>
        <v>0</v>
      </c>
      <c r="BS192" s="3298">
        <f t="shared" si="117"/>
        <v>0</v>
      </c>
      <c r="BT192" s="3350">
        <f t="shared" si="118"/>
        <v>0</v>
      </c>
    </row>
    <row r="193" spans="1:72">
      <c r="A193" s="1407"/>
      <c r="B193" s="3296"/>
      <c r="C193" s="3296"/>
      <c r="D193" s="3297"/>
      <c r="E193" s="3298">
        <f t="shared" si="119"/>
        <v>0</v>
      </c>
      <c r="F193" s="3299"/>
      <c r="G193" s="3300">
        <f t="shared" si="94"/>
        <v>0</v>
      </c>
      <c r="H193" s="3301">
        <f t="shared" si="95"/>
        <v>0</v>
      </c>
      <c r="I193" s="3308"/>
      <c r="J193" s="3308"/>
      <c r="K193" s="3308"/>
      <c r="L193" s="3308"/>
      <c r="M193" s="3308"/>
      <c r="N193" s="3308"/>
      <c r="O193" s="3308"/>
      <c r="P193" s="3308"/>
      <c r="Q193" s="3308"/>
      <c r="R193" s="3308"/>
      <c r="S193" s="3308"/>
      <c r="T193" s="3308"/>
      <c r="U193" s="3308"/>
      <c r="V193" s="3308"/>
      <c r="W193" s="3308"/>
      <c r="X193" s="3308"/>
      <c r="Y193" s="3308"/>
      <c r="Z193" s="3308"/>
      <c r="AA193" s="3308"/>
      <c r="AB193" s="3308"/>
      <c r="AC193" s="3298">
        <f t="shared" si="96"/>
        <v>0</v>
      </c>
      <c r="AD193" s="3318"/>
      <c r="AE193" s="3318"/>
      <c r="AF193" s="3318"/>
      <c r="AG193" s="3318"/>
      <c r="AH193" s="3318"/>
      <c r="AI193" s="3318"/>
      <c r="AJ193" s="3318"/>
      <c r="AK193" s="3318"/>
      <c r="AL193" s="3318"/>
      <c r="AM193" s="3318"/>
      <c r="AN193" s="3318"/>
      <c r="AO193" s="3318"/>
      <c r="AP193" s="3318"/>
      <c r="AQ193" s="3318"/>
      <c r="AR193" s="3318"/>
      <c r="AS193" s="3318"/>
      <c r="AT193" s="3328"/>
      <c r="AU193" s="3329"/>
      <c r="AV193" s="963">
        <f t="shared" si="120"/>
        <v>0</v>
      </c>
      <c r="AW193" s="963">
        <f t="shared" si="121"/>
        <v>0</v>
      </c>
      <c r="AX193" s="963">
        <f t="shared" si="122"/>
        <v>0</v>
      </c>
      <c r="AY193" s="3343">
        <f t="shared" si="97"/>
        <v>0</v>
      </c>
      <c r="AZ193" s="3298">
        <f t="shared" si="98"/>
        <v>0</v>
      </c>
      <c r="BA193" s="3298">
        <f t="shared" si="99"/>
        <v>0</v>
      </c>
      <c r="BB193" s="3298">
        <f t="shared" si="100"/>
        <v>0</v>
      </c>
      <c r="BC193" s="3298">
        <f t="shared" si="101"/>
        <v>0</v>
      </c>
      <c r="BD193" s="3298">
        <f t="shared" si="102"/>
        <v>0</v>
      </c>
      <c r="BE193" s="3298">
        <f t="shared" si="103"/>
        <v>0</v>
      </c>
      <c r="BF193" s="3298">
        <f t="shared" si="104"/>
        <v>0</v>
      </c>
      <c r="BG193" s="3298">
        <f t="shared" si="105"/>
        <v>0</v>
      </c>
      <c r="BH193" s="3298">
        <f t="shared" si="106"/>
        <v>0</v>
      </c>
      <c r="BI193" s="3298">
        <f t="shared" si="107"/>
        <v>0</v>
      </c>
      <c r="BJ193" s="3298">
        <f t="shared" si="108"/>
        <v>0</v>
      </c>
      <c r="BK193" s="3298">
        <f t="shared" si="109"/>
        <v>0</v>
      </c>
      <c r="BL193" s="3298">
        <f t="shared" si="110"/>
        <v>0</v>
      </c>
      <c r="BM193" s="3298">
        <f t="shared" si="111"/>
        <v>0</v>
      </c>
      <c r="BN193" s="3298">
        <f t="shared" si="112"/>
        <v>0</v>
      </c>
      <c r="BO193" s="3298">
        <f t="shared" si="113"/>
        <v>0</v>
      </c>
      <c r="BP193" s="3298">
        <f t="shared" si="114"/>
        <v>0</v>
      </c>
      <c r="BQ193" s="3298">
        <f t="shared" si="115"/>
        <v>0</v>
      </c>
      <c r="BR193" s="3298">
        <f t="shared" si="116"/>
        <v>0</v>
      </c>
      <c r="BS193" s="3298">
        <f t="shared" si="117"/>
        <v>0</v>
      </c>
      <c r="BT193" s="3350">
        <f t="shared" si="118"/>
        <v>0</v>
      </c>
    </row>
    <row r="194" spans="1:72">
      <c r="A194" s="1407"/>
      <c r="B194" s="3296"/>
      <c r="C194" s="3296"/>
      <c r="D194" s="3297"/>
      <c r="E194" s="3298">
        <f t="shared" si="119"/>
        <v>0</v>
      </c>
      <c r="F194" s="3299"/>
      <c r="G194" s="3300">
        <f t="shared" si="94"/>
        <v>0</v>
      </c>
      <c r="H194" s="3301">
        <f t="shared" si="95"/>
        <v>0</v>
      </c>
      <c r="I194" s="3308"/>
      <c r="J194" s="3308"/>
      <c r="K194" s="3308"/>
      <c r="L194" s="3308"/>
      <c r="M194" s="3308"/>
      <c r="N194" s="3308"/>
      <c r="O194" s="3308"/>
      <c r="P194" s="3308"/>
      <c r="Q194" s="3308"/>
      <c r="R194" s="3308"/>
      <c r="S194" s="3308"/>
      <c r="T194" s="3308"/>
      <c r="U194" s="3308"/>
      <c r="V194" s="3308"/>
      <c r="W194" s="3308"/>
      <c r="X194" s="3308"/>
      <c r="Y194" s="3308"/>
      <c r="Z194" s="3308"/>
      <c r="AA194" s="3308"/>
      <c r="AB194" s="3308"/>
      <c r="AC194" s="3298">
        <f t="shared" si="96"/>
        <v>0</v>
      </c>
      <c r="AD194" s="3318"/>
      <c r="AE194" s="3318"/>
      <c r="AF194" s="3318"/>
      <c r="AG194" s="3318"/>
      <c r="AH194" s="3318"/>
      <c r="AI194" s="3318"/>
      <c r="AJ194" s="3318"/>
      <c r="AK194" s="3318"/>
      <c r="AL194" s="3318"/>
      <c r="AM194" s="3318"/>
      <c r="AN194" s="3318"/>
      <c r="AO194" s="3318"/>
      <c r="AP194" s="3318"/>
      <c r="AQ194" s="3318"/>
      <c r="AR194" s="3318"/>
      <c r="AS194" s="3318"/>
      <c r="AT194" s="3328"/>
      <c r="AU194" s="3329"/>
      <c r="AV194" s="963">
        <f t="shared" si="120"/>
        <v>0</v>
      </c>
      <c r="AW194" s="963">
        <f t="shared" si="121"/>
        <v>0</v>
      </c>
      <c r="AX194" s="963">
        <f t="shared" si="122"/>
        <v>0</v>
      </c>
      <c r="AY194" s="3343">
        <f t="shared" si="97"/>
        <v>0</v>
      </c>
      <c r="AZ194" s="3298">
        <f t="shared" si="98"/>
        <v>0</v>
      </c>
      <c r="BA194" s="3298">
        <f t="shared" si="99"/>
        <v>0</v>
      </c>
      <c r="BB194" s="3298">
        <f t="shared" si="100"/>
        <v>0</v>
      </c>
      <c r="BC194" s="3298">
        <f t="shared" si="101"/>
        <v>0</v>
      </c>
      <c r="BD194" s="3298">
        <f t="shared" si="102"/>
        <v>0</v>
      </c>
      <c r="BE194" s="3298">
        <f t="shared" si="103"/>
        <v>0</v>
      </c>
      <c r="BF194" s="3298">
        <f t="shared" si="104"/>
        <v>0</v>
      </c>
      <c r="BG194" s="3298">
        <f t="shared" si="105"/>
        <v>0</v>
      </c>
      <c r="BH194" s="3298">
        <f t="shared" si="106"/>
        <v>0</v>
      </c>
      <c r="BI194" s="3298">
        <f t="shared" si="107"/>
        <v>0</v>
      </c>
      <c r="BJ194" s="3298">
        <f t="shared" si="108"/>
        <v>0</v>
      </c>
      <c r="BK194" s="3298">
        <f t="shared" si="109"/>
        <v>0</v>
      </c>
      <c r="BL194" s="3298">
        <f t="shared" si="110"/>
        <v>0</v>
      </c>
      <c r="BM194" s="3298">
        <f t="shared" si="111"/>
        <v>0</v>
      </c>
      <c r="BN194" s="3298">
        <f t="shared" si="112"/>
        <v>0</v>
      </c>
      <c r="BO194" s="3298">
        <f t="shared" si="113"/>
        <v>0</v>
      </c>
      <c r="BP194" s="3298">
        <f t="shared" si="114"/>
        <v>0</v>
      </c>
      <c r="BQ194" s="3298">
        <f t="shared" si="115"/>
        <v>0</v>
      </c>
      <c r="BR194" s="3298">
        <f t="shared" si="116"/>
        <v>0</v>
      </c>
      <c r="BS194" s="3298">
        <f t="shared" si="117"/>
        <v>0</v>
      </c>
      <c r="BT194" s="3350">
        <f t="shared" si="118"/>
        <v>0</v>
      </c>
    </row>
    <row r="195" spans="1:72">
      <c r="A195" s="1407"/>
      <c r="B195" s="3296"/>
      <c r="C195" s="3296"/>
      <c r="D195" s="3297"/>
      <c r="E195" s="3298">
        <f t="shared" si="119"/>
        <v>0</v>
      </c>
      <c r="F195" s="3299"/>
      <c r="G195" s="3300">
        <f t="shared" si="94"/>
        <v>0</v>
      </c>
      <c r="H195" s="3301">
        <f t="shared" si="95"/>
        <v>0</v>
      </c>
      <c r="I195" s="3308"/>
      <c r="J195" s="3308"/>
      <c r="K195" s="3308"/>
      <c r="L195" s="3308"/>
      <c r="M195" s="3308"/>
      <c r="N195" s="3308"/>
      <c r="O195" s="3308"/>
      <c r="P195" s="3308"/>
      <c r="Q195" s="3308"/>
      <c r="R195" s="3308"/>
      <c r="S195" s="3308"/>
      <c r="T195" s="3308"/>
      <c r="U195" s="3308"/>
      <c r="V195" s="3308"/>
      <c r="W195" s="3308"/>
      <c r="X195" s="3308"/>
      <c r="Y195" s="3308"/>
      <c r="Z195" s="3308"/>
      <c r="AA195" s="3308"/>
      <c r="AB195" s="3308"/>
      <c r="AC195" s="3298">
        <f t="shared" si="96"/>
        <v>0</v>
      </c>
      <c r="AD195" s="3318"/>
      <c r="AE195" s="3318"/>
      <c r="AF195" s="3318"/>
      <c r="AG195" s="3318"/>
      <c r="AH195" s="3318"/>
      <c r="AI195" s="3318"/>
      <c r="AJ195" s="3318"/>
      <c r="AK195" s="3318"/>
      <c r="AL195" s="3318"/>
      <c r="AM195" s="3318"/>
      <c r="AN195" s="3318"/>
      <c r="AO195" s="3318"/>
      <c r="AP195" s="3318"/>
      <c r="AQ195" s="3318"/>
      <c r="AR195" s="3318"/>
      <c r="AS195" s="3318"/>
      <c r="AT195" s="3328"/>
      <c r="AU195" s="3329"/>
      <c r="AV195" s="963">
        <f t="shared" si="120"/>
        <v>0</v>
      </c>
      <c r="AW195" s="963">
        <f t="shared" si="121"/>
        <v>0</v>
      </c>
      <c r="AX195" s="963">
        <f t="shared" si="122"/>
        <v>0</v>
      </c>
      <c r="AY195" s="3343">
        <f t="shared" si="97"/>
        <v>0</v>
      </c>
      <c r="AZ195" s="3298">
        <f t="shared" si="98"/>
        <v>0</v>
      </c>
      <c r="BA195" s="3298">
        <f t="shared" si="99"/>
        <v>0</v>
      </c>
      <c r="BB195" s="3298">
        <f t="shared" si="100"/>
        <v>0</v>
      </c>
      <c r="BC195" s="3298">
        <f t="shared" si="101"/>
        <v>0</v>
      </c>
      <c r="BD195" s="3298">
        <f t="shared" si="102"/>
        <v>0</v>
      </c>
      <c r="BE195" s="3298">
        <f t="shared" si="103"/>
        <v>0</v>
      </c>
      <c r="BF195" s="3298">
        <f t="shared" si="104"/>
        <v>0</v>
      </c>
      <c r="BG195" s="3298">
        <f t="shared" si="105"/>
        <v>0</v>
      </c>
      <c r="BH195" s="3298">
        <f t="shared" si="106"/>
        <v>0</v>
      </c>
      <c r="BI195" s="3298">
        <f t="shared" si="107"/>
        <v>0</v>
      </c>
      <c r="BJ195" s="3298">
        <f t="shared" si="108"/>
        <v>0</v>
      </c>
      <c r="BK195" s="3298">
        <f t="shared" si="109"/>
        <v>0</v>
      </c>
      <c r="BL195" s="3298">
        <f t="shared" si="110"/>
        <v>0</v>
      </c>
      <c r="BM195" s="3298">
        <f t="shared" si="111"/>
        <v>0</v>
      </c>
      <c r="BN195" s="3298">
        <f t="shared" si="112"/>
        <v>0</v>
      </c>
      <c r="BO195" s="3298">
        <f t="shared" si="113"/>
        <v>0</v>
      </c>
      <c r="BP195" s="3298">
        <f t="shared" si="114"/>
        <v>0</v>
      </c>
      <c r="BQ195" s="3298">
        <f t="shared" si="115"/>
        <v>0</v>
      </c>
      <c r="BR195" s="3298">
        <f t="shared" si="116"/>
        <v>0</v>
      </c>
      <c r="BS195" s="3298">
        <f t="shared" si="117"/>
        <v>0</v>
      </c>
      <c r="BT195" s="3350">
        <f t="shared" si="118"/>
        <v>0</v>
      </c>
    </row>
    <row r="196" spans="1:72">
      <c r="A196" s="1407"/>
      <c r="B196" s="3296"/>
      <c r="C196" s="3296"/>
      <c r="D196" s="3297"/>
      <c r="E196" s="3298">
        <f t="shared" si="119"/>
        <v>0</v>
      </c>
      <c r="F196" s="3299"/>
      <c r="G196" s="3300">
        <f t="shared" si="94"/>
        <v>0</v>
      </c>
      <c r="H196" s="3301">
        <f t="shared" si="95"/>
        <v>0</v>
      </c>
      <c r="I196" s="3308"/>
      <c r="J196" s="3308"/>
      <c r="K196" s="3308"/>
      <c r="L196" s="3308"/>
      <c r="M196" s="3308"/>
      <c r="N196" s="3308"/>
      <c r="O196" s="3308"/>
      <c r="P196" s="3308"/>
      <c r="Q196" s="3308"/>
      <c r="R196" s="3308"/>
      <c r="S196" s="3308"/>
      <c r="T196" s="3308"/>
      <c r="U196" s="3308"/>
      <c r="V196" s="3308"/>
      <c r="W196" s="3308"/>
      <c r="X196" s="3308"/>
      <c r="Y196" s="3308"/>
      <c r="Z196" s="3308"/>
      <c r="AA196" s="3308"/>
      <c r="AB196" s="3308"/>
      <c r="AC196" s="3298">
        <f t="shared" si="96"/>
        <v>0</v>
      </c>
      <c r="AD196" s="3318"/>
      <c r="AE196" s="3318"/>
      <c r="AF196" s="3318"/>
      <c r="AG196" s="3318"/>
      <c r="AH196" s="3318"/>
      <c r="AI196" s="3318"/>
      <c r="AJ196" s="3318"/>
      <c r="AK196" s="3318"/>
      <c r="AL196" s="3318"/>
      <c r="AM196" s="3318"/>
      <c r="AN196" s="3318"/>
      <c r="AO196" s="3318"/>
      <c r="AP196" s="3318"/>
      <c r="AQ196" s="3318"/>
      <c r="AR196" s="3318"/>
      <c r="AS196" s="3318"/>
      <c r="AT196" s="3328"/>
      <c r="AU196" s="3329"/>
      <c r="AV196" s="963">
        <f t="shared" si="120"/>
        <v>0</v>
      </c>
      <c r="AW196" s="963">
        <f t="shared" si="121"/>
        <v>0</v>
      </c>
      <c r="AX196" s="963">
        <f t="shared" si="122"/>
        <v>0</v>
      </c>
      <c r="AY196" s="3343">
        <f t="shared" si="97"/>
        <v>0</v>
      </c>
      <c r="AZ196" s="3298">
        <f t="shared" si="98"/>
        <v>0</v>
      </c>
      <c r="BA196" s="3298">
        <f t="shared" si="99"/>
        <v>0</v>
      </c>
      <c r="BB196" s="3298">
        <f t="shared" si="100"/>
        <v>0</v>
      </c>
      <c r="BC196" s="3298">
        <f t="shared" si="101"/>
        <v>0</v>
      </c>
      <c r="BD196" s="3298">
        <f t="shared" si="102"/>
        <v>0</v>
      </c>
      <c r="BE196" s="3298">
        <f t="shared" si="103"/>
        <v>0</v>
      </c>
      <c r="BF196" s="3298">
        <f t="shared" si="104"/>
        <v>0</v>
      </c>
      <c r="BG196" s="3298">
        <f t="shared" si="105"/>
        <v>0</v>
      </c>
      <c r="BH196" s="3298">
        <f t="shared" si="106"/>
        <v>0</v>
      </c>
      <c r="BI196" s="3298">
        <f t="shared" si="107"/>
        <v>0</v>
      </c>
      <c r="BJ196" s="3298">
        <f t="shared" si="108"/>
        <v>0</v>
      </c>
      <c r="BK196" s="3298">
        <f t="shared" si="109"/>
        <v>0</v>
      </c>
      <c r="BL196" s="3298">
        <f t="shared" si="110"/>
        <v>0</v>
      </c>
      <c r="BM196" s="3298">
        <f t="shared" si="111"/>
        <v>0</v>
      </c>
      <c r="BN196" s="3298">
        <f t="shared" si="112"/>
        <v>0</v>
      </c>
      <c r="BO196" s="3298">
        <f t="shared" si="113"/>
        <v>0</v>
      </c>
      <c r="BP196" s="3298">
        <f t="shared" si="114"/>
        <v>0</v>
      </c>
      <c r="BQ196" s="3298">
        <f t="shared" si="115"/>
        <v>0</v>
      </c>
      <c r="BR196" s="3298">
        <f t="shared" si="116"/>
        <v>0</v>
      </c>
      <c r="BS196" s="3298">
        <f t="shared" si="117"/>
        <v>0</v>
      </c>
      <c r="BT196" s="3350">
        <f t="shared" si="118"/>
        <v>0</v>
      </c>
    </row>
    <row r="197" spans="1:72">
      <c r="A197" s="1407"/>
      <c r="B197" s="3296"/>
      <c r="C197" s="3296"/>
      <c r="D197" s="3297"/>
      <c r="E197" s="3298">
        <f t="shared" si="119"/>
        <v>0</v>
      </c>
      <c r="F197" s="3299"/>
      <c r="G197" s="3300">
        <f t="shared" si="94"/>
        <v>0</v>
      </c>
      <c r="H197" s="3301">
        <f t="shared" si="95"/>
        <v>0</v>
      </c>
      <c r="I197" s="3308"/>
      <c r="J197" s="3308"/>
      <c r="K197" s="3308"/>
      <c r="L197" s="3308"/>
      <c r="M197" s="3308"/>
      <c r="N197" s="3308"/>
      <c r="O197" s="3308"/>
      <c r="P197" s="3308"/>
      <c r="Q197" s="3308"/>
      <c r="R197" s="3308"/>
      <c r="S197" s="3308"/>
      <c r="T197" s="3308"/>
      <c r="U197" s="3308"/>
      <c r="V197" s="3308"/>
      <c r="W197" s="3308"/>
      <c r="X197" s="3308"/>
      <c r="Y197" s="3308"/>
      <c r="Z197" s="3308"/>
      <c r="AA197" s="3308"/>
      <c r="AB197" s="3308"/>
      <c r="AC197" s="3298">
        <f t="shared" si="96"/>
        <v>0</v>
      </c>
      <c r="AD197" s="3318"/>
      <c r="AE197" s="3318"/>
      <c r="AF197" s="3318"/>
      <c r="AG197" s="3318"/>
      <c r="AH197" s="3318"/>
      <c r="AI197" s="3318"/>
      <c r="AJ197" s="3318"/>
      <c r="AK197" s="3318"/>
      <c r="AL197" s="3318"/>
      <c r="AM197" s="3318"/>
      <c r="AN197" s="3318"/>
      <c r="AO197" s="3318"/>
      <c r="AP197" s="3318"/>
      <c r="AQ197" s="3318"/>
      <c r="AR197" s="3318"/>
      <c r="AS197" s="3318"/>
      <c r="AT197" s="3328"/>
      <c r="AU197" s="3329"/>
      <c r="AV197" s="963">
        <f t="shared" si="120"/>
        <v>0</v>
      </c>
      <c r="AW197" s="963">
        <f t="shared" si="121"/>
        <v>0</v>
      </c>
      <c r="AX197" s="963">
        <f t="shared" si="122"/>
        <v>0</v>
      </c>
      <c r="AY197" s="3343">
        <f t="shared" si="97"/>
        <v>0</v>
      </c>
      <c r="AZ197" s="3298">
        <f t="shared" si="98"/>
        <v>0</v>
      </c>
      <c r="BA197" s="3298">
        <f t="shared" si="99"/>
        <v>0</v>
      </c>
      <c r="BB197" s="3298">
        <f t="shared" si="100"/>
        <v>0</v>
      </c>
      <c r="BC197" s="3298">
        <f t="shared" si="101"/>
        <v>0</v>
      </c>
      <c r="BD197" s="3298">
        <f t="shared" si="102"/>
        <v>0</v>
      </c>
      <c r="BE197" s="3298">
        <f t="shared" si="103"/>
        <v>0</v>
      </c>
      <c r="BF197" s="3298">
        <f t="shared" si="104"/>
        <v>0</v>
      </c>
      <c r="BG197" s="3298">
        <f t="shared" si="105"/>
        <v>0</v>
      </c>
      <c r="BH197" s="3298">
        <f t="shared" si="106"/>
        <v>0</v>
      </c>
      <c r="BI197" s="3298">
        <f t="shared" si="107"/>
        <v>0</v>
      </c>
      <c r="BJ197" s="3298">
        <f t="shared" si="108"/>
        <v>0</v>
      </c>
      <c r="BK197" s="3298">
        <f t="shared" si="109"/>
        <v>0</v>
      </c>
      <c r="BL197" s="3298">
        <f t="shared" si="110"/>
        <v>0</v>
      </c>
      <c r="BM197" s="3298">
        <f t="shared" si="111"/>
        <v>0</v>
      </c>
      <c r="BN197" s="3298">
        <f t="shared" si="112"/>
        <v>0</v>
      </c>
      <c r="BO197" s="3298">
        <f t="shared" si="113"/>
        <v>0</v>
      </c>
      <c r="BP197" s="3298">
        <f t="shared" si="114"/>
        <v>0</v>
      </c>
      <c r="BQ197" s="3298">
        <f t="shared" si="115"/>
        <v>0</v>
      </c>
      <c r="BR197" s="3298">
        <f t="shared" si="116"/>
        <v>0</v>
      </c>
      <c r="BS197" s="3298">
        <f t="shared" si="117"/>
        <v>0</v>
      </c>
      <c r="BT197" s="3350">
        <f t="shared" si="118"/>
        <v>0</v>
      </c>
    </row>
    <row r="198" spans="1:72">
      <c r="A198" s="1407"/>
      <c r="B198" s="3296"/>
      <c r="C198" s="3296"/>
      <c r="D198" s="3297"/>
      <c r="E198" s="3298">
        <f t="shared" si="119"/>
        <v>0</v>
      </c>
      <c r="F198" s="3299"/>
      <c r="G198" s="3300">
        <f t="shared" si="94"/>
        <v>0</v>
      </c>
      <c r="H198" s="3301">
        <f t="shared" si="95"/>
        <v>0</v>
      </c>
      <c r="I198" s="3308"/>
      <c r="J198" s="3308"/>
      <c r="K198" s="3308"/>
      <c r="L198" s="3308"/>
      <c r="M198" s="3308"/>
      <c r="N198" s="3308"/>
      <c r="O198" s="3308"/>
      <c r="P198" s="3308"/>
      <c r="Q198" s="3308"/>
      <c r="R198" s="3308"/>
      <c r="S198" s="3308"/>
      <c r="T198" s="3308"/>
      <c r="U198" s="3308"/>
      <c r="V198" s="3308"/>
      <c r="W198" s="3308"/>
      <c r="X198" s="3308"/>
      <c r="Y198" s="3308"/>
      <c r="Z198" s="3308"/>
      <c r="AA198" s="3308"/>
      <c r="AB198" s="3308"/>
      <c r="AC198" s="3298">
        <f t="shared" si="96"/>
        <v>0</v>
      </c>
      <c r="AD198" s="3318"/>
      <c r="AE198" s="3318"/>
      <c r="AF198" s="3318"/>
      <c r="AG198" s="3318"/>
      <c r="AH198" s="3318"/>
      <c r="AI198" s="3318"/>
      <c r="AJ198" s="3318"/>
      <c r="AK198" s="3318"/>
      <c r="AL198" s="3318"/>
      <c r="AM198" s="3318"/>
      <c r="AN198" s="3318"/>
      <c r="AO198" s="3318"/>
      <c r="AP198" s="3318"/>
      <c r="AQ198" s="3318"/>
      <c r="AR198" s="3318"/>
      <c r="AS198" s="3318"/>
      <c r="AT198" s="3328"/>
      <c r="AU198" s="3329"/>
      <c r="AV198" s="963">
        <f t="shared" si="120"/>
        <v>0</v>
      </c>
      <c r="AW198" s="963">
        <f t="shared" si="121"/>
        <v>0</v>
      </c>
      <c r="AX198" s="963">
        <f t="shared" si="122"/>
        <v>0</v>
      </c>
      <c r="AY198" s="3343">
        <f t="shared" si="97"/>
        <v>0</v>
      </c>
      <c r="AZ198" s="3298">
        <f t="shared" si="98"/>
        <v>0</v>
      </c>
      <c r="BA198" s="3298">
        <f t="shared" si="99"/>
        <v>0</v>
      </c>
      <c r="BB198" s="3298">
        <f t="shared" si="100"/>
        <v>0</v>
      </c>
      <c r="BC198" s="3298">
        <f t="shared" si="101"/>
        <v>0</v>
      </c>
      <c r="BD198" s="3298">
        <f t="shared" si="102"/>
        <v>0</v>
      </c>
      <c r="BE198" s="3298">
        <f t="shared" si="103"/>
        <v>0</v>
      </c>
      <c r="BF198" s="3298">
        <f t="shared" si="104"/>
        <v>0</v>
      </c>
      <c r="BG198" s="3298">
        <f t="shared" si="105"/>
        <v>0</v>
      </c>
      <c r="BH198" s="3298">
        <f t="shared" si="106"/>
        <v>0</v>
      </c>
      <c r="BI198" s="3298">
        <f t="shared" si="107"/>
        <v>0</v>
      </c>
      <c r="BJ198" s="3298">
        <f t="shared" si="108"/>
        <v>0</v>
      </c>
      <c r="BK198" s="3298">
        <f t="shared" si="109"/>
        <v>0</v>
      </c>
      <c r="BL198" s="3298">
        <f t="shared" si="110"/>
        <v>0</v>
      </c>
      <c r="BM198" s="3298">
        <f t="shared" si="111"/>
        <v>0</v>
      </c>
      <c r="BN198" s="3298">
        <f t="shared" si="112"/>
        <v>0</v>
      </c>
      <c r="BO198" s="3298">
        <f t="shared" si="113"/>
        <v>0</v>
      </c>
      <c r="BP198" s="3298">
        <f t="shared" si="114"/>
        <v>0</v>
      </c>
      <c r="BQ198" s="3298">
        <f t="shared" si="115"/>
        <v>0</v>
      </c>
      <c r="BR198" s="3298">
        <f t="shared" si="116"/>
        <v>0</v>
      </c>
      <c r="BS198" s="3298">
        <f t="shared" si="117"/>
        <v>0</v>
      </c>
      <c r="BT198" s="3350">
        <f t="shared" si="118"/>
        <v>0</v>
      </c>
    </row>
    <row r="199" spans="1:72">
      <c r="A199" s="1407"/>
      <c r="B199" s="3296"/>
      <c r="C199" s="3296"/>
      <c r="D199" s="3297"/>
      <c r="E199" s="3298">
        <f t="shared" si="119"/>
        <v>0</v>
      </c>
      <c r="F199" s="3299"/>
      <c r="G199" s="3300">
        <f t="shared" si="94"/>
        <v>0</v>
      </c>
      <c r="H199" s="3301">
        <f t="shared" si="95"/>
        <v>0</v>
      </c>
      <c r="I199" s="3308"/>
      <c r="J199" s="3308"/>
      <c r="K199" s="3308"/>
      <c r="L199" s="3308"/>
      <c r="M199" s="3308"/>
      <c r="N199" s="3308"/>
      <c r="O199" s="3308"/>
      <c r="P199" s="3308"/>
      <c r="Q199" s="3308"/>
      <c r="R199" s="3308"/>
      <c r="S199" s="3308"/>
      <c r="T199" s="3308"/>
      <c r="U199" s="3308"/>
      <c r="V199" s="3308"/>
      <c r="W199" s="3308"/>
      <c r="X199" s="3308"/>
      <c r="Y199" s="3308"/>
      <c r="Z199" s="3308"/>
      <c r="AA199" s="3308"/>
      <c r="AB199" s="3308"/>
      <c r="AC199" s="3298">
        <f t="shared" si="96"/>
        <v>0</v>
      </c>
      <c r="AD199" s="3318"/>
      <c r="AE199" s="3318"/>
      <c r="AF199" s="3318"/>
      <c r="AG199" s="3318"/>
      <c r="AH199" s="3318"/>
      <c r="AI199" s="3318"/>
      <c r="AJ199" s="3318"/>
      <c r="AK199" s="3318"/>
      <c r="AL199" s="3318"/>
      <c r="AM199" s="3318"/>
      <c r="AN199" s="3318"/>
      <c r="AO199" s="3318"/>
      <c r="AP199" s="3318"/>
      <c r="AQ199" s="3318"/>
      <c r="AR199" s="3318"/>
      <c r="AS199" s="3318"/>
      <c r="AT199" s="3328"/>
      <c r="AU199" s="3329"/>
      <c r="AV199" s="963">
        <f t="shared" si="120"/>
        <v>0</v>
      </c>
      <c r="AW199" s="963">
        <f t="shared" si="121"/>
        <v>0</v>
      </c>
      <c r="AX199" s="963">
        <f t="shared" si="122"/>
        <v>0</v>
      </c>
      <c r="AY199" s="3343">
        <f t="shared" si="97"/>
        <v>0</v>
      </c>
      <c r="AZ199" s="3298">
        <f t="shared" si="98"/>
        <v>0</v>
      </c>
      <c r="BA199" s="3298">
        <f t="shared" si="99"/>
        <v>0</v>
      </c>
      <c r="BB199" s="3298">
        <f t="shared" si="100"/>
        <v>0</v>
      </c>
      <c r="BC199" s="3298">
        <f t="shared" si="101"/>
        <v>0</v>
      </c>
      <c r="BD199" s="3298">
        <f t="shared" si="102"/>
        <v>0</v>
      </c>
      <c r="BE199" s="3298">
        <f t="shared" si="103"/>
        <v>0</v>
      </c>
      <c r="BF199" s="3298">
        <f t="shared" si="104"/>
        <v>0</v>
      </c>
      <c r="BG199" s="3298">
        <f t="shared" si="105"/>
        <v>0</v>
      </c>
      <c r="BH199" s="3298">
        <f t="shared" si="106"/>
        <v>0</v>
      </c>
      <c r="BI199" s="3298">
        <f t="shared" si="107"/>
        <v>0</v>
      </c>
      <c r="BJ199" s="3298">
        <f t="shared" si="108"/>
        <v>0</v>
      </c>
      <c r="BK199" s="3298">
        <f t="shared" si="109"/>
        <v>0</v>
      </c>
      <c r="BL199" s="3298">
        <f t="shared" si="110"/>
        <v>0</v>
      </c>
      <c r="BM199" s="3298">
        <f t="shared" si="111"/>
        <v>0</v>
      </c>
      <c r="BN199" s="3298">
        <f t="shared" si="112"/>
        <v>0</v>
      </c>
      <c r="BO199" s="3298">
        <f t="shared" si="113"/>
        <v>0</v>
      </c>
      <c r="BP199" s="3298">
        <f t="shared" si="114"/>
        <v>0</v>
      </c>
      <c r="BQ199" s="3298">
        <f t="shared" si="115"/>
        <v>0</v>
      </c>
      <c r="BR199" s="3298">
        <f t="shared" si="116"/>
        <v>0</v>
      </c>
      <c r="BS199" s="3298">
        <f t="shared" si="117"/>
        <v>0</v>
      </c>
      <c r="BT199" s="3350">
        <f t="shared" si="118"/>
        <v>0</v>
      </c>
    </row>
    <row r="200" spans="1:72">
      <c r="A200" s="1407"/>
      <c r="B200" s="3296"/>
      <c r="C200" s="3296"/>
      <c r="D200" s="3297"/>
      <c r="E200" s="3298">
        <f t="shared" si="119"/>
        <v>0</v>
      </c>
      <c r="F200" s="3299"/>
      <c r="G200" s="3300">
        <f t="shared" si="94"/>
        <v>0</v>
      </c>
      <c r="H200" s="3301">
        <f t="shared" si="95"/>
        <v>0</v>
      </c>
      <c r="I200" s="3308"/>
      <c r="J200" s="3308"/>
      <c r="K200" s="3308"/>
      <c r="L200" s="3308"/>
      <c r="M200" s="3308"/>
      <c r="N200" s="3308"/>
      <c r="O200" s="3308"/>
      <c r="P200" s="3308"/>
      <c r="Q200" s="3308"/>
      <c r="R200" s="3308"/>
      <c r="S200" s="3308"/>
      <c r="T200" s="3308"/>
      <c r="U200" s="3308"/>
      <c r="V200" s="3308"/>
      <c r="W200" s="3308"/>
      <c r="X200" s="3308"/>
      <c r="Y200" s="3308"/>
      <c r="Z200" s="3308"/>
      <c r="AA200" s="3308"/>
      <c r="AB200" s="3308"/>
      <c r="AC200" s="3298">
        <f t="shared" si="96"/>
        <v>0</v>
      </c>
      <c r="AD200" s="3318"/>
      <c r="AE200" s="3318"/>
      <c r="AF200" s="3318"/>
      <c r="AG200" s="3318"/>
      <c r="AH200" s="3318"/>
      <c r="AI200" s="3318"/>
      <c r="AJ200" s="3318"/>
      <c r="AK200" s="3318"/>
      <c r="AL200" s="3318"/>
      <c r="AM200" s="3318"/>
      <c r="AN200" s="3318"/>
      <c r="AO200" s="3318"/>
      <c r="AP200" s="3318"/>
      <c r="AQ200" s="3318"/>
      <c r="AR200" s="3318"/>
      <c r="AS200" s="3318"/>
      <c r="AT200" s="3328"/>
      <c r="AU200" s="3329"/>
      <c r="AV200" s="963">
        <f t="shared" si="120"/>
        <v>0</v>
      </c>
      <c r="AW200" s="963">
        <f t="shared" si="121"/>
        <v>0</v>
      </c>
      <c r="AX200" s="963">
        <f t="shared" si="122"/>
        <v>0</v>
      </c>
      <c r="AY200" s="3343">
        <f t="shared" si="97"/>
        <v>0</v>
      </c>
      <c r="AZ200" s="3298">
        <f t="shared" si="98"/>
        <v>0</v>
      </c>
      <c r="BA200" s="3298">
        <f t="shared" si="99"/>
        <v>0</v>
      </c>
      <c r="BB200" s="3298">
        <f t="shared" si="100"/>
        <v>0</v>
      </c>
      <c r="BC200" s="3298">
        <f t="shared" si="101"/>
        <v>0</v>
      </c>
      <c r="BD200" s="3298">
        <f t="shared" si="102"/>
        <v>0</v>
      </c>
      <c r="BE200" s="3298">
        <f t="shared" si="103"/>
        <v>0</v>
      </c>
      <c r="BF200" s="3298">
        <f t="shared" si="104"/>
        <v>0</v>
      </c>
      <c r="BG200" s="3298">
        <f t="shared" si="105"/>
        <v>0</v>
      </c>
      <c r="BH200" s="3298">
        <f t="shared" si="106"/>
        <v>0</v>
      </c>
      <c r="BI200" s="3298">
        <f t="shared" si="107"/>
        <v>0</v>
      </c>
      <c r="BJ200" s="3298">
        <f t="shared" si="108"/>
        <v>0</v>
      </c>
      <c r="BK200" s="3298">
        <f t="shared" si="109"/>
        <v>0</v>
      </c>
      <c r="BL200" s="3298">
        <f t="shared" si="110"/>
        <v>0</v>
      </c>
      <c r="BM200" s="3298">
        <f t="shared" si="111"/>
        <v>0</v>
      </c>
      <c r="BN200" s="3298">
        <f t="shared" si="112"/>
        <v>0</v>
      </c>
      <c r="BO200" s="3298">
        <f t="shared" si="113"/>
        <v>0</v>
      </c>
      <c r="BP200" s="3298">
        <f t="shared" si="114"/>
        <v>0</v>
      </c>
      <c r="BQ200" s="3298">
        <f t="shared" si="115"/>
        <v>0</v>
      </c>
      <c r="BR200" s="3298">
        <f t="shared" si="116"/>
        <v>0</v>
      </c>
      <c r="BS200" s="3298">
        <f t="shared" si="117"/>
        <v>0</v>
      </c>
      <c r="BT200" s="3350">
        <f t="shared" si="118"/>
        <v>0</v>
      </c>
    </row>
    <row r="201" spans="1:72">
      <c r="A201" s="1407"/>
      <c r="B201" s="3296"/>
      <c r="C201" s="3296"/>
      <c r="D201" s="3297"/>
      <c r="E201" s="3298">
        <f t="shared" si="119"/>
        <v>0</v>
      </c>
      <c r="F201" s="3299"/>
      <c r="G201" s="3300">
        <f t="shared" si="94"/>
        <v>0</v>
      </c>
      <c r="H201" s="3301">
        <f t="shared" si="95"/>
        <v>0</v>
      </c>
      <c r="I201" s="3308"/>
      <c r="J201" s="3308"/>
      <c r="K201" s="3308"/>
      <c r="L201" s="3308"/>
      <c r="M201" s="3308"/>
      <c r="N201" s="3308"/>
      <c r="O201" s="3308"/>
      <c r="P201" s="3308"/>
      <c r="Q201" s="3308"/>
      <c r="R201" s="3308"/>
      <c r="S201" s="3308"/>
      <c r="T201" s="3308"/>
      <c r="U201" s="3308"/>
      <c r="V201" s="3308"/>
      <c r="W201" s="3308"/>
      <c r="X201" s="3308"/>
      <c r="Y201" s="3308"/>
      <c r="Z201" s="3308"/>
      <c r="AA201" s="3308"/>
      <c r="AB201" s="3308"/>
      <c r="AC201" s="3298">
        <f t="shared" si="96"/>
        <v>0</v>
      </c>
      <c r="AD201" s="3318"/>
      <c r="AE201" s="3318"/>
      <c r="AF201" s="3318"/>
      <c r="AG201" s="3318"/>
      <c r="AH201" s="3318"/>
      <c r="AI201" s="3318"/>
      <c r="AJ201" s="3318"/>
      <c r="AK201" s="3318"/>
      <c r="AL201" s="3318"/>
      <c r="AM201" s="3318"/>
      <c r="AN201" s="3318"/>
      <c r="AO201" s="3318"/>
      <c r="AP201" s="3318"/>
      <c r="AQ201" s="3318"/>
      <c r="AR201" s="3318"/>
      <c r="AS201" s="3318"/>
      <c r="AT201" s="3328"/>
      <c r="AU201" s="3329"/>
      <c r="AV201" s="963">
        <f t="shared" si="120"/>
        <v>0</v>
      </c>
      <c r="AW201" s="963">
        <f t="shared" si="121"/>
        <v>0</v>
      </c>
      <c r="AX201" s="963">
        <f t="shared" si="122"/>
        <v>0</v>
      </c>
      <c r="AY201" s="3343">
        <f t="shared" si="97"/>
        <v>0</v>
      </c>
      <c r="AZ201" s="3298">
        <f t="shared" si="98"/>
        <v>0</v>
      </c>
      <c r="BA201" s="3298">
        <f t="shared" si="99"/>
        <v>0</v>
      </c>
      <c r="BB201" s="3298">
        <f t="shared" si="100"/>
        <v>0</v>
      </c>
      <c r="BC201" s="3298">
        <f t="shared" si="101"/>
        <v>0</v>
      </c>
      <c r="BD201" s="3298">
        <f t="shared" si="102"/>
        <v>0</v>
      </c>
      <c r="BE201" s="3298">
        <f t="shared" si="103"/>
        <v>0</v>
      </c>
      <c r="BF201" s="3298">
        <f t="shared" si="104"/>
        <v>0</v>
      </c>
      <c r="BG201" s="3298">
        <f t="shared" si="105"/>
        <v>0</v>
      </c>
      <c r="BH201" s="3298">
        <f t="shared" si="106"/>
        <v>0</v>
      </c>
      <c r="BI201" s="3298">
        <f t="shared" si="107"/>
        <v>0</v>
      </c>
      <c r="BJ201" s="3298">
        <f t="shared" si="108"/>
        <v>0</v>
      </c>
      <c r="BK201" s="3298">
        <f t="shared" si="109"/>
        <v>0</v>
      </c>
      <c r="BL201" s="3298">
        <f t="shared" si="110"/>
        <v>0</v>
      </c>
      <c r="BM201" s="3298">
        <f t="shared" si="111"/>
        <v>0</v>
      </c>
      <c r="BN201" s="3298">
        <f t="shared" si="112"/>
        <v>0</v>
      </c>
      <c r="BO201" s="3298">
        <f t="shared" si="113"/>
        <v>0</v>
      </c>
      <c r="BP201" s="3298">
        <f t="shared" si="114"/>
        <v>0</v>
      </c>
      <c r="BQ201" s="3298">
        <f t="shared" si="115"/>
        <v>0</v>
      </c>
      <c r="BR201" s="3298">
        <f t="shared" si="116"/>
        <v>0</v>
      </c>
      <c r="BS201" s="3298">
        <f t="shared" si="117"/>
        <v>0</v>
      </c>
      <c r="BT201" s="3350">
        <f t="shared" si="118"/>
        <v>0</v>
      </c>
    </row>
    <row r="202" spans="1:72">
      <c r="A202" s="1407"/>
      <c r="B202" s="3296"/>
      <c r="C202" s="3296"/>
      <c r="D202" s="3297"/>
      <c r="E202" s="3298">
        <f t="shared" si="119"/>
        <v>0</v>
      </c>
      <c r="F202" s="3299"/>
      <c r="G202" s="3300">
        <f t="shared" si="94"/>
        <v>0</v>
      </c>
      <c r="H202" s="3301">
        <f t="shared" si="95"/>
        <v>0</v>
      </c>
      <c r="I202" s="3308"/>
      <c r="J202" s="3308"/>
      <c r="K202" s="3308"/>
      <c r="L202" s="3308"/>
      <c r="M202" s="3308"/>
      <c r="N202" s="3308"/>
      <c r="O202" s="3308"/>
      <c r="P202" s="3308"/>
      <c r="Q202" s="3308"/>
      <c r="R202" s="3308"/>
      <c r="S202" s="3308"/>
      <c r="T202" s="3308"/>
      <c r="U202" s="3308"/>
      <c r="V202" s="3308"/>
      <c r="W202" s="3308"/>
      <c r="X202" s="3308"/>
      <c r="Y202" s="3308"/>
      <c r="Z202" s="3308"/>
      <c r="AA202" s="3308"/>
      <c r="AB202" s="3308"/>
      <c r="AC202" s="3298">
        <f t="shared" si="96"/>
        <v>0</v>
      </c>
      <c r="AD202" s="3318"/>
      <c r="AE202" s="3318"/>
      <c r="AF202" s="3318"/>
      <c r="AG202" s="3318"/>
      <c r="AH202" s="3318"/>
      <c r="AI202" s="3318"/>
      <c r="AJ202" s="3318"/>
      <c r="AK202" s="3318"/>
      <c r="AL202" s="3318"/>
      <c r="AM202" s="3318"/>
      <c r="AN202" s="3318"/>
      <c r="AO202" s="3318"/>
      <c r="AP202" s="3318"/>
      <c r="AQ202" s="3318"/>
      <c r="AR202" s="3318"/>
      <c r="AS202" s="3318"/>
      <c r="AT202" s="3328"/>
      <c r="AU202" s="3329"/>
      <c r="AV202" s="963">
        <f t="shared" si="120"/>
        <v>0</v>
      </c>
      <c r="AW202" s="963">
        <f t="shared" si="121"/>
        <v>0</v>
      </c>
      <c r="AX202" s="963">
        <f t="shared" si="122"/>
        <v>0</v>
      </c>
      <c r="AY202" s="3343">
        <f t="shared" si="97"/>
        <v>0</v>
      </c>
      <c r="AZ202" s="3298">
        <f t="shared" si="98"/>
        <v>0</v>
      </c>
      <c r="BA202" s="3298">
        <f t="shared" si="99"/>
        <v>0</v>
      </c>
      <c r="BB202" s="3298">
        <f t="shared" si="100"/>
        <v>0</v>
      </c>
      <c r="BC202" s="3298">
        <f t="shared" si="101"/>
        <v>0</v>
      </c>
      <c r="BD202" s="3298">
        <f t="shared" si="102"/>
        <v>0</v>
      </c>
      <c r="BE202" s="3298">
        <f t="shared" si="103"/>
        <v>0</v>
      </c>
      <c r="BF202" s="3298">
        <f t="shared" si="104"/>
        <v>0</v>
      </c>
      <c r="BG202" s="3298">
        <f t="shared" si="105"/>
        <v>0</v>
      </c>
      <c r="BH202" s="3298">
        <f t="shared" si="106"/>
        <v>0</v>
      </c>
      <c r="BI202" s="3298">
        <f t="shared" si="107"/>
        <v>0</v>
      </c>
      <c r="BJ202" s="3298">
        <f t="shared" si="108"/>
        <v>0</v>
      </c>
      <c r="BK202" s="3298">
        <f t="shared" si="109"/>
        <v>0</v>
      </c>
      <c r="BL202" s="3298">
        <f t="shared" si="110"/>
        <v>0</v>
      </c>
      <c r="BM202" s="3298">
        <f t="shared" si="111"/>
        <v>0</v>
      </c>
      <c r="BN202" s="3298">
        <f t="shared" si="112"/>
        <v>0</v>
      </c>
      <c r="BO202" s="3298">
        <f t="shared" si="113"/>
        <v>0</v>
      </c>
      <c r="BP202" s="3298">
        <f t="shared" si="114"/>
        <v>0</v>
      </c>
      <c r="BQ202" s="3298">
        <f t="shared" si="115"/>
        <v>0</v>
      </c>
      <c r="BR202" s="3298">
        <f t="shared" si="116"/>
        <v>0</v>
      </c>
      <c r="BS202" s="3298">
        <f t="shared" si="117"/>
        <v>0</v>
      </c>
      <c r="BT202" s="3350">
        <f t="shared" si="118"/>
        <v>0</v>
      </c>
    </row>
    <row r="203" spans="1:72">
      <c r="A203" s="1407"/>
      <c r="B203" s="3296"/>
      <c r="C203" s="3296"/>
      <c r="D203" s="3297"/>
      <c r="E203" s="3298">
        <f t="shared" si="119"/>
        <v>0</v>
      </c>
      <c r="F203" s="3299"/>
      <c r="G203" s="3300">
        <f t="shared" si="94"/>
        <v>0</v>
      </c>
      <c r="H203" s="3301">
        <f t="shared" si="95"/>
        <v>0</v>
      </c>
      <c r="I203" s="3308"/>
      <c r="J203" s="3308"/>
      <c r="K203" s="3308"/>
      <c r="L203" s="3308"/>
      <c r="M203" s="3308"/>
      <c r="N203" s="3308"/>
      <c r="O203" s="3308"/>
      <c r="P203" s="3308"/>
      <c r="Q203" s="3308"/>
      <c r="R203" s="3308"/>
      <c r="S203" s="3308"/>
      <c r="T203" s="3308"/>
      <c r="U203" s="3308"/>
      <c r="V203" s="3308"/>
      <c r="W203" s="3308"/>
      <c r="X203" s="3308"/>
      <c r="Y203" s="3308"/>
      <c r="Z203" s="3308"/>
      <c r="AA203" s="3308"/>
      <c r="AB203" s="3308"/>
      <c r="AC203" s="3298">
        <f t="shared" si="96"/>
        <v>0</v>
      </c>
      <c r="AD203" s="3318"/>
      <c r="AE203" s="3318"/>
      <c r="AF203" s="3318"/>
      <c r="AG203" s="3318"/>
      <c r="AH203" s="3318"/>
      <c r="AI203" s="3318"/>
      <c r="AJ203" s="3318"/>
      <c r="AK203" s="3318"/>
      <c r="AL203" s="3318"/>
      <c r="AM203" s="3318"/>
      <c r="AN203" s="3318"/>
      <c r="AO203" s="3318"/>
      <c r="AP203" s="3318"/>
      <c r="AQ203" s="3318"/>
      <c r="AR203" s="3318"/>
      <c r="AS203" s="3318"/>
      <c r="AT203" s="3328"/>
      <c r="AU203" s="3329"/>
      <c r="AV203" s="963">
        <f t="shared" si="120"/>
        <v>0</v>
      </c>
      <c r="AW203" s="963">
        <f t="shared" si="121"/>
        <v>0</v>
      </c>
      <c r="AX203" s="963">
        <f t="shared" si="122"/>
        <v>0</v>
      </c>
      <c r="AY203" s="3343">
        <f t="shared" si="97"/>
        <v>0</v>
      </c>
      <c r="AZ203" s="3298">
        <f t="shared" si="98"/>
        <v>0</v>
      </c>
      <c r="BA203" s="3298">
        <f t="shared" si="99"/>
        <v>0</v>
      </c>
      <c r="BB203" s="3298">
        <f t="shared" si="100"/>
        <v>0</v>
      </c>
      <c r="BC203" s="3298">
        <f t="shared" si="101"/>
        <v>0</v>
      </c>
      <c r="BD203" s="3298">
        <f t="shared" si="102"/>
        <v>0</v>
      </c>
      <c r="BE203" s="3298">
        <f t="shared" si="103"/>
        <v>0</v>
      </c>
      <c r="BF203" s="3298">
        <f t="shared" si="104"/>
        <v>0</v>
      </c>
      <c r="BG203" s="3298">
        <f t="shared" si="105"/>
        <v>0</v>
      </c>
      <c r="BH203" s="3298">
        <f t="shared" si="106"/>
        <v>0</v>
      </c>
      <c r="BI203" s="3298">
        <f t="shared" si="107"/>
        <v>0</v>
      </c>
      <c r="BJ203" s="3298">
        <f t="shared" si="108"/>
        <v>0</v>
      </c>
      <c r="BK203" s="3298">
        <f t="shared" si="109"/>
        <v>0</v>
      </c>
      <c r="BL203" s="3298">
        <f t="shared" si="110"/>
        <v>0</v>
      </c>
      <c r="BM203" s="3298">
        <f t="shared" si="111"/>
        <v>0</v>
      </c>
      <c r="BN203" s="3298">
        <f t="shared" si="112"/>
        <v>0</v>
      </c>
      <c r="BO203" s="3298">
        <f t="shared" si="113"/>
        <v>0</v>
      </c>
      <c r="BP203" s="3298">
        <f t="shared" si="114"/>
        <v>0</v>
      </c>
      <c r="BQ203" s="3298">
        <f t="shared" si="115"/>
        <v>0</v>
      </c>
      <c r="BR203" s="3298">
        <f t="shared" si="116"/>
        <v>0</v>
      </c>
      <c r="BS203" s="3298">
        <f t="shared" si="117"/>
        <v>0</v>
      </c>
      <c r="BT203" s="3350">
        <f t="shared" si="118"/>
        <v>0</v>
      </c>
    </row>
    <row r="204" spans="1:72">
      <c r="A204" s="1407"/>
      <c r="B204" s="3296"/>
      <c r="C204" s="3296"/>
      <c r="D204" s="3297"/>
      <c r="E204" s="3298">
        <f t="shared" si="119"/>
        <v>0</v>
      </c>
      <c r="F204" s="3299"/>
      <c r="G204" s="3300">
        <f t="shared" si="94"/>
        <v>0</v>
      </c>
      <c r="H204" s="3301">
        <f t="shared" si="95"/>
        <v>0</v>
      </c>
      <c r="I204" s="3308"/>
      <c r="J204" s="3308"/>
      <c r="K204" s="3308"/>
      <c r="L204" s="3308"/>
      <c r="M204" s="3308"/>
      <c r="N204" s="3308"/>
      <c r="O204" s="3308"/>
      <c r="P204" s="3308"/>
      <c r="Q204" s="3308"/>
      <c r="R204" s="3308"/>
      <c r="S204" s="3308"/>
      <c r="T204" s="3308"/>
      <c r="U204" s="3308"/>
      <c r="V204" s="3308"/>
      <c r="W204" s="3308"/>
      <c r="X204" s="3308"/>
      <c r="Y204" s="3308"/>
      <c r="Z204" s="3308"/>
      <c r="AA204" s="3308"/>
      <c r="AB204" s="3308"/>
      <c r="AC204" s="3298">
        <f t="shared" si="96"/>
        <v>0</v>
      </c>
      <c r="AD204" s="3318"/>
      <c r="AE204" s="3318"/>
      <c r="AF204" s="3318"/>
      <c r="AG204" s="3318"/>
      <c r="AH204" s="3318"/>
      <c r="AI204" s="3318"/>
      <c r="AJ204" s="3318"/>
      <c r="AK204" s="3318"/>
      <c r="AL204" s="3318"/>
      <c r="AM204" s="3318"/>
      <c r="AN204" s="3318"/>
      <c r="AO204" s="3318"/>
      <c r="AP204" s="3318"/>
      <c r="AQ204" s="3318"/>
      <c r="AR204" s="3318"/>
      <c r="AS204" s="3318"/>
      <c r="AT204" s="3328"/>
      <c r="AU204" s="3329"/>
      <c r="AV204" s="963">
        <f t="shared" si="120"/>
        <v>0</v>
      </c>
      <c r="AW204" s="963">
        <f t="shared" si="121"/>
        <v>0</v>
      </c>
      <c r="AX204" s="963">
        <f t="shared" si="122"/>
        <v>0</v>
      </c>
      <c r="AY204" s="3343">
        <f t="shared" si="97"/>
        <v>0</v>
      </c>
      <c r="AZ204" s="3298">
        <f t="shared" si="98"/>
        <v>0</v>
      </c>
      <c r="BA204" s="3298">
        <f t="shared" si="99"/>
        <v>0</v>
      </c>
      <c r="BB204" s="3298">
        <f t="shared" si="100"/>
        <v>0</v>
      </c>
      <c r="BC204" s="3298">
        <f t="shared" si="101"/>
        <v>0</v>
      </c>
      <c r="BD204" s="3298">
        <f t="shared" si="102"/>
        <v>0</v>
      </c>
      <c r="BE204" s="3298">
        <f t="shared" si="103"/>
        <v>0</v>
      </c>
      <c r="BF204" s="3298">
        <f t="shared" si="104"/>
        <v>0</v>
      </c>
      <c r="BG204" s="3298">
        <f t="shared" si="105"/>
        <v>0</v>
      </c>
      <c r="BH204" s="3298">
        <f t="shared" si="106"/>
        <v>0</v>
      </c>
      <c r="BI204" s="3298">
        <f t="shared" si="107"/>
        <v>0</v>
      </c>
      <c r="BJ204" s="3298">
        <f t="shared" si="108"/>
        <v>0</v>
      </c>
      <c r="BK204" s="3298">
        <f t="shared" si="109"/>
        <v>0</v>
      </c>
      <c r="BL204" s="3298">
        <f t="shared" si="110"/>
        <v>0</v>
      </c>
      <c r="BM204" s="3298">
        <f t="shared" si="111"/>
        <v>0</v>
      </c>
      <c r="BN204" s="3298">
        <f t="shared" si="112"/>
        <v>0</v>
      </c>
      <c r="BO204" s="3298">
        <f t="shared" si="113"/>
        <v>0</v>
      </c>
      <c r="BP204" s="3298">
        <f t="shared" si="114"/>
        <v>0</v>
      </c>
      <c r="BQ204" s="3298">
        <f t="shared" si="115"/>
        <v>0</v>
      </c>
      <c r="BR204" s="3298">
        <f t="shared" si="116"/>
        <v>0</v>
      </c>
      <c r="BS204" s="3298">
        <f t="shared" si="117"/>
        <v>0</v>
      </c>
      <c r="BT204" s="3350">
        <f t="shared" si="118"/>
        <v>0</v>
      </c>
    </row>
    <row r="205" spans="1:72">
      <c r="A205" s="1407"/>
      <c r="B205" s="1407"/>
      <c r="C205" s="1407"/>
      <c r="D205" s="3297"/>
      <c r="E205" s="3298">
        <f t="shared" si="119"/>
        <v>0</v>
      </c>
      <c r="F205" s="3351"/>
      <c r="G205" s="3300">
        <f t="shared" si="94"/>
        <v>0</v>
      </c>
      <c r="H205" s="3301">
        <f t="shared" si="95"/>
        <v>0</v>
      </c>
      <c r="I205" s="3352"/>
      <c r="J205" s="3352"/>
      <c r="K205" s="3308"/>
      <c r="L205" s="3308"/>
      <c r="M205" s="3308"/>
      <c r="N205" s="3308"/>
      <c r="O205" s="3308"/>
      <c r="P205" s="3308"/>
      <c r="Q205" s="3308"/>
      <c r="R205" s="3308"/>
      <c r="S205" s="3308"/>
      <c r="T205" s="3308"/>
      <c r="U205" s="3308"/>
      <c r="V205" s="3308"/>
      <c r="W205" s="3308"/>
      <c r="X205" s="3308"/>
      <c r="Y205" s="3308"/>
      <c r="Z205" s="3308"/>
      <c r="AA205" s="3308"/>
      <c r="AB205" s="3308"/>
      <c r="AC205" s="3298">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53"/>
      <c r="AV205" s="963">
        <f t="shared" si="120"/>
        <v>0</v>
      </c>
      <c r="AW205" s="963">
        <f t="shared" si="121"/>
        <v>0</v>
      </c>
      <c r="AX205" s="963">
        <f t="shared" si="122"/>
        <v>0</v>
      </c>
      <c r="AY205" s="3343">
        <f t="shared" si="97"/>
        <v>0</v>
      </c>
      <c r="AZ205" s="3298">
        <f t="shared" si="98"/>
        <v>0</v>
      </c>
      <c r="BA205" s="3298">
        <f t="shared" si="99"/>
        <v>0</v>
      </c>
      <c r="BB205" s="3298">
        <f t="shared" si="100"/>
        <v>0</v>
      </c>
      <c r="BC205" s="3298">
        <f t="shared" si="101"/>
        <v>0</v>
      </c>
      <c r="BD205" s="3298">
        <f t="shared" si="102"/>
        <v>0</v>
      </c>
      <c r="BE205" s="3298">
        <f t="shared" si="103"/>
        <v>0</v>
      </c>
      <c r="BF205" s="3298">
        <f t="shared" si="104"/>
        <v>0</v>
      </c>
      <c r="BG205" s="3298">
        <f t="shared" si="105"/>
        <v>0</v>
      </c>
      <c r="BH205" s="3298">
        <f t="shared" si="106"/>
        <v>0</v>
      </c>
      <c r="BI205" s="3298">
        <f t="shared" si="107"/>
        <v>0</v>
      </c>
      <c r="BJ205" s="3298">
        <f t="shared" si="108"/>
        <v>0</v>
      </c>
      <c r="BK205" s="3298">
        <f t="shared" si="109"/>
        <v>0</v>
      </c>
      <c r="BL205" s="3298">
        <f t="shared" si="110"/>
        <v>0</v>
      </c>
      <c r="BM205" s="3298">
        <f t="shared" si="111"/>
        <v>0</v>
      </c>
      <c r="BN205" s="3298">
        <f t="shared" si="112"/>
        <v>0</v>
      </c>
      <c r="BO205" s="3298">
        <f t="shared" si="113"/>
        <v>0</v>
      </c>
      <c r="BP205" s="3298">
        <f t="shared" si="114"/>
        <v>0</v>
      </c>
      <c r="BQ205" s="3298">
        <f t="shared" si="115"/>
        <v>0</v>
      </c>
      <c r="BR205" s="3298">
        <f t="shared" si="116"/>
        <v>0</v>
      </c>
      <c r="BS205" s="3298">
        <f t="shared" si="117"/>
        <v>0</v>
      </c>
      <c r="BT205" s="3350">
        <f t="shared" si="118"/>
        <v>0</v>
      </c>
    </row>
    <row r="206" spans="1:72">
      <c r="A206" s="1407"/>
      <c r="B206" s="1407"/>
      <c r="C206" s="1407"/>
      <c r="D206" s="3297"/>
      <c r="E206" s="3298">
        <f t="shared" si="119"/>
        <v>0</v>
      </c>
      <c r="F206" s="3351"/>
      <c r="G206" s="3300">
        <f t="shared" si="94"/>
        <v>0</v>
      </c>
      <c r="H206" s="3301">
        <f t="shared" si="95"/>
        <v>0</v>
      </c>
      <c r="I206" s="3308"/>
      <c r="J206" s="3308"/>
      <c r="K206" s="3308"/>
      <c r="L206" s="3308"/>
      <c r="M206" s="3308"/>
      <c r="N206" s="3308"/>
      <c r="O206" s="3308"/>
      <c r="P206" s="3308"/>
      <c r="Q206" s="3308"/>
      <c r="R206" s="3308"/>
      <c r="S206" s="3308"/>
      <c r="T206" s="3308"/>
      <c r="U206" s="3308"/>
      <c r="V206" s="3308"/>
      <c r="W206" s="3308"/>
      <c r="X206" s="3308"/>
      <c r="Y206" s="3308"/>
      <c r="Z206" s="3308"/>
      <c r="AA206" s="3308"/>
      <c r="AB206" s="3308"/>
      <c r="AC206" s="3298">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53"/>
      <c r="AV206" s="963">
        <f t="shared" si="120"/>
        <v>0</v>
      </c>
      <c r="AW206" s="963">
        <f t="shared" si="121"/>
        <v>0</v>
      </c>
      <c r="AX206" s="963">
        <f t="shared" si="122"/>
        <v>0</v>
      </c>
      <c r="AY206" s="3343">
        <f t="shared" si="97"/>
        <v>0</v>
      </c>
      <c r="AZ206" s="3298">
        <f t="shared" si="98"/>
        <v>0</v>
      </c>
      <c r="BA206" s="3298">
        <f t="shared" si="99"/>
        <v>0</v>
      </c>
      <c r="BB206" s="3298">
        <f t="shared" si="100"/>
        <v>0</v>
      </c>
      <c r="BC206" s="3298">
        <f t="shared" si="101"/>
        <v>0</v>
      </c>
      <c r="BD206" s="3298">
        <f t="shared" si="102"/>
        <v>0</v>
      </c>
      <c r="BE206" s="3298">
        <f t="shared" si="103"/>
        <v>0</v>
      </c>
      <c r="BF206" s="3298">
        <f t="shared" si="104"/>
        <v>0</v>
      </c>
      <c r="BG206" s="3298">
        <f t="shared" si="105"/>
        <v>0</v>
      </c>
      <c r="BH206" s="3298">
        <f t="shared" si="106"/>
        <v>0</v>
      </c>
      <c r="BI206" s="3298">
        <f t="shared" si="107"/>
        <v>0</v>
      </c>
      <c r="BJ206" s="3298">
        <f t="shared" si="108"/>
        <v>0</v>
      </c>
      <c r="BK206" s="3298">
        <f t="shared" si="109"/>
        <v>0</v>
      </c>
      <c r="BL206" s="3298">
        <f t="shared" si="110"/>
        <v>0</v>
      </c>
      <c r="BM206" s="3298">
        <f t="shared" si="111"/>
        <v>0</v>
      </c>
      <c r="BN206" s="3298">
        <f t="shared" si="112"/>
        <v>0</v>
      </c>
      <c r="BO206" s="3298">
        <f t="shared" si="113"/>
        <v>0</v>
      </c>
      <c r="BP206" s="3298">
        <f t="shared" si="114"/>
        <v>0</v>
      </c>
      <c r="BQ206" s="3298">
        <f t="shared" si="115"/>
        <v>0</v>
      </c>
      <c r="BR206" s="3298">
        <f t="shared" si="116"/>
        <v>0</v>
      </c>
      <c r="BS206" s="3298">
        <f t="shared" si="117"/>
        <v>0</v>
      </c>
      <c r="BT206" s="3350">
        <f t="shared" si="118"/>
        <v>0</v>
      </c>
    </row>
    <row r="207" spans="1:72">
      <c r="A207" s="1407"/>
      <c r="B207" s="1407"/>
      <c r="C207" s="1407"/>
      <c r="D207" s="3297"/>
      <c r="E207" s="3298">
        <f t="shared" si="119"/>
        <v>0</v>
      </c>
      <c r="F207" s="3351"/>
      <c r="G207" s="3300">
        <f t="shared" si="94"/>
        <v>0</v>
      </c>
      <c r="H207" s="3301">
        <f t="shared" si="95"/>
        <v>0</v>
      </c>
      <c r="I207" s="3308"/>
      <c r="J207" s="3308"/>
      <c r="K207" s="3308"/>
      <c r="L207" s="3308"/>
      <c r="M207" s="3308"/>
      <c r="N207" s="3308"/>
      <c r="O207" s="3308"/>
      <c r="P207" s="3308"/>
      <c r="Q207" s="3308"/>
      <c r="R207" s="3308"/>
      <c r="S207" s="3308"/>
      <c r="T207" s="3308"/>
      <c r="U207" s="3308"/>
      <c r="V207" s="3308"/>
      <c r="W207" s="3308"/>
      <c r="X207" s="3308"/>
      <c r="Y207" s="3308"/>
      <c r="Z207" s="3308"/>
      <c r="AA207" s="3308"/>
      <c r="AB207" s="3308"/>
      <c r="AC207" s="3298">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53"/>
      <c r="AV207" s="963">
        <f t="shared" si="120"/>
        <v>0</v>
      </c>
      <c r="AW207" s="963">
        <f t="shared" si="121"/>
        <v>0</v>
      </c>
      <c r="AX207" s="963">
        <f t="shared" si="122"/>
        <v>0</v>
      </c>
      <c r="AY207" s="3343">
        <f t="shared" si="97"/>
        <v>0</v>
      </c>
      <c r="AZ207" s="3298">
        <f t="shared" si="98"/>
        <v>0</v>
      </c>
      <c r="BA207" s="3298">
        <f t="shared" si="99"/>
        <v>0</v>
      </c>
      <c r="BB207" s="3298">
        <f t="shared" si="100"/>
        <v>0</v>
      </c>
      <c r="BC207" s="3298">
        <f t="shared" si="101"/>
        <v>0</v>
      </c>
      <c r="BD207" s="3298">
        <f t="shared" si="102"/>
        <v>0</v>
      </c>
      <c r="BE207" s="3298">
        <f t="shared" si="103"/>
        <v>0</v>
      </c>
      <c r="BF207" s="3298">
        <f t="shared" si="104"/>
        <v>0</v>
      </c>
      <c r="BG207" s="3298">
        <f t="shared" si="105"/>
        <v>0</v>
      </c>
      <c r="BH207" s="3298">
        <f t="shared" si="106"/>
        <v>0</v>
      </c>
      <c r="BI207" s="3298">
        <f t="shared" si="107"/>
        <v>0</v>
      </c>
      <c r="BJ207" s="3298">
        <f t="shared" si="108"/>
        <v>0</v>
      </c>
      <c r="BK207" s="3298">
        <f t="shared" si="109"/>
        <v>0</v>
      </c>
      <c r="BL207" s="3298">
        <f t="shared" si="110"/>
        <v>0</v>
      </c>
      <c r="BM207" s="3298">
        <f t="shared" si="111"/>
        <v>0</v>
      </c>
      <c r="BN207" s="3298">
        <f t="shared" si="112"/>
        <v>0</v>
      </c>
      <c r="BO207" s="3298">
        <f t="shared" si="113"/>
        <v>0</v>
      </c>
      <c r="BP207" s="3298">
        <f t="shared" si="114"/>
        <v>0</v>
      </c>
      <c r="BQ207" s="3298">
        <f t="shared" si="115"/>
        <v>0</v>
      </c>
      <c r="BR207" s="3298">
        <f t="shared" si="116"/>
        <v>0</v>
      </c>
      <c r="BS207" s="3298">
        <f t="shared" si="117"/>
        <v>0</v>
      </c>
      <c r="BT207" s="3350">
        <f t="shared" si="118"/>
        <v>0</v>
      </c>
    </row>
    <row r="208" spans="1:72">
      <c r="A208" s="1407"/>
      <c r="B208" s="3296"/>
      <c r="C208" s="3296"/>
      <c r="D208" s="3297"/>
      <c r="E208" s="3298">
        <f t="shared" ref="E208:E302" si="123">IF($C$3="是",ROUND($A$3*G208/$B$3,2),ROUND($A$3*(G208-AT208)/$B$3,2))</f>
        <v>0</v>
      </c>
      <c r="F208" s="3299"/>
      <c r="G208" s="3300">
        <f t="shared" ref="G208:G299" si="124">H208+AC208+AT208</f>
        <v>0</v>
      </c>
      <c r="H208" s="3301">
        <f t="shared" ref="H208:H299" si="125">SUMIF(I$12:AB$12,"总值",I208:AB208)</f>
        <v>0</v>
      </c>
      <c r="I208" s="3308"/>
      <c r="J208" s="3308"/>
      <c r="K208" s="3308"/>
      <c r="L208" s="3308"/>
      <c r="M208" s="3308"/>
      <c r="N208" s="3308"/>
      <c r="O208" s="3308"/>
      <c r="P208" s="3308"/>
      <c r="Q208" s="3308"/>
      <c r="R208" s="3308"/>
      <c r="S208" s="3308"/>
      <c r="T208" s="3308"/>
      <c r="U208" s="3308"/>
      <c r="V208" s="3308"/>
      <c r="W208" s="3308"/>
      <c r="X208" s="3308"/>
      <c r="Y208" s="3308"/>
      <c r="Z208" s="3308"/>
      <c r="AA208" s="3308"/>
      <c r="AB208" s="3308"/>
      <c r="AC208" s="3298">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28"/>
      <c r="AU208" s="3329"/>
      <c r="AV208" s="963">
        <f t="shared" ref="AV208:AV302" si="127">A208</f>
        <v>0</v>
      </c>
      <c r="AW208" s="963">
        <f t="shared" ref="AW208:AW302" si="128">B208</f>
        <v>0</v>
      </c>
      <c r="AX208" s="963">
        <f t="shared" ref="AX208:AX302" si="129">C208</f>
        <v>0</v>
      </c>
      <c r="AY208" s="3343">
        <f t="shared" ref="AY208:AY299" si="130">ROUND($AY$6*AZ208/$AZ$5,2)</f>
        <v>0</v>
      </c>
      <c r="AZ208" s="3298">
        <f t="shared" ref="AZ208:AZ299" si="131">BA208+BL208</f>
        <v>0</v>
      </c>
      <c r="BA208" s="3298">
        <f t="shared" ref="BA208:BA299" si="132">SUM(BB208:BK208)</f>
        <v>0</v>
      </c>
      <c r="BB208" s="3298">
        <f t="shared" ref="BB208:BB299" si="133">IF($D208="是",I208-J208,0)</f>
        <v>0</v>
      </c>
      <c r="BC208" s="3298">
        <f t="shared" ref="BC208:BC299" si="134">IF($D208="是",K208-L208,0)</f>
        <v>0</v>
      </c>
      <c r="BD208" s="3298">
        <f t="shared" ref="BD208:BD299" si="135">IF($D208="是",M208-N208,0)</f>
        <v>0</v>
      </c>
      <c r="BE208" s="3298">
        <f t="shared" ref="BE208:BE299" si="136">IF($D208="是",O208-P208,0)</f>
        <v>0</v>
      </c>
      <c r="BF208" s="3298">
        <f t="shared" ref="BF208:BF299" si="137">IF($D208="是",Q208-R208,0)</f>
        <v>0</v>
      </c>
      <c r="BG208" s="3298">
        <f t="shared" ref="BG208:BG299" si="138">IF($D208="是",S208-T208,0)</f>
        <v>0</v>
      </c>
      <c r="BH208" s="3298">
        <f t="shared" ref="BH208:BH299" si="139">IF($D208="是",U208-V208,0)</f>
        <v>0</v>
      </c>
      <c r="BI208" s="3298">
        <f t="shared" ref="BI208:BI299" si="140">IF($D208="是",W208-X208,0)</f>
        <v>0</v>
      </c>
      <c r="BJ208" s="3298">
        <f t="shared" ref="BJ208:BJ299" si="141">IF($D208="是",Y208-Z208,0)</f>
        <v>0</v>
      </c>
      <c r="BK208" s="3298">
        <f t="shared" ref="BK208:BK299" si="142">IF($D208="是",AA208-AB208,0)</f>
        <v>0</v>
      </c>
      <c r="BL208" s="3298">
        <f t="shared" ref="BL208:BL299" si="143">SUM(BM208:BT208)</f>
        <v>0</v>
      </c>
      <c r="BM208" s="3298">
        <f t="shared" ref="BM208:BM299" si="144">IF($D208="是",AD208-AE208,0)</f>
        <v>0</v>
      </c>
      <c r="BN208" s="3298">
        <f t="shared" ref="BN208:BN299" si="145">IF($D208="是",AF208-AG208,0)</f>
        <v>0</v>
      </c>
      <c r="BO208" s="3298">
        <f t="shared" ref="BO208:BO299" si="146">IF($D208="是",AH208-AI208,0)</f>
        <v>0</v>
      </c>
      <c r="BP208" s="3298">
        <f t="shared" ref="BP208:BP299" si="147">IF($D208="是",AJ208-AK208,0)</f>
        <v>0</v>
      </c>
      <c r="BQ208" s="3298">
        <f t="shared" ref="BQ208:BQ299" si="148">IF($D208="是",AL208-AM208,0)</f>
        <v>0</v>
      </c>
      <c r="BR208" s="3298">
        <f t="shared" ref="BR208:BR299" si="149">IF($D208="是",AN208-AO208,0)</f>
        <v>0</v>
      </c>
      <c r="BS208" s="3298">
        <f t="shared" ref="BS208:BS299" si="150">IF($D208="是",AP208-AQ208,0)</f>
        <v>0</v>
      </c>
      <c r="BT208" s="3350">
        <f t="shared" ref="BT208:BT299" si="151">IF($D208="是",AR208-AS208,0)</f>
        <v>0</v>
      </c>
    </row>
    <row r="209" spans="1:72">
      <c r="A209" s="1407"/>
      <c r="B209" s="3296"/>
      <c r="C209" s="3296"/>
      <c r="D209" s="3297"/>
      <c r="E209" s="3298">
        <f t="shared" si="123"/>
        <v>0</v>
      </c>
      <c r="F209" s="3299"/>
      <c r="G209" s="3300">
        <f t="shared" si="124"/>
        <v>0</v>
      </c>
      <c r="H209" s="3301">
        <f t="shared" si="125"/>
        <v>0</v>
      </c>
      <c r="I209" s="3308"/>
      <c r="J209" s="3308"/>
      <c r="K209" s="3308"/>
      <c r="L209" s="3308"/>
      <c r="M209" s="3308"/>
      <c r="N209" s="3308"/>
      <c r="O209" s="3308"/>
      <c r="P209" s="3308"/>
      <c r="Q209" s="3308"/>
      <c r="R209" s="3308"/>
      <c r="S209" s="3308"/>
      <c r="T209" s="3308"/>
      <c r="U209" s="3308"/>
      <c r="V209" s="3308"/>
      <c r="W209" s="3308"/>
      <c r="X209" s="3308"/>
      <c r="Y209" s="3308"/>
      <c r="Z209" s="3308"/>
      <c r="AA209" s="3308"/>
      <c r="AB209" s="3308"/>
      <c r="AC209" s="3298">
        <f t="shared" si="126"/>
        <v>0</v>
      </c>
      <c r="AD209" s="3318"/>
      <c r="AE209" s="3318"/>
      <c r="AF209" s="3318"/>
      <c r="AG209" s="3318"/>
      <c r="AH209" s="3318"/>
      <c r="AI209" s="3318"/>
      <c r="AJ209" s="3318"/>
      <c r="AK209" s="3318"/>
      <c r="AL209" s="3318"/>
      <c r="AM209" s="3318"/>
      <c r="AN209" s="3318"/>
      <c r="AO209" s="3318"/>
      <c r="AP209" s="3318"/>
      <c r="AQ209" s="3318"/>
      <c r="AR209" s="3318"/>
      <c r="AS209" s="3318"/>
      <c r="AT209" s="3328"/>
      <c r="AU209" s="3329"/>
      <c r="AV209" s="963">
        <f t="shared" si="127"/>
        <v>0</v>
      </c>
      <c r="AW209" s="963">
        <f t="shared" si="128"/>
        <v>0</v>
      </c>
      <c r="AX209" s="963">
        <f t="shared" si="129"/>
        <v>0</v>
      </c>
      <c r="AY209" s="3343">
        <f t="shared" si="130"/>
        <v>0</v>
      </c>
      <c r="AZ209" s="3298">
        <f t="shared" si="131"/>
        <v>0</v>
      </c>
      <c r="BA209" s="3298">
        <f t="shared" si="132"/>
        <v>0</v>
      </c>
      <c r="BB209" s="3298">
        <f t="shared" si="133"/>
        <v>0</v>
      </c>
      <c r="BC209" s="3298">
        <f t="shared" si="134"/>
        <v>0</v>
      </c>
      <c r="BD209" s="3298">
        <f t="shared" si="135"/>
        <v>0</v>
      </c>
      <c r="BE209" s="3298">
        <f t="shared" si="136"/>
        <v>0</v>
      </c>
      <c r="BF209" s="3298">
        <f t="shared" si="137"/>
        <v>0</v>
      </c>
      <c r="BG209" s="3298">
        <f t="shared" si="138"/>
        <v>0</v>
      </c>
      <c r="BH209" s="3298">
        <f t="shared" si="139"/>
        <v>0</v>
      </c>
      <c r="BI209" s="3298">
        <f t="shared" si="140"/>
        <v>0</v>
      </c>
      <c r="BJ209" s="3298">
        <f t="shared" si="141"/>
        <v>0</v>
      </c>
      <c r="BK209" s="3298">
        <f t="shared" si="142"/>
        <v>0</v>
      </c>
      <c r="BL209" s="3298">
        <f t="shared" si="143"/>
        <v>0</v>
      </c>
      <c r="BM209" s="3298">
        <f t="shared" si="144"/>
        <v>0</v>
      </c>
      <c r="BN209" s="3298">
        <f t="shared" si="145"/>
        <v>0</v>
      </c>
      <c r="BO209" s="3298">
        <f t="shared" si="146"/>
        <v>0</v>
      </c>
      <c r="BP209" s="3298">
        <f t="shared" si="147"/>
        <v>0</v>
      </c>
      <c r="BQ209" s="3298">
        <f t="shared" si="148"/>
        <v>0</v>
      </c>
      <c r="BR209" s="3298">
        <f t="shared" si="149"/>
        <v>0</v>
      </c>
      <c r="BS209" s="3298">
        <f t="shared" si="150"/>
        <v>0</v>
      </c>
      <c r="BT209" s="3350">
        <f t="shared" si="151"/>
        <v>0</v>
      </c>
    </row>
    <row r="210" spans="1:72">
      <c r="A210" s="1407"/>
      <c r="B210" s="3296"/>
      <c r="C210" s="3296"/>
      <c r="D210" s="3297"/>
      <c r="E210" s="3298">
        <f t="shared" si="123"/>
        <v>0</v>
      </c>
      <c r="F210" s="3299"/>
      <c r="G210" s="3300">
        <f t="shared" si="124"/>
        <v>0</v>
      </c>
      <c r="H210" s="3301">
        <f t="shared" si="125"/>
        <v>0</v>
      </c>
      <c r="I210" s="3308"/>
      <c r="J210" s="3308"/>
      <c r="K210" s="3308"/>
      <c r="L210" s="3308"/>
      <c r="M210" s="3308"/>
      <c r="N210" s="3308"/>
      <c r="O210" s="3308"/>
      <c r="P210" s="3308"/>
      <c r="Q210" s="3308"/>
      <c r="R210" s="3308"/>
      <c r="S210" s="3308"/>
      <c r="T210" s="3308"/>
      <c r="U210" s="3308"/>
      <c r="V210" s="3308"/>
      <c r="W210" s="3308"/>
      <c r="X210" s="3308"/>
      <c r="Y210" s="3308"/>
      <c r="Z210" s="3308"/>
      <c r="AA210" s="3308"/>
      <c r="AB210" s="3308"/>
      <c r="AC210" s="3298">
        <f t="shared" si="126"/>
        <v>0</v>
      </c>
      <c r="AD210" s="3318"/>
      <c r="AE210" s="3318"/>
      <c r="AF210" s="3318"/>
      <c r="AG210" s="3318"/>
      <c r="AH210" s="3318"/>
      <c r="AI210" s="3318"/>
      <c r="AJ210" s="3318"/>
      <c r="AK210" s="3318"/>
      <c r="AL210" s="3318"/>
      <c r="AM210" s="3318"/>
      <c r="AN210" s="3318"/>
      <c r="AO210" s="3318"/>
      <c r="AP210" s="3318"/>
      <c r="AQ210" s="3318"/>
      <c r="AR210" s="3318"/>
      <c r="AS210" s="3318"/>
      <c r="AT210" s="3328"/>
      <c r="AU210" s="3329"/>
      <c r="AV210" s="963">
        <f t="shared" si="127"/>
        <v>0</v>
      </c>
      <c r="AW210" s="963">
        <f t="shared" si="128"/>
        <v>0</v>
      </c>
      <c r="AX210" s="963">
        <f t="shared" si="129"/>
        <v>0</v>
      </c>
      <c r="AY210" s="3343">
        <f t="shared" si="130"/>
        <v>0</v>
      </c>
      <c r="AZ210" s="3298">
        <f t="shared" si="131"/>
        <v>0</v>
      </c>
      <c r="BA210" s="3298">
        <f t="shared" si="132"/>
        <v>0</v>
      </c>
      <c r="BB210" s="3298">
        <f t="shared" si="133"/>
        <v>0</v>
      </c>
      <c r="BC210" s="3298">
        <f t="shared" si="134"/>
        <v>0</v>
      </c>
      <c r="BD210" s="3298">
        <f t="shared" si="135"/>
        <v>0</v>
      </c>
      <c r="BE210" s="3298">
        <f t="shared" si="136"/>
        <v>0</v>
      </c>
      <c r="BF210" s="3298">
        <f t="shared" si="137"/>
        <v>0</v>
      </c>
      <c r="BG210" s="3298">
        <f t="shared" si="138"/>
        <v>0</v>
      </c>
      <c r="BH210" s="3298">
        <f t="shared" si="139"/>
        <v>0</v>
      </c>
      <c r="BI210" s="3298">
        <f t="shared" si="140"/>
        <v>0</v>
      </c>
      <c r="BJ210" s="3298">
        <f t="shared" si="141"/>
        <v>0</v>
      </c>
      <c r="BK210" s="3298">
        <f t="shared" si="142"/>
        <v>0</v>
      </c>
      <c r="BL210" s="3298">
        <f t="shared" si="143"/>
        <v>0</v>
      </c>
      <c r="BM210" s="3298">
        <f t="shared" si="144"/>
        <v>0</v>
      </c>
      <c r="BN210" s="3298">
        <f t="shared" si="145"/>
        <v>0</v>
      </c>
      <c r="BO210" s="3298">
        <f t="shared" si="146"/>
        <v>0</v>
      </c>
      <c r="BP210" s="3298">
        <f t="shared" si="147"/>
        <v>0</v>
      </c>
      <c r="BQ210" s="3298">
        <f t="shared" si="148"/>
        <v>0</v>
      </c>
      <c r="BR210" s="3298">
        <f t="shared" si="149"/>
        <v>0</v>
      </c>
      <c r="BS210" s="3298">
        <f t="shared" si="150"/>
        <v>0</v>
      </c>
      <c r="BT210" s="3350">
        <f t="shared" si="151"/>
        <v>0</v>
      </c>
    </row>
    <row r="211" spans="1:72">
      <c r="A211" s="1407"/>
      <c r="B211" s="3296"/>
      <c r="C211" s="3296"/>
      <c r="D211" s="3297"/>
      <c r="E211" s="3298">
        <f t="shared" si="123"/>
        <v>0</v>
      </c>
      <c r="F211" s="3299"/>
      <c r="G211" s="3300">
        <f t="shared" si="124"/>
        <v>0</v>
      </c>
      <c r="H211" s="3301">
        <f t="shared" si="125"/>
        <v>0</v>
      </c>
      <c r="I211" s="3308"/>
      <c r="J211" s="3308"/>
      <c r="K211" s="3308"/>
      <c r="L211" s="3308"/>
      <c r="M211" s="3308"/>
      <c r="N211" s="3308"/>
      <c r="O211" s="3308"/>
      <c r="P211" s="3308"/>
      <c r="Q211" s="3308"/>
      <c r="R211" s="3308"/>
      <c r="S211" s="3308"/>
      <c r="T211" s="3308"/>
      <c r="U211" s="3308"/>
      <c r="V211" s="3308"/>
      <c r="W211" s="3308"/>
      <c r="X211" s="3308"/>
      <c r="Y211" s="3308"/>
      <c r="Z211" s="3308"/>
      <c r="AA211" s="3308"/>
      <c r="AB211" s="3308"/>
      <c r="AC211" s="3298">
        <f t="shared" si="126"/>
        <v>0</v>
      </c>
      <c r="AD211" s="3318"/>
      <c r="AE211" s="3318"/>
      <c r="AF211" s="3318"/>
      <c r="AG211" s="3318"/>
      <c r="AH211" s="3318"/>
      <c r="AI211" s="3318"/>
      <c r="AJ211" s="3318"/>
      <c r="AK211" s="3318"/>
      <c r="AL211" s="3318"/>
      <c r="AM211" s="3318"/>
      <c r="AN211" s="3318"/>
      <c r="AO211" s="3318"/>
      <c r="AP211" s="3318"/>
      <c r="AQ211" s="3318"/>
      <c r="AR211" s="3318"/>
      <c r="AS211" s="3318"/>
      <c r="AT211" s="3328"/>
      <c r="AU211" s="3329"/>
      <c r="AV211" s="963">
        <f t="shared" si="127"/>
        <v>0</v>
      </c>
      <c r="AW211" s="963">
        <f t="shared" si="128"/>
        <v>0</v>
      </c>
      <c r="AX211" s="963">
        <f t="shared" si="129"/>
        <v>0</v>
      </c>
      <c r="AY211" s="3343">
        <f t="shared" si="130"/>
        <v>0</v>
      </c>
      <c r="AZ211" s="3298">
        <f t="shared" si="131"/>
        <v>0</v>
      </c>
      <c r="BA211" s="3298">
        <f t="shared" si="132"/>
        <v>0</v>
      </c>
      <c r="BB211" s="3298">
        <f t="shared" si="133"/>
        <v>0</v>
      </c>
      <c r="BC211" s="3298">
        <f t="shared" si="134"/>
        <v>0</v>
      </c>
      <c r="BD211" s="3298">
        <f t="shared" si="135"/>
        <v>0</v>
      </c>
      <c r="BE211" s="3298">
        <f t="shared" si="136"/>
        <v>0</v>
      </c>
      <c r="BF211" s="3298">
        <f t="shared" si="137"/>
        <v>0</v>
      </c>
      <c r="BG211" s="3298">
        <f t="shared" si="138"/>
        <v>0</v>
      </c>
      <c r="BH211" s="3298">
        <f t="shared" si="139"/>
        <v>0</v>
      </c>
      <c r="BI211" s="3298">
        <f t="shared" si="140"/>
        <v>0</v>
      </c>
      <c r="BJ211" s="3298">
        <f t="shared" si="141"/>
        <v>0</v>
      </c>
      <c r="BK211" s="3298">
        <f t="shared" si="142"/>
        <v>0</v>
      </c>
      <c r="BL211" s="3298">
        <f t="shared" si="143"/>
        <v>0</v>
      </c>
      <c r="BM211" s="3298">
        <f t="shared" si="144"/>
        <v>0</v>
      </c>
      <c r="BN211" s="3298">
        <f t="shared" si="145"/>
        <v>0</v>
      </c>
      <c r="BO211" s="3298">
        <f t="shared" si="146"/>
        <v>0</v>
      </c>
      <c r="BP211" s="3298">
        <f t="shared" si="147"/>
        <v>0</v>
      </c>
      <c r="BQ211" s="3298">
        <f t="shared" si="148"/>
        <v>0</v>
      </c>
      <c r="BR211" s="3298">
        <f t="shared" si="149"/>
        <v>0</v>
      </c>
      <c r="BS211" s="3298">
        <f t="shared" si="150"/>
        <v>0</v>
      </c>
      <c r="BT211" s="3350">
        <f t="shared" si="151"/>
        <v>0</v>
      </c>
    </row>
    <row r="212" spans="1:72">
      <c r="A212" s="1407"/>
      <c r="B212" s="3296"/>
      <c r="C212" s="3296"/>
      <c r="D212" s="3297"/>
      <c r="E212" s="3298">
        <f t="shared" si="123"/>
        <v>0</v>
      </c>
      <c r="F212" s="3299"/>
      <c r="G212" s="3300">
        <f t="shared" si="124"/>
        <v>0</v>
      </c>
      <c r="H212" s="3301">
        <f t="shared" si="125"/>
        <v>0</v>
      </c>
      <c r="I212" s="3308"/>
      <c r="J212" s="3308"/>
      <c r="K212" s="3308"/>
      <c r="L212" s="3308"/>
      <c r="M212" s="3308"/>
      <c r="N212" s="3308"/>
      <c r="O212" s="3308"/>
      <c r="P212" s="3308"/>
      <c r="Q212" s="3308"/>
      <c r="R212" s="3308"/>
      <c r="S212" s="3308"/>
      <c r="T212" s="3308"/>
      <c r="U212" s="3308"/>
      <c r="V212" s="3308"/>
      <c r="W212" s="3308"/>
      <c r="X212" s="3308"/>
      <c r="Y212" s="3308"/>
      <c r="Z212" s="3308"/>
      <c r="AA212" s="3308"/>
      <c r="AB212" s="3308"/>
      <c r="AC212" s="3298">
        <f t="shared" si="126"/>
        <v>0</v>
      </c>
      <c r="AD212" s="3318"/>
      <c r="AE212" s="3318"/>
      <c r="AF212" s="3318"/>
      <c r="AG212" s="3318"/>
      <c r="AH212" s="3318"/>
      <c r="AI212" s="3318"/>
      <c r="AJ212" s="3318"/>
      <c r="AK212" s="3318"/>
      <c r="AL212" s="3318"/>
      <c r="AM212" s="3318"/>
      <c r="AN212" s="3318"/>
      <c r="AO212" s="3318"/>
      <c r="AP212" s="3318"/>
      <c r="AQ212" s="3318"/>
      <c r="AR212" s="3318"/>
      <c r="AS212" s="3318"/>
      <c r="AT212" s="3328"/>
      <c r="AU212" s="3329"/>
      <c r="AV212" s="963">
        <f t="shared" si="127"/>
        <v>0</v>
      </c>
      <c r="AW212" s="963">
        <f t="shared" si="128"/>
        <v>0</v>
      </c>
      <c r="AX212" s="963">
        <f t="shared" si="129"/>
        <v>0</v>
      </c>
      <c r="AY212" s="3343">
        <f t="shared" si="130"/>
        <v>0</v>
      </c>
      <c r="AZ212" s="3298">
        <f t="shared" si="131"/>
        <v>0</v>
      </c>
      <c r="BA212" s="3298">
        <f t="shared" si="132"/>
        <v>0</v>
      </c>
      <c r="BB212" s="3298">
        <f t="shared" si="133"/>
        <v>0</v>
      </c>
      <c r="BC212" s="3298">
        <f t="shared" si="134"/>
        <v>0</v>
      </c>
      <c r="BD212" s="3298">
        <f t="shared" si="135"/>
        <v>0</v>
      </c>
      <c r="BE212" s="3298">
        <f t="shared" si="136"/>
        <v>0</v>
      </c>
      <c r="BF212" s="3298">
        <f t="shared" si="137"/>
        <v>0</v>
      </c>
      <c r="BG212" s="3298">
        <f t="shared" si="138"/>
        <v>0</v>
      </c>
      <c r="BH212" s="3298">
        <f t="shared" si="139"/>
        <v>0</v>
      </c>
      <c r="BI212" s="3298">
        <f t="shared" si="140"/>
        <v>0</v>
      </c>
      <c r="BJ212" s="3298">
        <f t="shared" si="141"/>
        <v>0</v>
      </c>
      <c r="BK212" s="3298">
        <f t="shared" si="142"/>
        <v>0</v>
      </c>
      <c r="BL212" s="3298">
        <f t="shared" si="143"/>
        <v>0</v>
      </c>
      <c r="BM212" s="3298">
        <f t="shared" si="144"/>
        <v>0</v>
      </c>
      <c r="BN212" s="3298">
        <f t="shared" si="145"/>
        <v>0</v>
      </c>
      <c r="BO212" s="3298">
        <f t="shared" si="146"/>
        <v>0</v>
      </c>
      <c r="BP212" s="3298">
        <f t="shared" si="147"/>
        <v>0</v>
      </c>
      <c r="BQ212" s="3298">
        <f t="shared" si="148"/>
        <v>0</v>
      </c>
      <c r="BR212" s="3298">
        <f t="shared" si="149"/>
        <v>0</v>
      </c>
      <c r="BS212" s="3298">
        <f t="shared" si="150"/>
        <v>0</v>
      </c>
      <c r="BT212" s="3350">
        <f t="shared" si="151"/>
        <v>0</v>
      </c>
    </row>
    <row r="213" spans="1:72">
      <c r="A213" s="1407"/>
      <c r="B213" s="3296"/>
      <c r="C213" s="3296"/>
      <c r="D213" s="3297"/>
      <c r="E213" s="3298">
        <f t="shared" si="123"/>
        <v>0</v>
      </c>
      <c r="F213" s="3299"/>
      <c r="G213" s="3300">
        <f t="shared" si="124"/>
        <v>0</v>
      </c>
      <c r="H213" s="3301">
        <f t="shared" si="125"/>
        <v>0</v>
      </c>
      <c r="I213" s="3308"/>
      <c r="J213" s="3308"/>
      <c r="K213" s="3308"/>
      <c r="L213" s="3308"/>
      <c r="M213" s="3308"/>
      <c r="N213" s="3308"/>
      <c r="O213" s="3308"/>
      <c r="P213" s="3308"/>
      <c r="Q213" s="3308"/>
      <c r="R213" s="3308"/>
      <c r="S213" s="3308"/>
      <c r="T213" s="3308"/>
      <c r="U213" s="3308"/>
      <c r="V213" s="3308"/>
      <c r="W213" s="3308"/>
      <c r="X213" s="3308"/>
      <c r="Y213" s="3308"/>
      <c r="Z213" s="3308"/>
      <c r="AA213" s="3308"/>
      <c r="AB213" s="3308"/>
      <c r="AC213" s="3298">
        <f t="shared" si="126"/>
        <v>0</v>
      </c>
      <c r="AD213" s="3318"/>
      <c r="AE213" s="3318"/>
      <c r="AF213" s="3318"/>
      <c r="AG213" s="3318"/>
      <c r="AH213" s="3318"/>
      <c r="AI213" s="3318"/>
      <c r="AJ213" s="3318"/>
      <c r="AK213" s="3318"/>
      <c r="AL213" s="3318"/>
      <c r="AM213" s="3318"/>
      <c r="AN213" s="3318"/>
      <c r="AO213" s="3318"/>
      <c r="AP213" s="3318"/>
      <c r="AQ213" s="3318"/>
      <c r="AR213" s="3318"/>
      <c r="AS213" s="3318"/>
      <c r="AT213" s="3328"/>
      <c r="AU213" s="3329"/>
      <c r="AV213" s="963">
        <f t="shared" si="127"/>
        <v>0</v>
      </c>
      <c r="AW213" s="963">
        <f t="shared" si="128"/>
        <v>0</v>
      </c>
      <c r="AX213" s="963">
        <f t="shared" si="129"/>
        <v>0</v>
      </c>
      <c r="AY213" s="3343">
        <f t="shared" si="130"/>
        <v>0</v>
      </c>
      <c r="AZ213" s="3298">
        <f t="shared" si="131"/>
        <v>0</v>
      </c>
      <c r="BA213" s="3298">
        <f t="shared" si="132"/>
        <v>0</v>
      </c>
      <c r="BB213" s="3298">
        <f t="shared" si="133"/>
        <v>0</v>
      </c>
      <c r="BC213" s="3298">
        <f t="shared" si="134"/>
        <v>0</v>
      </c>
      <c r="BD213" s="3298">
        <f t="shared" si="135"/>
        <v>0</v>
      </c>
      <c r="BE213" s="3298">
        <f t="shared" si="136"/>
        <v>0</v>
      </c>
      <c r="BF213" s="3298">
        <f t="shared" si="137"/>
        <v>0</v>
      </c>
      <c r="BG213" s="3298">
        <f t="shared" si="138"/>
        <v>0</v>
      </c>
      <c r="BH213" s="3298">
        <f t="shared" si="139"/>
        <v>0</v>
      </c>
      <c r="BI213" s="3298">
        <f t="shared" si="140"/>
        <v>0</v>
      </c>
      <c r="BJ213" s="3298">
        <f t="shared" si="141"/>
        <v>0</v>
      </c>
      <c r="BK213" s="3298">
        <f t="shared" si="142"/>
        <v>0</v>
      </c>
      <c r="BL213" s="3298">
        <f t="shared" si="143"/>
        <v>0</v>
      </c>
      <c r="BM213" s="3298">
        <f t="shared" si="144"/>
        <v>0</v>
      </c>
      <c r="BN213" s="3298">
        <f t="shared" si="145"/>
        <v>0</v>
      </c>
      <c r="BO213" s="3298">
        <f t="shared" si="146"/>
        <v>0</v>
      </c>
      <c r="BP213" s="3298">
        <f t="shared" si="147"/>
        <v>0</v>
      </c>
      <c r="BQ213" s="3298">
        <f t="shared" si="148"/>
        <v>0</v>
      </c>
      <c r="BR213" s="3298">
        <f t="shared" si="149"/>
        <v>0</v>
      </c>
      <c r="BS213" s="3298">
        <f t="shared" si="150"/>
        <v>0</v>
      </c>
      <c r="BT213" s="3350">
        <f t="shared" si="151"/>
        <v>0</v>
      </c>
    </row>
    <row r="214" spans="1:72">
      <c r="A214" s="1407"/>
      <c r="B214" s="3296"/>
      <c r="C214" s="3296"/>
      <c r="D214" s="3297"/>
      <c r="E214" s="3298">
        <f t="shared" si="123"/>
        <v>0</v>
      </c>
      <c r="F214" s="3299"/>
      <c r="G214" s="3300">
        <f t="shared" si="124"/>
        <v>0</v>
      </c>
      <c r="H214" s="3301">
        <f t="shared" si="125"/>
        <v>0</v>
      </c>
      <c r="I214" s="3308"/>
      <c r="J214" s="3308"/>
      <c r="K214" s="3308"/>
      <c r="L214" s="3308"/>
      <c r="M214" s="3308"/>
      <c r="N214" s="3308"/>
      <c r="O214" s="3308"/>
      <c r="P214" s="3308"/>
      <c r="Q214" s="3308"/>
      <c r="R214" s="3308"/>
      <c r="S214" s="3308"/>
      <c r="T214" s="3308"/>
      <c r="U214" s="3308"/>
      <c r="V214" s="3308"/>
      <c r="W214" s="3308"/>
      <c r="X214" s="3308"/>
      <c r="Y214" s="3308"/>
      <c r="Z214" s="3308"/>
      <c r="AA214" s="3308"/>
      <c r="AB214" s="3308"/>
      <c r="AC214" s="3298">
        <f t="shared" si="126"/>
        <v>0</v>
      </c>
      <c r="AD214" s="3318"/>
      <c r="AE214" s="3318"/>
      <c r="AF214" s="3318"/>
      <c r="AG214" s="3318"/>
      <c r="AH214" s="3318"/>
      <c r="AI214" s="3318"/>
      <c r="AJ214" s="3318"/>
      <c r="AK214" s="3318"/>
      <c r="AL214" s="3318"/>
      <c r="AM214" s="3318"/>
      <c r="AN214" s="3318"/>
      <c r="AO214" s="3318"/>
      <c r="AP214" s="3318"/>
      <c r="AQ214" s="3318"/>
      <c r="AR214" s="3318"/>
      <c r="AS214" s="3318"/>
      <c r="AT214" s="3328"/>
      <c r="AU214" s="3329"/>
      <c r="AV214" s="963">
        <f t="shared" si="127"/>
        <v>0</v>
      </c>
      <c r="AW214" s="963">
        <f t="shared" si="128"/>
        <v>0</v>
      </c>
      <c r="AX214" s="963">
        <f t="shared" si="129"/>
        <v>0</v>
      </c>
      <c r="AY214" s="3343">
        <f t="shared" si="130"/>
        <v>0</v>
      </c>
      <c r="AZ214" s="3298">
        <f t="shared" si="131"/>
        <v>0</v>
      </c>
      <c r="BA214" s="3298">
        <f t="shared" si="132"/>
        <v>0</v>
      </c>
      <c r="BB214" s="3298">
        <f t="shared" si="133"/>
        <v>0</v>
      </c>
      <c r="BC214" s="3298">
        <f t="shared" si="134"/>
        <v>0</v>
      </c>
      <c r="BD214" s="3298">
        <f t="shared" si="135"/>
        <v>0</v>
      </c>
      <c r="BE214" s="3298">
        <f t="shared" si="136"/>
        <v>0</v>
      </c>
      <c r="BF214" s="3298">
        <f t="shared" si="137"/>
        <v>0</v>
      </c>
      <c r="BG214" s="3298">
        <f t="shared" si="138"/>
        <v>0</v>
      </c>
      <c r="BH214" s="3298">
        <f t="shared" si="139"/>
        <v>0</v>
      </c>
      <c r="BI214" s="3298">
        <f t="shared" si="140"/>
        <v>0</v>
      </c>
      <c r="BJ214" s="3298">
        <f t="shared" si="141"/>
        <v>0</v>
      </c>
      <c r="BK214" s="3298">
        <f t="shared" si="142"/>
        <v>0</v>
      </c>
      <c r="BL214" s="3298">
        <f t="shared" si="143"/>
        <v>0</v>
      </c>
      <c r="BM214" s="3298">
        <f t="shared" si="144"/>
        <v>0</v>
      </c>
      <c r="BN214" s="3298">
        <f t="shared" si="145"/>
        <v>0</v>
      </c>
      <c r="BO214" s="3298">
        <f t="shared" si="146"/>
        <v>0</v>
      </c>
      <c r="BP214" s="3298">
        <f t="shared" si="147"/>
        <v>0</v>
      </c>
      <c r="BQ214" s="3298">
        <f t="shared" si="148"/>
        <v>0</v>
      </c>
      <c r="BR214" s="3298">
        <f t="shared" si="149"/>
        <v>0</v>
      </c>
      <c r="BS214" s="3298">
        <f t="shared" si="150"/>
        <v>0</v>
      </c>
      <c r="BT214" s="3350">
        <f t="shared" si="151"/>
        <v>0</v>
      </c>
    </row>
    <row r="215" spans="1:72">
      <c r="A215" s="1407"/>
      <c r="B215" s="3296"/>
      <c r="C215" s="3296"/>
      <c r="D215" s="3297"/>
      <c r="E215" s="3298">
        <f t="shared" si="123"/>
        <v>0</v>
      </c>
      <c r="F215" s="3299"/>
      <c r="G215" s="3300">
        <f t="shared" si="124"/>
        <v>0</v>
      </c>
      <c r="H215" s="3301">
        <f t="shared" si="125"/>
        <v>0</v>
      </c>
      <c r="I215" s="3308"/>
      <c r="J215" s="3308"/>
      <c r="K215" s="3308"/>
      <c r="L215" s="3308"/>
      <c r="M215" s="3308"/>
      <c r="N215" s="3308"/>
      <c r="O215" s="3308"/>
      <c r="P215" s="3308"/>
      <c r="Q215" s="3308"/>
      <c r="R215" s="3308"/>
      <c r="S215" s="3308"/>
      <c r="T215" s="3308"/>
      <c r="U215" s="3308"/>
      <c r="V215" s="3308"/>
      <c r="W215" s="3308"/>
      <c r="X215" s="3308"/>
      <c r="Y215" s="3308"/>
      <c r="Z215" s="3308"/>
      <c r="AA215" s="3308"/>
      <c r="AB215" s="3308"/>
      <c r="AC215" s="3298">
        <f t="shared" si="126"/>
        <v>0</v>
      </c>
      <c r="AD215" s="3318"/>
      <c r="AE215" s="3318"/>
      <c r="AF215" s="3318"/>
      <c r="AG215" s="3318"/>
      <c r="AH215" s="3318"/>
      <c r="AI215" s="3318"/>
      <c r="AJ215" s="3318"/>
      <c r="AK215" s="3318"/>
      <c r="AL215" s="3318"/>
      <c r="AM215" s="3318"/>
      <c r="AN215" s="3318"/>
      <c r="AO215" s="3318"/>
      <c r="AP215" s="3318"/>
      <c r="AQ215" s="3318"/>
      <c r="AR215" s="3318"/>
      <c r="AS215" s="3318"/>
      <c r="AT215" s="3328"/>
      <c r="AU215" s="3329"/>
      <c r="AV215" s="963">
        <f t="shared" si="127"/>
        <v>0</v>
      </c>
      <c r="AW215" s="963">
        <f t="shared" si="128"/>
        <v>0</v>
      </c>
      <c r="AX215" s="963">
        <f t="shared" si="129"/>
        <v>0</v>
      </c>
      <c r="AY215" s="3343">
        <f t="shared" si="130"/>
        <v>0</v>
      </c>
      <c r="AZ215" s="3298">
        <f t="shared" si="131"/>
        <v>0</v>
      </c>
      <c r="BA215" s="3298">
        <f t="shared" si="132"/>
        <v>0</v>
      </c>
      <c r="BB215" s="3298">
        <f t="shared" si="133"/>
        <v>0</v>
      </c>
      <c r="BC215" s="3298">
        <f t="shared" si="134"/>
        <v>0</v>
      </c>
      <c r="BD215" s="3298">
        <f t="shared" si="135"/>
        <v>0</v>
      </c>
      <c r="BE215" s="3298">
        <f t="shared" si="136"/>
        <v>0</v>
      </c>
      <c r="BF215" s="3298">
        <f t="shared" si="137"/>
        <v>0</v>
      </c>
      <c r="BG215" s="3298">
        <f t="shared" si="138"/>
        <v>0</v>
      </c>
      <c r="BH215" s="3298">
        <f t="shared" si="139"/>
        <v>0</v>
      </c>
      <c r="BI215" s="3298">
        <f t="shared" si="140"/>
        <v>0</v>
      </c>
      <c r="BJ215" s="3298">
        <f t="shared" si="141"/>
        <v>0</v>
      </c>
      <c r="BK215" s="3298">
        <f t="shared" si="142"/>
        <v>0</v>
      </c>
      <c r="BL215" s="3298">
        <f t="shared" si="143"/>
        <v>0</v>
      </c>
      <c r="BM215" s="3298">
        <f t="shared" si="144"/>
        <v>0</v>
      </c>
      <c r="BN215" s="3298">
        <f t="shared" si="145"/>
        <v>0</v>
      </c>
      <c r="BO215" s="3298">
        <f t="shared" si="146"/>
        <v>0</v>
      </c>
      <c r="BP215" s="3298">
        <f t="shared" si="147"/>
        <v>0</v>
      </c>
      <c r="BQ215" s="3298">
        <f t="shared" si="148"/>
        <v>0</v>
      </c>
      <c r="BR215" s="3298">
        <f t="shared" si="149"/>
        <v>0</v>
      </c>
      <c r="BS215" s="3298">
        <f t="shared" si="150"/>
        <v>0</v>
      </c>
      <c r="BT215" s="3350">
        <f t="shared" si="151"/>
        <v>0</v>
      </c>
    </row>
    <row r="216" spans="1:72">
      <c r="A216" s="1407"/>
      <c r="B216" s="3296"/>
      <c r="C216" s="3296"/>
      <c r="D216" s="3297"/>
      <c r="E216" s="3298">
        <f t="shared" si="123"/>
        <v>0</v>
      </c>
      <c r="F216" s="3299"/>
      <c r="G216" s="3300">
        <f t="shared" si="124"/>
        <v>0</v>
      </c>
      <c r="H216" s="3301">
        <f t="shared" si="125"/>
        <v>0</v>
      </c>
      <c r="I216" s="3308"/>
      <c r="J216" s="3308"/>
      <c r="K216" s="3308"/>
      <c r="L216" s="3308"/>
      <c r="M216" s="3308"/>
      <c r="N216" s="3308"/>
      <c r="O216" s="3308"/>
      <c r="P216" s="3308"/>
      <c r="Q216" s="3308"/>
      <c r="R216" s="3308"/>
      <c r="S216" s="3308"/>
      <c r="T216" s="3308"/>
      <c r="U216" s="3308"/>
      <c r="V216" s="3308"/>
      <c r="W216" s="3308"/>
      <c r="X216" s="3308"/>
      <c r="Y216" s="3308"/>
      <c r="Z216" s="3308"/>
      <c r="AA216" s="3308"/>
      <c r="AB216" s="3308"/>
      <c r="AC216" s="3298">
        <f t="shared" si="126"/>
        <v>0</v>
      </c>
      <c r="AD216" s="3318"/>
      <c r="AE216" s="3318"/>
      <c r="AF216" s="3318"/>
      <c r="AG216" s="3318"/>
      <c r="AH216" s="3318"/>
      <c r="AI216" s="3318"/>
      <c r="AJ216" s="3318"/>
      <c r="AK216" s="3318"/>
      <c r="AL216" s="3318"/>
      <c r="AM216" s="3318"/>
      <c r="AN216" s="3318"/>
      <c r="AO216" s="3318"/>
      <c r="AP216" s="3318"/>
      <c r="AQ216" s="3318"/>
      <c r="AR216" s="3318"/>
      <c r="AS216" s="3318"/>
      <c r="AT216" s="3328"/>
      <c r="AU216" s="3329"/>
      <c r="AV216" s="963">
        <f t="shared" si="127"/>
        <v>0</v>
      </c>
      <c r="AW216" s="963">
        <f t="shared" si="128"/>
        <v>0</v>
      </c>
      <c r="AX216" s="963">
        <f t="shared" si="129"/>
        <v>0</v>
      </c>
      <c r="AY216" s="3343">
        <f t="shared" si="130"/>
        <v>0</v>
      </c>
      <c r="AZ216" s="3298">
        <f t="shared" si="131"/>
        <v>0</v>
      </c>
      <c r="BA216" s="3298">
        <f t="shared" si="132"/>
        <v>0</v>
      </c>
      <c r="BB216" s="3298">
        <f t="shared" si="133"/>
        <v>0</v>
      </c>
      <c r="BC216" s="3298">
        <f t="shared" si="134"/>
        <v>0</v>
      </c>
      <c r="BD216" s="3298">
        <f t="shared" si="135"/>
        <v>0</v>
      </c>
      <c r="BE216" s="3298">
        <f t="shared" si="136"/>
        <v>0</v>
      </c>
      <c r="BF216" s="3298">
        <f t="shared" si="137"/>
        <v>0</v>
      </c>
      <c r="BG216" s="3298">
        <f t="shared" si="138"/>
        <v>0</v>
      </c>
      <c r="BH216" s="3298">
        <f t="shared" si="139"/>
        <v>0</v>
      </c>
      <c r="BI216" s="3298">
        <f t="shared" si="140"/>
        <v>0</v>
      </c>
      <c r="BJ216" s="3298">
        <f t="shared" si="141"/>
        <v>0</v>
      </c>
      <c r="BK216" s="3298">
        <f t="shared" si="142"/>
        <v>0</v>
      </c>
      <c r="BL216" s="3298">
        <f t="shared" si="143"/>
        <v>0</v>
      </c>
      <c r="BM216" s="3298">
        <f t="shared" si="144"/>
        <v>0</v>
      </c>
      <c r="BN216" s="3298">
        <f t="shared" si="145"/>
        <v>0</v>
      </c>
      <c r="BO216" s="3298">
        <f t="shared" si="146"/>
        <v>0</v>
      </c>
      <c r="BP216" s="3298">
        <f t="shared" si="147"/>
        <v>0</v>
      </c>
      <c r="BQ216" s="3298">
        <f t="shared" si="148"/>
        <v>0</v>
      </c>
      <c r="BR216" s="3298">
        <f t="shared" si="149"/>
        <v>0</v>
      </c>
      <c r="BS216" s="3298">
        <f t="shared" si="150"/>
        <v>0</v>
      </c>
      <c r="BT216" s="3350">
        <f t="shared" si="151"/>
        <v>0</v>
      </c>
    </row>
    <row r="217" spans="1:72">
      <c r="A217" s="1407"/>
      <c r="B217" s="3296"/>
      <c r="C217" s="3296"/>
      <c r="D217" s="3297"/>
      <c r="E217" s="3298">
        <f t="shared" si="123"/>
        <v>0</v>
      </c>
      <c r="F217" s="3299"/>
      <c r="G217" s="3300">
        <f t="shared" si="124"/>
        <v>0</v>
      </c>
      <c r="H217" s="3301">
        <f t="shared" si="125"/>
        <v>0</v>
      </c>
      <c r="I217" s="3308"/>
      <c r="J217" s="3308"/>
      <c r="K217" s="3308"/>
      <c r="L217" s="3308"/>
      <c r="M217" s="3308"/>
      <c r="N217" s="3308"/>
      <c r="O217" s="3308"/>
      <c r="P217" s="3308"/>
      <c r="Q217" s="3308"/>
      <c r="R217" s="3308"/>
      <c r="S217" s="3308"/>
      <c r="T217" s="3308"/>
      <c r="U217" s="3308"/>
      <c r="V217" s="3308"/>
      <c r="W217" s="3308"/>
      <c r="X217" s="3308"/>
      <c r="Y217" s="3308"/>
      <c r="Z217" s="3308"/>
      <c r="AA217" s="3308"/>
      <c r="AB217" s="3308"/>
      <c r="AC217" s="3298">
        <f t="shared" si="126"/>
        <v>0</v>
      </c>
      <c r="AD217" s="3318"/>
      <c r="AE217" s="3318"/>
      <c r="AF217" s="3318"/>
      <c r="AG217" s="3318"/>
      <c r="AH217" s="3318"/>
      <c r="AI217" s="3318"/>
      <c r="AJ217" s="3318"/>
      <c r="AK217" s="3318"/>
      <c r="AL217" s="3318"/>
      <c r="AM217" s="3318"/>
      <c r="AN217" s="3318"/>
      <c r="AO217" s="3318"/>
      <c r="AP217" s="3318"/>
      <c r="AQ217" s="3318"/>
      <c r="AR217" s="3318"/>
      <c r="AS217" s="3318"/>
      <c r="AT217" s="3328"/>
      <c r="AU217" s="3329"/>
      <c r="AV217" s="963">
        <f t="shared" si="127"/>
        <v>0</v>
      </c>
      <c r="AW217" s="963">
        <f t="shared" si="128"/>
        <v>0</v>
      </c>
      <c r="AX217" s="963">
        <f t="shared" si="129"/>
        <v>0</v>
      </c>
      <c r="AY217" s="3343">
        <f t="shared" si="130"/>
        <v>0</v>
      </c>
      <c r="AZ217" s="3298">
        <f t="shared" si="131"/>
        <v>0</v>
      </c>
      <c r="BA217" s="3298">
        <f t="shared" si="132"/>
        <v>0</v>
      </c>
      <c r="BB217" s="3298">
        <f t="shared" si="133"/>
        <v>0</v>
      </c>
      <c r="BC217" s="3298">
        <f t="shared" si="134"/>
        <v>0</v>
      </c>
      <c r="BD217" s="3298">
        <f t="shared" si="135"/>
        <v>0</v>
      </c>
      <c r="BE217" s="3298">
        <f t="shared" si="136"/>
        <v>0</v>
      </c>
      <c r="BF217" s="3298">
        <f t="shared" si="137"/>
        <v>0</v>
      </c>
      <c r="BG217" s="3298">
        <f t="shared" si="138"/>
        <v>0</v>
      </c>
      <c r="BH217" s="3298">
        <f t="shared" si="139"/>
        <v>0</v>
      </c>
      <c r="BI217" s="3298">
        <f t="shared" si="140"/>
        <v>0</v>
      </c>
      <c r="BJ217" s="3298">
        <f t="shared" si="141"/>
        <v>0</v>
      </c>
      <c r="BK217" s="3298">
        <f t="shared" si="142"/>
        <v>0</v>
      </c>
      <c r="BL217" s="3298">
        <f t="shared" si="143"/>
        <v>0</v>
      </c>
      <c r="BM217" s="3298">
        <f t="shared" si="144"/>
        <v>0</v>
      </c>
      <c r="BN217" s="3298">
        <f t="shared" si="145"/>
        <v>0</v>
      </c>
      <c r="BO217" s="3298">
        <f t="shared" si="146"/>
        <v>0</v>
      </c>
      <c r="BP217" s="3298">
        <f t="shared" si="147"/>
        <v>0</v>
      </c>
      <c r="BQ217" s="3298">
        <f t="shared" si="148"/>
        <v>0</v>
      </c>
      <c r="BR217" s="3298">
        <f t="shared" si="149"/>
        <v>0</v>
      </c>
      <c r="BS217" s="3298">
        <f t="shared" si="150"/>
        <v>0</v>
      </c>
      <c r="BT217" s="3350">
        <f t="shared" si="151"/>
        <v>0</v>
      </c>
    </row>
    <row r="218" spans="1:72">
      <c r="A218" s="1407"/>
      <c r="B218" s="3296"/>
      <c r="C218" s="3296"/>
      <c r="D218" s="3297"/>
      <c r="E218" s="3298">
        <f t="shared" si="123"/>
        <v>0</v>
      </c>
      <c r="F218" s="3299"/>
      <c r="G218" s="3300">
        <f t="shared" si="124"/>
        <v>0</v>
      </c>
      <c r="H218" s="3301">
        <f t="shared" si="125"/>
        <v>0</v>
      </c>
      <c r="I218" s="3308"/>
      <c r="J218" s="3308"/>
      <c r="K218" s="3308"/>
      <c r="L218" s="3308"/>
      <c r="M218" s="3308"/>
      <c r="N218" s="3308"/>
      <c r="O218" s="3308"/>
      <c r="P218" s="3308"/>
      <c r="Q218" s="3308"/>
      <c r="R218" s="3308"/>
      <c r="S218" s="3308"/>
      <c r="T218" s="3308"/>
      <c r="U218" s="3308"/>
      <c r="V218" s="3308"/>
      <c r="W218" s="3308"/>
      <c r="X218" s="3308"/>
      <c r="Y218" s="3308"/>
      <c r="Z218" s="3308"/>
      <c r="AA218" s="3308"/>
      <c r="AB218" s="3308"/>
      <c r="AC218" s="3298">
        <f t="shared" si="126"/>
        <v>0</v>
      </c>
      <c r="AD218" s="3318"/>
      <c r="AE218" s="3318"/>
      <c r="AF218" s="3318"/>
      <c r="AG218" s="3318"/>
      <c r="AH218" s="3318"/>
      <c r="AI218" s="3318"/>
      <c r="AJ218" s="3318"/>
      <c r="AK218" s="3318"/>
      <c r="AL218" s="3318"/>
      <c r="AM218" s="3318"/>
      <c r="AN218" s="3318"/>
      <c r="AO218" s="3318"/>
      <c r="AP218" s="3318"/>
      <c r="AQ218" s="3318"/>
      <c r="AR218" s="3318"/>
      <c r="AS218" s="3318"/>
      <c r="AT218" s="3328"/>
      <c r="AU218" s="3329"/>
      <c r="AV218" s="963">
        <f t="shared" si="127"/>
        <v>0</v>
      </c>
      <c r="AW218" s="963">
        <f t="shared" si="128"/>
        <v>0</v>
      </c>
      <c r="AX218" s="963">
        <f t="shared" si="129"/>
        <v>0</v>
      </c>
      <c r="AY218" s="3343">
        <f t="shared" si="130"/>
        <v>0</v>
      </c>
      <c r="AZ218" s="3298">
        <f t="shared" si="131"/>
        <v>0</v>
      </c>
      <c r="BA218" s="3298">
        <f t="shared" si="132"/>
        <v>0</v>
      </c>
      <c r="BB218" s="3298">
        <f t="shared" si="133"/>
        <v>0</v>
      </c>
      <c r="BC218" s="3298">
        <f t="shared" si="134"/>
        <v>0</v>
      </c>
      <c r="BD218" s="3298">
        <f t="shared" si="135"/>
        <v>0</v>
      </c>
      <c r="BE218" s="3298">
        <f t="shared" si="136"/>
        <v>0</v>
      </c>
      <c r="BF218" s="3298">
        <f t="shared" si="137"/>
        <v>0</v>
      </c>
      <c r="BG218" s="3298">
        <f t="shared" si="138"/>
        <v>0</v>
      </c>
      <c r="BH218" s="3298">
        <f t="shared" si="139"/>
        <v>0</v>
      </c>
      <c r="BI218" s="3298">
        <f t="shared" si="140"/>
        <v>0</v>
      </c>
      <c r="BJ218" s="3298">
        <f t="shared" si="141"/>
        <v>0</v>
      </c>
      <c r="BK218" s="3298">
        <f t="shared" si="142"/>
        <v>0</v>
      </c>
      <c r="BL218" s="3298">
        <f t="shared" si="143"/>
        <v>0</v>
      </c>
      <c r="BM218" s="3298">
        <f t="shared" si="144"/>
        <v>0</v>
      </c>
      <c r="BN218" s="3298">
        <f t="shared" si="145"/>
        <v>0</v>
      </c>
      <c r="BO218" s="3298">
        <f t="shared" si="146"/>
        <v>0</v>
      </c>
      <c r="BP218" s="3298">
        <f t="shared" si="147"/>
        <v>0</v>
      </c>
      <c r="BQ218" s="3298">
        <f t="shared" si="148"/>
        <v>0</v>
      </c>
      <c r="BR218" s="3298">
        <f t="shared" si="149"/>
        <v>0</v>
      </c>
      <c r="BS218" s="3298">
        <f t="shared" si="150"/>
        <v>0</v>
      </c>
      <c r="BT218" s="3350">
        <f t="shared" si="151"/>
        <v>0</v>
      </c>
    </row>
    <row r="219" spans="1:72">
      <c r="A219" s="1407"/>
      <c r="B219" s="3296"/>
      <c r="C219" s="3296"/>
      <c r="D219" s="3297"/>
      <c r="E219" s="3298">
        <f t="shared" si="123"/>
        <v>0</v>
      </c>
      <c r="F219" s="3299"/>
      <c r="G219" s="3300">
        <f t="shared" si="124"/>
        <v>0</v>
      </c>
      <c r="H219" s="3301">
        <f t="shared" si="125"/>
        <v>0</v>
      </c>
      <c r="I219" s="3308"/>
      <c r="J219" s="3308"/>
      <c r="K219" s="3308"/>
      <c r="L219" s="3308"/>
      <c r="M219" s="3308"/>
      <c r="N219" s="3308"/>
      <c r="O219" s="3308"/>
      <c r="P219" s="3308"/>
      <c r="Q219" s="3308"/>
      <c r="R219" s="3308"/>
      <c r="S219" s="3308"/>
      <c r="T219" s="3308"/>
      <c r="U219" s="3308"/>
      <c r="V219" s="3308"/>
      <c r="W219" s="3308"/>
      <c r="X219" s="3308"/>
      <c r="Y219" s="3308"/>
      <c r="Z219" s="3308"/>
      <c r="AA219" s="3308"/>
      <c r="AB219" s="3308"/>
      <c r="AC219" s="3298">
        <f t="shared" si="126"/>
        <v>0</v>
      </c>
      <c r="AD219" s="3318"/>
      <c r="AE219" s="3318"/>
      <c r="AF219" s="3318"/>
      <c r="AG219" s="3318"/>
      <c r="AH219" s="3318"/>
      <c r="AI219" s="3318"/>
      <c r="AJ219" s="3318"/>
      <c r="AK219" s="3318"/>
      <c r="AL219" s="3318"/>
      <c r="AM219" s="3318"/>
      <c r="AN219" s="3318"/>
      <c r="AO219" s="3318"/>
      <c r="AP219" s="3318"/>
      <c r="AQ219" s="3318"/>
      <c r="AR219" s="3318"/>
      <c r="AS219" s="3318"/>
      <c r="AT219" s="3328"/>
      <c r="AU219" s="3329"/>
      <c r="AV219" s="963">
        <f t="shared" si="127"/>
        <v>0</v>
      </c>
      <c r="AW219" s="963">
        <f t="shared" si="128"/>
        <v>0</v>
      </c>
      <c r="AX219" s="963">
        <f t="shared" si="129"/>
        <v>0</v>
      </c>
      <c r="AY219" s="3343">
        <f t="shared" si="130"/>
        <v>0</v>
      </c>
      <c r="AZ219" s="3298">
        <f t="shared" si="131"/>
        <v>0</v>
      </c>
      <c r="BA219" s="3298">
        <f t="shared" si="132"/>
        <v>0</v>
      </c>
      <c r="BB219" s="3298">
        <f t="shared" si="133"/>
        <v>0</v>
      </c>
      <c r="BC219" s="3298">
        <f t="shared" si="134"/>
        <v>0</v>
      </c>
      <c r="BD219" s="3298">
        <f t="shared" si="135"/>
        <v>0</v>
      </c>
      <c r="BE219" s="3298">
        <f t="shared" si="136"/>
        <v>0</v>
      </c>
      <c r="BF219" s="3298">
        <f t="shared" si="137"/>
        <v>0</v>
      </c>
      <c r="BG219" s="3298">
        <f t="shared" si="138"/>
        <v>0</v>
      </c>
      <c r="BH219" s="3298">
        <f t="shared" si="139"/>
        <v>0</v>
      </c>
      <c r="BI219" s="3298">
        <f t="shared" si="140"/>
        <v>0</v>
      </c>
      <c r="BJ219" s="3298">
        <f t="shared" si="141"/>
        <v>0</v>
      </c>
      <c r="BK219" s="3298">
        <f t="shared" si="142"/>
        <v>0</v>
      </c>
      <c r="BL219" s="3298">
        <f t="shared" si="143"/>
        <v>0</v>
      </c>
      <c r="BM219" s="3298">
        <f t="shared" si="144"/>
        <v>0</v>
      </c>
      <c r="BN219" s="3298">
        <f t="shared" si="145"/>
        <v>0</v>
      </c>
      <c r="BO219" s="3298">
        <f t="shared" si="146"/>
        <v>0</v>
      </c>
      <c r="BP219" s="3298">
        <f t="shared" si="147"/>
        <v>0</v>
      </c>
      <c r="BQ219" s="3298">
        <f t="shared" si="148"/>
        <v>0</v>
      </c>
      <c r="BR219" s="3298">
        <f t="shared" si="149"/>
        <v>0</v>
      </c>
      <c r="BS219" s="3298">
        <f t="shared" si="150"/>
        <v>0</v>
      </c>
      <c r="BT219" s="3350">
        <f t="shared" si="151"/>
        <v>0</v>
      </c>
    </row>
    <row r="220" spans="1:72">
      <c r="A220" s="1407"/>
      <c r="B220" s="3296"/>
      <c r="C220" s="3296"/>
      <c r="D220" s="3297"/>
      <c r="E220" s="3298">
        <f t="shared" si="123"/>
        <v>0</v>
      </c>
      <c r="F220" s="3299"/>
      <c r="G220" s="3300">
        <f t="shared" si="124"/>
        <v>0</v>
      </c>
      <c r="H220" s="3301">
        <f t="shared" si="125"/>
        <v>0</v>
      </c>
      <c r="I220" s="3308"/>
      <c r="J220" s="3308"/>
      <c r="K220" s="3308"/>
      <c r="L220" s="3308"/>
      <c r="M220" s="3308"/>
      <c r="N220" s="3308"/>
      <c r="O220" s="3308"/>
      <c r="P220" s="3308"/>
      <c r="Q220" s="3308"/>
      <c r="R220" s="3308"/>
      <c r="S220" s="3308"/>
      <c r="T220" s="3308"/>
      <c r="U220" s="3308"/>
      <c r="V220" s="3308"/>
      <c r="W220" s="3308"/>
      <c r="X220" s="3308"/>
      <c r="Y220" s="3308"/>
      <c r="Z220" s="3308"/>
      <c r="AA220" s="3308"/>
      <c r="AB220" s="3308"/>
      <c r="AC220" s="3298">
        <f t="shared" si="126"/>
        <v>0</v>
      </c>
      <c r="AD220" s="3318"/>
      <c r="AE220" s="3318"/>
      <c r="AF220" s="3318"/>
      <c r="AG220" s="3318"/>
      <c r="AH220" s="3318"/>
      <c r="AI220" s="3318"/>
      <c r="AJ220" s="3318"/>
      <c r="AK220" s="3318"/>
      <c r="AL220" s="3318"/>
      <c r="AM220" s="3318"/>
      <c r="AN220" s="3318"/>
      <c r="AO220" s="3318"/>
      <c r="AP220" s="3318"/>
      <c r="AQ220" s="3318"/>
      <c r="AR220" s="3318"/>
      <c r="AS220" s="3318"/>
      <c r="AT220" s="3328"/>
      <c r="AU220" s="3329"/>
      <c r="AV220" s="963">
        <f t="shared" si="127"/>
        <v>0</v>
      </c>
      <c r="AW220" s="963">
        <f t="shared" si="128"/>
        <v>0</v>
      </c>
      <c r="AX220" s="963">
        <f t="shared" si="129"/>
        <v>0</v>
      </c>
      <c r="AY220" s="3343">
        <f t="shared" si="130"/>
        <v>0</v>
      </c>
      <c r="AZ220" s="3298">
        <f t="shared" si="131"/>
        <v>0</v>
      </c>
      <c r="BA220" s="3298">
        <f t="shared" si="132"/>
        <v>0</v>
      </c>
      <c r="BB220" s="3298">
        <f t="shared" si="133"/>
        <v>0</v>
      </c>
      <c r="BC220" s="3298">
        <f t="shared" si="134"/>
        <v>0</v>
      </c>
      <c r="BD220" s="3298">
        <f t="shared" si="135"/>
        <v>0</v>
      </c>
      <c r="BE220" s="3298">
        <f t="shared" si="136"/>
        <v>0</v>
      </c>
      <c r="BF220" s="3298">
        <f t="shared" si="137"/>
        <v>0</v>
      </c>
      <c r="BG220" s="3298">
        <f t="shared" si="138"/>
        <v>0</v>
      </c>
      <c r="BH220" s="3298">
        <f t="shared" si="139"/>
        <v>0</v>
      </c>
      <c r="BI220" s="3298">
        <f t="shared" si="140"/>
        <v>0</v>
      </c>
      <c r="BJ220" s="3298">
        <f t="shared" si="141"/>
        <v>0</v>
      </c>
      <c r="BK220" s="3298">
        <f t="shared" si="142"/>
        <v>0</v>
      </c>
      <c r="BL220" s="3298">
        <f t="shared" si="143"/>
        <v>0</v>
      </c>
      <c r="BM220" s="3298">
        <f t="shared" si="144"/>
        <v>0</v>
      </c>
      <c r="BN220" s="3298">
        <f t="shared" si="145"/>
        <v>0</v>
      </c>
      <c r="BO220" s="3298">
        <f t="shared" si="146"/>
        <v>0</v>
      </c>
      <c r="BP220" s="3298">
        <f t="shared" si="147"/>
        <v>0</v>
      </c>
      <c r="BQ220" s="3298">
        <f t="shared" si="148"/>
        <v>0</v>
      </c>
      <c r="BR220" s="3298">
        <f t="shared" si="149"/>
        <v>0</v>
      </c>
      <c r="BS220" s="3298">
        <f t="shared" si="150"/>
        <v>0</v>
      </c>
      <c r="BT220" s="3350">
        <f t="shared" si="151"/>
        <v>0</v>
      </c>
    </row>
    <row r="221" spans="1:72">
      <c r="A221" s="1407"/>
      <c r="B221" s="3296"/>
      <c r="C221" s="3296"/>
      <c r="D221" s="3297"/>
      <c r="E221" s="3298">
        <f t="shared" si="123"/>
        <v>0</v>
      </c>
      <c r="F221" s="3299"/>
      <c r="G221" s="3300">
        <f t="shared" si="124"/>
        <v>0</v>
      </c>
      <c r="H221" s="3301">
        <f t="shared" si="125"/>
        <v>0</v>
      </c>
      <c r="I221" s="3308"/>
      <c r="J221" s="3308"/>
      <c r="K221" s="3308"/>
      <c r="L221" s="3308"/>
      <c r="M221" s="3308"/>
      <c r="N221" s="3308"/>
      <c r="O221" s="3308"/>
      <c r="P221" s="3308"/>
      <c r="Q221" s="3308"/>
      <c r="R221" s="3308"/>
      <c r="S221" s="3308"/>
      <c r="T221" s="3308"/>
      <c r="U221" s="3308"/>
      <c r="V221" s="3308"/>
      <c r="W221" s="3308"/>
      <c r="X221" s="3308"/>
      <c r="Y221" s="3308"/>
      <c r="Z221" s="3308"/>
      <c r="AA221" s="3308"/>
      <c r="AB221" s="3308"/>
      <c r="AC221" s="3298">
        <f t="shared" si="126"/>
        <v>0</v>
      </c>
      <c r="AD221" s="3318"/>
      <c r="AE221" s="3318"/>
      <c r="AF221" s="3318"/>
      <c r="AG221" s="3318"/>
      <c r="AH221" s="3318"/>
      <c r="AI221" s="3318"/>
      <c r="AJ221" s="3318"/>
      <c r="AK221" s="3318"/>
      <c r="AL221" s="3318"/>
      <c r="AM221" s="3318"/>
      <c r="AN221" s="3318"/>
      <c r="AO221" s="3318"/>
      <c r="AP221" s="3318"/>
      <c r="AQ221" s="3318"/>
      <c r="AR221" s="3318"/>
      <c r="AS221" s="3318"/>
      <c r="AT221" s="3328"/>
      <c r="AU221" s="3329"/>
      <c r="AV221" s="963">
        <f t="shared" si="127"/>
        <v>0</v>
      </c>
      <c r="AW221" s="963">
        <f t="shared" si="128"/>
        <v>0</v>
      </c>
      <c r="AX221" s="963">
        <f t="shared" si="129"/>
        <v>0</v>
      </c>
      <c r="AY221" s="3343">
        <f t="shared" si="130"/>
        <v>0</v>
      </c>
      <c r="AZ221" s="3298">
        <f t="shared" si="131"/>
        <v>0</v>
      </c>
      <c r="BA221" s="3298">
        <f t="shared" si="132"/>
        <v>0</v>
      </c>
      <c r="BB221" s="3298">
        <f t="shared" si="133"/>
        <v>0</v>
      </c>
      <c r="BC221" s="3298">
        <f t="shared" si="134"/>
        <v>0</v>
      </c>
      <c r="BD221" s="3298">
        <f t="shared" si="135"/>
        <v>0</v>
      </c>
      <c r="BE221" s="3298">
        <f t="shared" si="136"/>
        <v>0</v>
      </c>
      <c r="BF221" s="3298">
        <f t="shared" si="137"/>
        <v>0</v>
      </c>
      <c r="BG221" s="3298">
        <f t="shared" si="138"/>
        <v>0</v>
      </c>
      <c r="BH221" s="3298">
        <f t="shared" si="139"/>
        <v>0</v>
      </c>
      <c r="BI221" s="3298">
        <f t="shared" si="140"/>
        <v>0</v>
      </c>
      <c r="BJ221" s="3298">
        <f t="shared" si="141"/>
        <v>0</v>
      </c>
      <c r="BK221" s="3298">
        <f t="shared" si="142"/>
        <v>0</v>
      </c>
      <c r="BL221" s="3298">
        <f t="shared" si="143"/>
        <v>0</v>
      </c>
      <c r="BM221" s="3298">
        <f t="shared" si="144"/>
        <v>0</v>
      </c>
      <c r="BN221" s="3298">
        <f t="shared" si="145"/>
        <v>0</v>
      </c>
      <c r="BO221" s="3298">
        <f t="shared" si="146"/>
        <v>0</v>
      </c>
      <c r="BP221" s="3298">
        <f t="shared" si="147"/>
        <v>0</v>
      </c>
      <c r="BQ221" s="3298">
        <f t="shared" si="148"/>
        <v>0</v>
      </c>
      <c r="BR221" s="3298">
        <f t="shared" si="149"/>
        <v>0</v>
      </c>
      <c r="BS221" s="3298">
        <f t="shared" si="150"/>
        <v>0</v>
      </c>
      <c r="BT221" s="3350">
        <f t="shared" si="151"/>
        <v>0</v>
      </c>
    </row>
    <row r="222" spans="1:72">
      <c r="A222" s="1407"/>
      <c r="B222" s="3296"/>
      <c r="C222" s="3296"/>
      <c r="D222" s="3297"/>
      <c r="E222" s="3298">
        <f t="shared" si="123"/>
        <v>0</v>
      </c>
      <c r="F222" s="3299"/>
      <c r="G222" s="3300">
        <f t="shared" si="124"/>
        <v>0</v>
      </c>
      <c r="H222" s="3301">
        <f t="shared" si="125"/>
        <v>0</v>
      </c>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298">
        <f t="shared" si="126"/>
        <v>0</v>
      </c>
      <c r="AD222" s="3318"/>
      <c r="AE222" s="3318"/>
      <c r="AF222" s="3318"/>
      <c r="AG222" s="3318"/>
      <c r="AH222" s="3318"/>
      <c r="AI222" s="3318"/>
      <c r="AJ222" s="3318"/>
      <c r="AK222" s="3318"/>
      <c r="AL222" s="3318"/>
      <c r="AM222" s="3318"/>
      <c r="AN222" s="3318"/>
      <c r="AO222" s="3318"/>
      <c r="AP222" s="3318"/>
      <c r="AQ222" s="3318"/>
      <c r="AR222" s="3318"/>
      <c r="AS222" s="3318"/>
      <c r="AT222" s="3328"/>
      <c r="AU222" s="3329"/>
      <c r="AV222" s="963">
        <f t="shared" si="127"/>
        <v>0</v>
      </c>
      <c r="AW222" s="963">
        <f t="shared" si="128"/>
        <v>0</v>
      </c>
      <c r="AX222" s="963">
        <f t="shared" si="129"/>
        <v>0</v>
      </c>
      <c r="AY222" s="3343">
        <f t="shared" si="130"/>
        <v>0</v>
      </c>
      <c r="AZ222" s="3298">
        <f t="shared" si="131"/>
        <v>0</v>
      </c>
      <c r="BA222" s="3298">
        <f t="shared" si="132"/>
        <v>0</v>
      </c>
      <c r="BB222" s="3298">
        <f t="shared" si="133"/>
        <v>0</v>
      </c>
      <c r="BC222" s="3298">
        <f t="shared" si="134"/>
        <v>0</v>
      </c>
      <c r="BD222" s="3298">
        <f t="shared" si="135"/>
        <v>0</v>
      </c>
      <c r="BE222" s="3298">
        <f t="shared" si="136"/>
        <v>0</v>
      </c>
      <c r="BF222" s="3298">
        <f t="shared" si="137"/>
        <v>0</v>
      </c>
      <c r="BG222" s="3298">
        <f t="shared" si="138"/>
        <v>0</v>
      </c>
      <c r="BH222" s="3298">
        <f t="shared" si="139"/>
        <v>0</v>
      </c>
      <c r="BI222" s="3298">
        <f t="shared" si="140"/>
        <v>0</v>
      </c>
      <c r="BJ222" s="3298">
        <f t="shared" si="141"/>
        <v>0</v>
      </c>
      <c r="BK222" s="3298">
        <f t="shared" si="142"/>
        <v>0</v>
      </c>
      <c r="BL222" s="3298">
        <f t="shared" si="143"/>
        <v>0</v>
      </c>
      <c r="BM222" s="3298">
        <f t="shared" si="144"/>
        <v>0</v>
      </c>
      <c r="BN222" s="3298">
        <f t="shared" si="145"/>
        <v>0</v>
      </c>
      <c r="BO222" s="3298">
        <f t="shared" si="146"/>
        <v>0</v>
      </c>
      <c r="BP222" s="3298">
        <f t="shared" si="147"/>
        <v>0</v>
      </c>
      <c r="BQ222" s="3298">
        <f t="shared" si="148"/>
        <v>0</v>
      </c>
      <c r="BR222" s="3298">
        <f t="shared" si="149"/>
        <v>0</v>
      </c>
      <c r="BS222" s="3298">
        <f t="shared" si="150"/>
        <v>0</v>
      </c>
      <c r="BT222" s="3350">
        <f t="shared" si="151"/>
        <v>0</v>
      </c>
    </row>
    <row r="223" spans="1:72">
      <c r="A223" s="1407"/>
      <c r="B223" s="3296"/>
      <c r="C223" s="3296"/>
      <c r="D223" s="3297"/>
      <c r="E223" s="3298">
        <f t="shared" si="123"/>
        <v>0</v>
      </c>
      <c r="F223" s="3299"/>
      <c r="G223" s="3300">
        <f t="shared" si="124"/>
        <v>0</v>
      </c>
      <c r="H223" s="3301">
        <f t="shared" si="125"/>
        <v>0</v>
      </c>
      <c r="I223" s="3308"/>
      <c r="J223" s="3308"/>
      <c r="K223" s="3308"/>
      <c r="L223" s="3308"/>
      <c r="M223" s="3308"/>
      <c r="N223" s="3308"/>
      <c r="O223" s="3308"/>
      <c r="P223" s="3308"/>
      <c r="Q223" s="3308"/>
      <c r="R223" s="3308"/>
      <c r="S223" s="3308"/>
      <c r="T223" s="3308"/>
      <c r="U223" s="3308"/>
      <c r="V223" s="3308"/>
      <c r="W223" s="3308"/>
      <c r="X223" s="3308"/>
      <c r="Y223" s="3308"/>
      <c r="Z223" s="3308"/>
      <c r="AA223" s="3308"/>
      <c r="AB223" s="3308"/>
      <c r="AC223" s="3298">
        <f t="shared" si="126"/>
        <v>0</v>
      </c>
      <c r="AD223" s="3318"/>
      <c r="AE223" s="3318"/>
      <c r="AF223" s="3318"/>
      <c r="AG223" s="3318"/>
      <c r="AH223" s="3318"/>
      <c r="AI223" s="3318"/>
      <c r="AJ223" s="3318"/>
      <c r="AK223" s="3318"/>
      <c r="AL223" s="3318"/>
      <c r="AM223" s="3318"/>
      <c r="AN223" s="3318"/>
      <c r="AO223" s="3318"/>
      <c r="AP223" s="3318"/>
      <c r="AQ223" s="3318"/>
      <c r="AR223" s="3318"/>
      <c r="AS223" s="3318"/>
      <c r="AT223" s="3328"/>
      <c r="AU223" s="3329"/>
      <c r="AV223" s="963">
        <f t="shared" si="127"/>
        <v>0</v>
      </c>
      <c r="AW223" s="963">
        <f t="shared" si="128"/>
        <v>0</v>
      </c>
      <c r="AX223" s="963">
        <f t="shared" si="129"/>
        <v>0</v>
      </c>
      <c r="AY223" s="3343">
        <f t="shared" si="130"/>
        <v>0</v>
      </c>
      <c r="AZ223" s="3298">
        <f t="shared" si="131"/>
        <v>0</v>
      </c>
      <c r="BA223" s="3298">
        <f t="shared" si="132"/>
        <v>0</v>
      </c>
      <c r="BB223" s="3298">
        <f t="shared" si="133"/>
        <v>0</v>
      </c>
      <c r="BC223" s="3298">
        <f t="shared" si="134"/>
        <v>0</v>
      </c>
      <c r="BD223" s="3298">
        <f t="shared" si="135"/>
        <v>0</v>
      </c>
      <c r="BE223" s="3298">
        <f t="shared" si="136"/>
        <v>0</v>
      </c>
      <c r="BF223" s="3298">
        <f t="shared" si="137"/>
        <v>0</v>
      </c>
      <c r="BG223" s="3298">
        <f t="shared" si="138"/>
        <v>0</v>
      </c>
      <c r="BH223" s="3298">
        <f t="shared" si="139"/>
        <v>0</v>
      </c>
      <c r="BI223" s="3298">
        <f t="shared" si="140"/>
        <v>0</v>
      </c>
      <c r="BJ223" s="3298">
        <f t="shared" si="141"/>
        <v>0</v>
      </c>
      <c r="BK223" s="3298">
        <f t="shared" si="142"/>
        <v>0</v>
      </c>
      <c r="BL223" s="3298">
        <f t="shared" si="143"/>
        <v>0</v>
      </c>
      <c r="BM223" s="3298">
        <f t="shared" si="144"/>
        <v>0</v>
      </c>
      <c r="BN223" s="3298">
        <f t="shared" si="145"/>
        <v>0</v>
      </c>
      <c r="BO223" s="3298">
        <f t="shared" si="146"/>
        <v>0</v>
      </c>
      <c r="BP223" s="3298">
        <f t="shared" si="147"/>
        <v>0</v>
      </c>
      <c r="BQ223" s="3298">
        <f t="shared" si="148"/>
        <v>0</v>
      </c>
      <c r="BR223" s="3298">
        <f t="shared" si="149"/>
        <v>0</v>
      </c>
      <c r="BS223" s="3298">
        <f t="shared" si="150"/>
        <v>0</v>
      </c>
      <c r="BT223" s="3350">
        <f t="shared" si="151"/>
        <v>0</v>
      </c>
    </row>
    <row r="224" spans="1:72">
      <c r="A224" s="1407"/>
      <c r="B224" s="3296"/>
      <c r="C224" s="3296"/>
      <c r="D224" s="3297"/>
      <c r="E224" s="3298">
        <f t="shared" si="123"/>
        <v>0</v>
      </c>
      <c r="F224" s="3299"/>
      <c r="G224" s="3300">
        <f t="shared" si="124"/>
        <v>0</v>
      </c>
      <c r="H224" s="3301">
        <f t="shared" si="125"/>
        <v>0</v>
      </c>
      <c r="I224" s="3308"/>
      <c r="J224" s="3308"/>
      <c r="K224" s="3308"/>
      <c r="L224" s="3308"/>
      <c r="M224" s="3308"/>
      <c r="N224" s="3308"/>
      <c r="O224" s="3308"/>
      <c r="P224" s="3308"/>
      <c r="Q224" s="3308"/>
      <c r="R224" s="3308"/>
      <c r="S224" s="3308"/>
      <c r="T224" s="3308"/>
      <c r="U224" s="3308"/>
      <c r="V224" s="3308"/>
      <c r="W224" s="3308"/>
      <c r="X224" s="3308"/>
      <c r="Y224" s="3308"/>
      <c r="Z224" s="3308"/>
      <c r="AA224" s="3308"/>
      <c r="AB224" s="3308"/>
      <c r="AC224" s="3298">
        <f t="shared" si="126"/>
        <v>0</v>
      </c>
      <c r="AD224" s="3318"/>
      <c r="AE224" s="3318"/>
      <c r="AF224" s="3318"/>
      <c r="AG224" s="3318"/>
      <c r="AH224" s="3318"/>
      <c r="AI224" s="3318"/>
      <c r="AJ224" s="3318"/>
      <c r="AK224" s="3318"/>
      <c r="AL224" s="3318"/>
      <c r="AM224" s="3318"/>
      <c r="AN224" s="3318"/>
      <c r="AO224" s="3318"/>
      <c r="AP224" s="3318"/>
      <c r="AQ224" s="3318"/>
      <c r="AR224" s="3318"/>
      <c r="AS224" s="3318"/>
      <c r="AT224" s="3328"/>
      <c r="AU224" s="3329"/>
      <c r="AV224" s="963">
        <f t="shared" si="127"/>
        <v>0</v>
      </c>
      <c r="AW224" s="963">
        <f t="shared" si="128"/>
        <v>0</v>
      </c>
      <c r="AX224" s="963">
        <f t="shared" si="129"/>
        <v>0</v>
      </c>
      <c r="AY224" s="3343">
        <f t="shared" si="130"/>
        <v>0</v>
      </c>
      <c r="AZ224" s="3298">
        <f t="shared" si="131"/>
        <v>0</v>
      </c>
      <c r="BA224" s="3298">
        <f t="shared" si="132"/>
        <v>0</v>
      </c>
      <c r="BB224" s="3298">
        <f t="shared" si="133"/>
        <v>0</v>
      </c>
      <c r="BC224" s="3298">
        <f t="shared" si="134"/>
        <v>0</v>
      </c>
      <c r="BD224" s="3298">
        <f t="shared" si="135"/>
        <v>0</v>
      </c>
      <c r="BE224" s="3298">
        <f t="shared" si="136"/>
        <v>0</v>
      </c>
      <c r="BF224" s="3298">
        <f t="shared" si="137"/>
        <v>0</v>
      </c>
      <c r="BG224" s="3298">
        <f t="shared" si="138"/>
        <v>0</v>
      </c>
      <c r="BH224" s="3298">
        <f t="shared" si="139"/>
        <v>0</v>
      </c>
      <c r="BI224" s="3298">
        <f t="shared" si="140"/>
        <v>0</v>
      </c>
      <c r="BJ224" s="3298">
        <f t="shared" si="141"/>
        <v>0</v>
      </c>
      <c r="BK224" s="3298">
        <f t="shared" si="142"/>
        <v>0</v>
      </c>
      <c r="BL224" s="3298">
        <f t="shared" si="143"/>
        <v>0</v>
      </c>
      <c r="BM224" s="3298">
        <f t="shared" si="144"/>
        <v>0</v>
      </c>
      <c r="BN224" s="3298">
        <f t="shared" si="145"/>
        <v>0</v>
      </c>
      <c r="BO224" s="3298">
        <f t="shared" si="146"/>
        <v>0</v>
      </c>
      <c r="BP224" s="3298">
        <f t="shared" si="147"/>
        <v>0</v>
      </c>
      <c r="BQ224" s="3298">
        <f t="shared" si="148"/>
        <v>0</v>
      </c>
      <c r="BR224" s="3298">
        <f t="shared" si="149"/>
        <v>0</v>
      </c>
      <c r="BS224" s="3298">
        <f t="shared" si="150"/>
        <v>0</v>
      </c>
      <c r="BT224" s="3350">
        <f t="shared" si="151"/>
        <v>0</v>
      </c>
    </row>
    <row r="225" spans="1:72">
      <c r="A225" s="1407"/>
      <c r="B225" s="3296"/>
      <c r="C225" s="3296"/>
      <c r="D225" s="3297"/>
      <c r="E225" s="3298">
        <f t="shared" si="123"/>
        <v>0</v>
      </c>
      <c r="F225" s="3299"/>
      <c r="G225" s="3300">
        <f t="shared" si="124"/>
        <v>0</v>
      </c>
      <c r="H225" s="3301">
        <f t="shared" si="125"/>
        <v>0</v>
      </c>
      <c r="I225" s="3308"/>
      <c r="J225" s="3308"/>
      <c r="K225" s="3308"/>
      <c r="L225" s="3308"/>
      <c r="M225" s="3308"/>
      <c r="N225" s="3308"/>
      <c r="O225" s="3308"/>
      <c r="P225" s="3308"/>
      <c r="Q225" s="3308"/>
      <c r="R225" s="3308"/>
      <c r="S225" s="3308"/>
      <c r="T225" s="3308"/>
      <c r="U225" s="3308"/>
      <c r="V225" s="3308"/>
      <c r="W225" s="3308"/>
      <c r="X225" s="3308"/>
      <c r="Y225" s="3308"/>
      <c r="Z225" s="3308"/>
      <c r="AA225" s="3308"/>
      <c r="AB225" s="3308"/>
      <c r="AC225" s="3298">
        <f t="shared" si="126"/>
        <v>0</v>
      </c>
      <c r="AD225" s="3318"/>
      <c r="AE225" s="3318"/>
      <c r="AF225" s="3318"/>
      <c r="AG225" s="3318"/>
      <c r="AH225" s="3318"/>
      <c r="AI225" s="3318"/>
      <c r="AJ225" s="3318"/>
      <c r="AK225" s="3318"/>
      <c r="AL225" s="3318"/>
      <c r="AM225" s="3318"/>
      <c r="AN225" s="3318"/>
      <c r="AO225" s="3318"/>
      <c r="AP225" s="3318"/>
      <c r="AQ225" s="3318"/>
      <c r="AR225" s="3318"/>
      <c r="AS225" s="3318"/>
      <c r="AT225" s="3328"/>
      <c r="AU225" s="3329"/>
      <c r="AV225" s="963">
        <f t="shared" si="127"/>
        <v>0</v>
      </c>
      <c r="AW225" s="963">
        <f t="shared" si="128"/>
        <v>0</v>
      </c>
      <c r="AX225" s="963">
        <f t="shared" si="129"/>
        <v>0</v>
      </c>
      <c r="AY225" s="3343">
        <f t="shared" si="130"/>
        <v>0</v>
      </c>
      <c r="AZ225" s="3298">
        <f t="shared" si="131"/>
        <v>0</v>
      </c>
      <c r="BA225" s="3298">
        <f t="shared" si="132"/>
        <v>0</v>
      </c>
      <c r="BB225" s="3298">
        <f t="shared" si="133"/>
        <v>0</v>
      </c>
      <c r="BC225" s="3298">
        <f t="shared" si="134"/>
        <v>0</v>
      </c>
      <c r="BD225" s="3298">
        <f t="shared" si="135"/>
        <v>0</v>
      </c>
      <c r="BE225" s="3298">
        <f t="shared" si="136"/>
        <v>0</v>
      </c>
      <c r="BF225" s="3298">
        <f t="shared" si="137"/>
        <v>0</v>
      </c>
      <c r="BG225" s="3298">
        <f t="shared" si="138"/>
        <v>0</v>
      </c>
      <c r="BH225" s="3298">
        <f t="shared" si="139"/>
        <v>0</v>
      </c>
      <c r="BI225" s="3298">
        <f t="shared" si="140"/>
        <v>0</v>
      </c>
      <c r="BJ225" s="3298">
        <f t="shared" si="141"/>
        <v>0</v>
      </c>
      <c r="BK225" s="3298">
        <f t="shared" si="142"/>
        <v>0</v>
      </c>
      <c r="BL225" s="3298">
        <f t="shared" si="143"/>
        <v>0</v>
      </c>
      <c r="BM225" s="3298">
        <f t="shared" si="144"/>
        <v>0</v>
      </c>
      <c r="BN225" s="3298">
        <f t="shared" si="145"/>
        <v>0</v>
      </c>
      <c r="BO225" s="3298">
        <f t="shared" si="146"/>
        <v>0</v>
      </c>
      <c r="BP225" s="3298">
        <f t="shared" si="147"/>
        <v>0</v>
      </c>
      <c r="BQ225" s="3298">
        <f t="shared" si="148"/>
        <v>0</v>
      </c>
      <c r="BR225" s="3298">
        <f t="shared" si="149"/>
        <v>0</v>
      </c>
      <c r="BS225" s="3298">
        <f t="shared" si="150"/>
        <v>0</v>
      </c>
      <c r="BT225" s="3350">
        <f t="shared" si="151"/>
        <v>0</v>
      </c>
    </row>
    <row r="226" spans="1:72">
      <c r="A226" s="1407"/>
      <c r="B226" s="3296"/>
      <c r="C226" s="3296"/>
      <c r="D226" s="3297"/>
      <c r="E226" s="3298">
        <f t="shared" si="123"/>
        <v>0</v>
      </c>
      <c r="F226" s="3299"/>
      <c r="G226" s="3300">
        <f t="shared" si="124"/>
        <v>0</v>
      </c>
      <c r="H226" s="3301">
        <f t="shared" si="125"/>
        <v>0</v>
      </c>
      <c r="I226" s="3308"/>
      <c r="J226" s="3308"/>
      <c r="K226" s="3308"/>
      <c r="L226" s="3308"/>
      <c r="M226" s="3308"/>
      <c r="N226" s="3308"/>
      <c r="O226" s="3308"/>
      <c r="P226" s="3308"/>
      <c r="Q226" s="3308"/>
      <c r="R226" s="3308"/>
      <c r="S226" s="3308"/>
      <c r="T226" s="3308"/>
      <c r="U226" s="3308"/>
      <c r="V226" s="3308"/>
      <c r="W226" s="3308"/>
      <c r="X226" s="3308"/>
      <c r="Y226" s="3308"/>
      <c r="Z226" s="3308"/>
      <c r="AA226" s="3308"/>
      <c r="AB226" s="3308"/>
      <c r="AC226" s="3298">
        <f t="shared" si="126"/>
        <v>0</v>
      </c>
      <c r="AD226" s="3318"/>
      <c r="AE226" s="3318"/>
      <c r="AF226" s="3318"/>
      <c r="AG226" s="3318"/>
      <c r="AH226" s="3318"/>
      <c r="AI226" s="3318"/>
      <c r="AJ226" s="3318"/>
      <c r="AK226" s="3318"/>
      <c r="AL226" s="3318"/>
      <c r="AM226" s="3318"/>
      <c r="AN226" s="3318"/>
      <c r="AO226" s="3318"/>
      <c r="AP226" s="3318"/>
      <c r="AQ226" s="3318"/>
      <c r="AR226" s="3318"/>
      <c r="AS226" s="3318"/>
      <c r="AT226" s="3328"/>
      <c r="AU226" s="3329"/>
      <c r="AV226" s="963">
        <f t="shared" si="127"/>
        <v>0</v>
      </c>
      <c r="AW226" s="963">
        <f t="shared" si="128"/>
        <v>0</v>
      </c>
      <c r="AX226" s="963">
        <f t="shared" si="129"/>
        <v>0</v>
      </c>
      <c r="AY226" s="3343">
        <f t="shared" si="130"/>
        <v>0</v>
      </c>
      <c r="AZ226" s="3298">
        <f t="shared" si="131"/>
        <v>0</v>
      </c>
      <c r="BA226" s="3298">
        <f t="shared" si="132"/>
        <v>0</v>
      </c>
      <c r="BB226" s="3298">
        <f t="shared" si="133"/>
        <v>0</v>
      </c>
      <c r="BC226" s="3298">
        <f t="shared" si="134"/>
        <v>0</v>
      </c>
      <c r="BD226" s="3298">
        <f t="shared" si="135"/>
        <v>0</v>
      </c>
      <c r="BE226" s="3298">
        <f t="shared" si="136"/>
        <v>0</v>
      </c>
      <c r="BF226" s="3298">
        <f t="shared" si="137"/>
        <v>0</v>
      </c>
      <c r="BG226" s="3298">
        <f t="shared" si="138"/>
        <v>0</v>
      </c>
      <c r="BH226" s="3298">
        <f t="shared" si="139"/>
        <v>0</v>
      </c>
      <c r="BI226" s="3298">
        <f t="shared" si="140"/>
        <v>0</v>
      </c>
      <c r="BJ226" s="3298">
        <f t="shared" si="141"/>
        <v>0</v>
      </c>
      <c r="BK226" s="3298">
        <f t="shared" si="142"/>
        <v>0</v>
      </c>
      <c r="BL226" s="3298">
        <f t="shared" si="143"/>
        <v>0</v>
      </c>
      <c r="BM226" s="3298">
        <f t="shared" si="144"/>
        <v>0</v>
      </c>
      <c r="BN226" s="3298">
        <f t="shared" si="145"/>
        <v>0</v>
      </c>
      <c r="BO226" s="3298">
        <f t="shared" si="146"/>
        <v>0</v>
      </c>
      <c r="BP226" s="3298">
        <f t="shared" si="147"/>
        <v>0</v>
      </c>
      <c r="BQ226" s="3298">
        <f t="shared" si="148"/>
        <v>0</v>
      </c>
      <c r="BR226" s="3298">
        <f t="shared" si="149"/>
        <v>0</v>
      </c>
      <c r="BS226" s="3298">
        <f t="shared" si="150"/>
        <v>0</v>
      </c>
      <c r="BT226" s="3350">
        <f t="shared" si="151"/>
        <v>0</v>
      </c>
    </row>
    <row r="227" spans="1:72">
      <c r="A227" s="1407"/>
      <c r="B227" s="3296"/>
      <c r="C227" s="3296"/>
      <c r="D227" s="3297"/>
      <c r="E227" s="3298">
        <f t="shared" si="123"/>
        <v>0</v>
      </c>
      <c r="F227" s="3299"/>
      <c r="G227" s="3300">
        <f t="shared" si="124"/>
        <v>0</v>
      </c>
      <c r="H227" s="3301">
        <f t="shared" si="125"/>
        <v>0</v>
      </c>
      <c r="I227" s="3308"/>
      <c r="J227" s="3308"/>
      <c r="K227" s="3308"/>
      <c r="L227" s="3308"/>
      <c r="M227" s="3308"/>
      <c r="N227" s="3308"/>
      <c r="O227" s="3308"/>
      <c r="P227" s="3308"/>
      <c r="Q227" s="3308"/>
      <c r="R227" s="3308"/>
      <c r="S227" s="3308"/>
      <c r="T227" s="3308"/>
      <c r="U227" s="3308"/>
      <c r="V227" s="3308"/>
      <c r="W227" s="3308"/>
      <c r="X227" s="3308"/>
      <c r="Y227" s="3308"/>
      <c r="Z227" s="3308"/>
      <c r="AA227" s="3308"/>
      <c r="AB227" s="3308"/>
      <c r="AC227" s="3298">
        <f t="shared" si="126"/>
        <v>0</v>
      </c>
      <c r="AD227" s="3318"/>
      <c r="AE227" s="3318"/>
      <c r="AF227" s="3318"/>
      <c r="AG227" s="3318"/>
      <c r="AH227" s="3318"/>
      <c r="AI227" s="3318"/>
      <c r="AJ227" s="3318"/>
      <c r="AK227" s="3318"/>
      <c r="AL227" s="3318"/>
      <c r="AM227" s="3318"/>
      <c r="AN227" s="3318"/>
      <c r="AO227" s="3318"/>
      <c r="AP227" s="3318"/>
      <c r="AQ227" s="3318"/>
      <c r="AR227" s="3318"/>
      <c r="AS227" s="3318"/>
      <c r="AT227" s="3328"/>
      <c r="AU227" s="3329"/>
      <c r="AV227" s="963">
        <f t="shared" si="127"/>
        <v>0</v>
      </c>
      <c r="AW227" s="963">
        <f t="shared" si="128"/>
        <v>0</v>
      </c>
      <c r="AX227" s="963">
        <f t="shared" si="129"/>
        <v>0</v>
      </c>
      <c r="AY227" s="3343">
        <f t="shared" si="130"/>
        <v>0</v>
      </c>
      <c r="AZ227" s="3298">
        <f t="shared" si="131"/>
        <v>0</v>
      </c>
      <c r="BA227" s="3298">
        <f t="shared" si="132"/>
        <v>0</v>
      </c>
      <c r="BB227" s="3298">
        <f t="shared" si="133"/>
        <v>0</v>
      </c>
      <c r="BC227" s="3298">
        <f t="shared" si="134"/>
        <v>0</v>
      </c>
      <c r="BD227" s="3298">
        <f t="shared" si="135"/>
        <v>0</v>
      </c>
      <c r="BE227" s="3298">
        <f t="shared" si="136"/>
        <v>0</v>
      </c>
      <c r="BF227" s="3298">
        <f t="shared" si="137"/>
        <v>0</v>
      </c>
      <c r="BG227" s="3298">
        <f t="shared" si="138"/>
        <v>0</v>
      </c>
      <c r="BH227" s="3298">
        <f t="shared" si="139"/>
        <v>0</v>
      </c>
      <c r="BI227" s="3298">
        <f t="shared" si="140"/>
        <v>0</v>
      </c>
      <c r="BJ227" s="3298">
        <f t="shared" si="141"/>
        <v>0</v>
      </c>
      <c r="BK227" s="3298">
        <f t="shared" si="142"/>
        <v>0</v>
      </c>
      <c r="BL227" s="3298">
        <f t="shared" si="143"/>
        <v>0</v>
      </c>
      <c r="BM227" s="3298">
        <f t="shared" si="144"/>
        <v>0</v>
      </c>
      <c r="BN227" s="3298">
        <f t="shared" si="145"/>
        <v>0</v>
      </c>
      <c r="BO227" s="3298">
        <f t="shared" si="146"/>
        <v>0</v>
      </c>
      <c r="BP227" s="3298">
        <f t="shared" si="147"/>
        <v>0</v>
      </c>
      <c r="BQ227" s="3298">
        <f t="shared" si="148"/>
        <v>0</v>
      </c>
      <c r="BR227" s="3298">
        <f t="shared" si="149"/>
        <v>0</v>
      </c>
      <c r="BS227" s="3298">
        <f t="shared" si="150"/>
        <v>0</v>
      </c>
      <c r="BT227" s="3350">
        <f t="shared" si="151"/>
        <v>0</v>
      </c>
    </row>
    <row r="228" spans="1:72">
      <c r="A228" s="1407"/>
      <c r="B228" s="3296"/>
      <c r="C228" s="3296"/>
      <c r="D228" s="3297"/>
      <c r="E228" s="3298">
        <f t="shared" si="123"/>
        <v>0</v>
      </c>
      <c r="F228" s="3299"/>
      <c r="G228" s="3300">
        <f t="shared" si="124"/>
        <v>0</v>
      </c>
      <c r="H228" s="3301">
        <f t="shared" si="125"/>
        <v>0</v>
      </c>
      <c r="I228" s="3308"/>
      <c r="J228" s="3308"/>
      <c r="K228" s="3308"/>
      <c r="L228" s="3308"/>
      <c r="M228" s="3308"/>
      <c r="N228" s="3308"/>
      <c r="O228" s="3308"/>
      <c r="P228" s="3308"/>
      <c r="Q228" s="3308"/>
      <c r="R228" s="3308"/>
      <c r="S228" s="3308"/>
      <c r="T228" s="3308"/>
      <c r="U228" s="3308"/>
      <c r="V228" s="3308"/>
      <c r="W228" s="3308"/>
      <c r="X228" s="3308"/>
      <c r="Y228" s="3308"/>
      <c r="Z228" s="3308"/>
      <c r="AA228" s="3308"/>
      <c r="AB228" s="3308"/>
      <c r="AC228" s="3298">
        <f t="shared" si="126"/>
        <v>0</v>
      </c>
      <c r="AD228" s="3318"/>
      <c r="AE228" s="3318"/>
      <c r="AF228" s="3318"/>
      <c r="AG228" s="3318"/>
      <c r="AH228" s="3318"/>
      <c r="AI228" s="3318"/>
      <c r="AJ228" s="3318"/>
      <c r="AK228" s="3318"/>
      <c r="AL228" s="3318"/>
      <c r="AM228" s="3318"/>
      <c r="AN228" s="3318"/>
      <c r="AO228" s="3318"/>
      <c r="AP228" s="3318"/>
      <c r="AQ228" s="3318"/>
      <c r="AR228" s="3318"/>
      <c r="AS228" s="3318"/>
      <c r="AT228" s="3328"/>
      <c r="AU228" s="3329"/>
      <c r="AV228" s="963">
        <f t="shared" si="127"/>
        <v>0</v>
      </c>
      <c r="AW228" s="963">
        <f t="shared" si="128"/>
        <v>0</v>
      </c>
      <c r="AX228" s="963">
        <f t="shared" si="129"/>
        <v>0</v>
      </c>
      <c r="AY228" s="3343">
        <f t="shared" si="130"/>
        <v>0</v>
      </c>
      <c r="AZ228" s="3298">
        <f t="shared" si="131"/>
        <v>0</v>
      </c>
      <c r="BA228" s="3298">
        <f t="shared" si="132"/>
        <v>0</v>
      </c>
      <c r="BB228" s="3298">
        <f t="shared" si="133"/>
        <v>0</v>
      </c>
      <c r="BC228" s="3298">
        <f t="shared" si="134"/>
        <v>0</v>
      </c>
      <c r="BD228" s="3298">
        <f t="shared" si="135"/>
        <v>0</v>
      </c>
      <c r="BE228" s="3298">
        <f t="shared" si="136"/>
        <v>0</v>
      </c>
      <c r="BF228" s="3298">
        <f t="shared" si="137"/>
        <v>0</v>
      </c>
      <c r="BG228" s="3298">
        <f t="shared" si="138"/>
        <v>0</v>
      </c>
      <c r="BH228" s="3298">
        <f t="shared" si="139"/>
        <v>0</v>
      </c>
      <c r="BI228" s="3298">
        <f t="shared" si="140"/>
        <v>0</v>
      </c>
      <c r="BJ228" s="3298">
        <f t="shared" si="141"/>
        <v>0</v>
      </c>
      <c r="BK228" s="3298">
        <f t="shared" si="142"/>
        <v>0</v>
      </c>
      <c r="BL228" s="3298">
        <f t="shared" si="143"/>
        <v>0</v>
      </c>
      <c r="BM228" s="3298">
        <f t="shared" si="144"/>
        <v>0</v>
      </c>
      <c r="BN228" s="3298">
        <f t="shared" si="145"/>
        <v>0</v>
      </c>
      <c r="BO228" s="3298">
        <f t="shared" si="146"/>
        <v>0</v>
      </c>
      <c r="BP228" s="3298">
        <f t="shared" si="147"/>
        <v>0</v>
      </c>
      <c r="BQ228" s="3298">
        <f t="shared" si="148"/>
        <v>0</v>
      </c>
      <c r="BR228" s="3298">
        <f t="shared" si="149"/>
        <v>0</v>
      </c>
      <c r="BS228" s="3298">
        <f t="shared" si="150"/>
        <v>0</v>
      </c>
      <c r="BT228" s="3350">
        <f t="shared" si="151"/>
        <v>0</v>
      </c>
    </row>
    <row r="229" spans="1:72">
      <c r="A229" s="1407"/>
      <c r="B229" s="3296"/>
      <c r="C229" s="3296"/>
      <c r="D229" s="3297"/>
      <c r="E229" s="3298">
        <f t="shared" si="123"/>
        <v>0</v>
      </c>
      <c r="F229" s="3299"/>
      <c r="G229" s="3300">
        <f t="shared" si="124"/>
        <v>0</v>
      </c>
      <c r="H229" s="3301">
        <f t="shared" si="125"/>
        <v>0</v>
      </c>
      <c r="I229" s="3308"/>
      <c r="J229" s="3308"/>
      <c r="K229" s="3308"/>
      <c r="L229" s="3308"/>
      <c r="M229" s="3308"/>
      <c r="N229" s="3308"/>
      <c r="O229" s="3308"/>
      <c r="P229" s="3308"/>
      <c r="Q229" s="3308"/>
      <c r="R229" s="3308"/>
      <c r="S229" s="3308"/>
      <c r="T229" s="3308"/>
      <c r="U229" s="3308"/>
      <c r="V229" s="3308"/>
      <c r="W229" s="3308"/>
      <c r="X229" s="3308"/>
      <c r="Y229" s="3308"/>
      <c r="Z229" s="3308"/>
      <c r="AA229" s="3308"/>
      <c r="AB229" s="3308"/>
      <c r="AC229" s="3298">
        <f t="shared" si="126"/>
        <v>0</v>
      </c>
      <c r="AD229" s="3318"/>
      <c r="AE229" s="3318"/>
      <c r="AF229" s="3318"/>
      <c r="AG229" s="3318"/>
      <c r="AH229" s="3318"/>
      <c r="AI229" s="3318"/>
      <c r="AJ229" s="3318"/>
      <c r="AK229" s="3318"/>
      <c r="AL229" s="3318"/>
      <c r="AM229" s="3318"/>
      <c r="AN229" s="3318"/>
      <c r="AO229" s="3318"/>
      <c r="AP229" s="3318"/>
      <c r="AQ229" s="3318"/>
      <c r="AR229" s="3318"/>
      <c r="AS229" s="3318"/>
      <c r="AT229" s="3328"/>
      <c r="AU229" s="3329"/>
      <c r="AV229" s="963">
        <f t="shared" si="127"/>
        <v>0</v>
      </c>
      <c r="AW229" s="963">
        <f t="shared" si="128"/>
        <v>0</v>
      </c>
      <c r="AX229" s="963">
        <f t="shared" si="129"/>
        <v>0</v>
      </c>
      <c r="AY229" s="3343">
        <f t="shared" si="130"/>
        <v>0</v>
      </c>
      <c r="AZ229" s="3298">
        <f t="shared" si="131"/>
        <v>0</v>
      </c>
      <c r="BA229" s="3298">
        <f t="shared" si="132"/>
        <v>0</v>
      </c>
      <c r="BB229" s="3298">
        <f t="shared" si="133"/>
        <v>0</v>
      </c>
      <c r="BC229" s="3298">
        <f t="shared" si="134"/>
        <v>0</v>
      </c>
      <c r="BD229" s="3298">
        <f t="shared" si="135"/>
        <v>0</v>
      </c>
      <c r="BE229" s="3298">
        <f t="shared" si="136"/>
        <v>0</v>
      </c>
      <c r="BF229" s="3298">
        <f t="shared" si="137"/>
        <v>0</v>
      </c>
      <c r="BG229" s="3298">
        <f t="shared" si="138"/>
        <v>0</v>
      </c>
      <c r="BH229" s="3298">
        <f t="shared" si="139"/>
        <v>0</v>
      </c>
      <c r="BI229" s="3298">
        <f t="shared" si="140"/>
        <v>0</v>
      </c>
      <c r="BJ229" s="3298">
        <f t="shared" si="141"/>
        <v>0</v>
      </c>
      <c r="BK229" s="3298">
        <f t="shared" si="142"/>
        <v>0</v>
      </c>
      <c r="BL229" s="3298">
        <f t="shared" si="143"/>
        <v>0</v>
      </c>
      <c r="BM229" s="3298">
        <f t="shared" si="144"/>
        <v>0</v>
      </c>
      <c r="BN229" s="3298">
        <f t="shared" si="145"/>
        <v>0</v>
      </c>
      <c r="BO229" s="3298">
        <f t="shared" si="146"/>
        <v>0</v>
      </c>
      <c r="BP229" s="3298">
        <f t="shared" si="147"/>
        <v>0</v>
      </c>
      <c r="BQ229" s="3298">
        <f t="shared" si="148"/>
        <v>0</v>
      </c>
      <c r="BR229" s="3298">
        <f t="shared" si="149"/>
        <v>0</v>
      </c>
      <c r="BS229" s="3298">
        <f t="shared" si="150"/>
        <v>0</v>
      </c>
      <c r="BT229" s="3350">
        <f t="shared" si="151"/>
        <v>0</v>
      </c>
    </row>
    <row r="230" spans="1:72">
      <c r="A230" s="1407"/>
      <c r="B230" s="3296"/>
      <c r="C230" s="3296"/>
      <c r="D230" s="3297"/>
      <c r="E230" s="3298">
        <f t="shared" si="123"/>
        <v>0</v>
      </c>
      <c r="F230" s="3299"/>
      <c r="G230" s="3300">
        <f t="shared" si="124"/>
        <v>0</v>
      </c>
      <c r="H230" s="3301">
        <f t="shared" si="125"/>
        <v>0</v>
      </c>
      <c r="I230" s="3308"/>
      <c r="J230" s="3308"/>
      <c r="K230" s="3308"/>
      <c r="L230" s="3308"/>
      <c r="M230" s="3308"/>
      <c r="N230" s="3308"/>
      <c r="O230" s="3308"/>
      <c r="P230" s="3308"/>
      <c r="Q230" s="3308"/>
      <c r="R230" s="3308"/>
      <c r="S230" s="3308"/>
      <c r="T230" s="3308"/>
      <c r="U230" s="3308"/>
      <c r="V230" s="3308"/>
      <c r="W230" s="3308"/>
      <c r="X230" s="3308"/>
      <c r="Y230" s="3308"/>
      <c r="Z230" s="3308"/>
      <c r="AA230" s="3308"/>
      <c r="AB230" s="3308"/>
      <c r="AC230" s="3298">
        <f t="shared" si="126"/>
        <v>0</v>
      </c>
      <c r="AD230" s="3318"/>
      <c r="AE230" s="3318"/>
      <c r="AF230" s="3318"/>
      <c r="AG230" s="3318"/>
      <c r="AH230" s="3318"/>
      <c r="AI230" s="3318"/>
      <c r="AJ230" s="3318"/>
      <c r="AK230" s="3318"/>
      <c r="AL230" s="3318"/>
      <c r="AM230" s="3318"/>
      <c r="AN230" s="3318"/>
      <c r="AO230" s="3318"/>
      <c r="AP230" s="3318"/>
      <c r="AQ230" s="3318"/>
      <c r="AR230" s="3318"/>
      <c r="AS230" s="3318"/>
      <c r="AT230" s="3328"/>
      <c r="AU230" s="3329"/>
      <c r="AV230" s="963">
        <f t="shared" si="127"/>
        <v>0</v>
      </c>
      <c r="AW230" s="963">
        <f t="shared" si="128"/>
        <v>0</v>
      </c>
      <c r="AX230" s="963">
        <f t="shared" si="129"/>
        <v>0</v>
      </c>
      <c r="AY230" s="3343">
        <f t="shared" si="130"/>
        <v>0</v>
      </c>
      <c r="AZ230" s="3298">
        <f t="shared" si="131"/>
        <v>0</v>
      </c>
      <c r="BA230" s="3298">
        <f t="shared" si="132"/>
        <v>0</v>
      </c>
      <c r="BB230" s="3298">
        <f t="shared" si="133"/>
        <v>0</v>
      </c>
      <c r="BC230" s="3298">
        <f t="shared" si="134"/>
        <v>0</v>
      </c>
      <c r="BD230" s="3298">
        <f t="shared" si="135"/>
        <v>0</v>
      </c>
      <c r="BE230" s="3298">
        <f t="shared" si="136"/>
        <v>0</v>
      </c>
      <c r="BF230" s="3298">
        <f t="shared" si="137"/>
        <v>0</v>
      </c>
      <c r="BG230" s="3298">
        <f t="shared" si="138"/>
        <v>0</v>
      </c>
      <c r="BH230" s="3298">
        <f t="shared" si="139"/>
        <v>0</v>
      </c>
      <c r="BI230" s="3298">
        <f t="shared" si="140"/>
        <v>0</v>
      </c>
      <c r="BJ230" s="3298">
        <f t="shared" si="141"/>
        <v>0</v>
      </c>
      <c r="BK230" s="3298">
        <f t="shared" si="142"/>
        <v>0</v>
      </c>
      <c r="BL230" s="3298">
        <f t="shared" si="143"/>
        <v>0</v>
      </c>
      <c r="BM230" s="3298">
        <f t="shared" si="144"/>
        <v>0</v>
      </c>
      <c r="BN230" s="3298">
        <f t="shared" si="145"/>
        <v>0</v>
      </c>
      <c r="BO230" s="3298">
        <f t="shared" si="146"/>
        <v>0</v>
      </c>
      <c r="BP230" s="3298">
        <f t="shared" si="147"/>
        <v>0</v>
      </c>
      <c r="BQ230" s="3298">
        <f t="shared" si="148"/>
        <v>0</v>
      </c>
      <c r="BR230" s="3298">
        <f t="shared" si="149"/>
        <v>0</v>
      </c>
      <c r="BS230" s="3298">
        <f t="shared" si="150"/>
        <v>0</v>
      </c>
      <c r="BT230" s="3350">
        <f t="shared" si="151"/>
        <v>0</v>
      </c>
    </row>
    <row r="231" spans="1:72">
      <c r="A231" s="1407"/>
      <c r="B231" s="3296"/>
      <c r="C231" s="3296"/>
      <c r="D231" s="3297"/>
      <c r="E231" s="3298">
        <f t="shared" si="123"/>
        <v>0</v>
      </c>
      <c r="F231" s="3299"/>
      <c r="G231" s="3300">
        <f t="shared" si="124"/>
        <v>0</v>
      </c>
      <c r="H231" s="3301">
        <f t="shared" si="125"/>
        <v>0</v>
      </c>
      <c r="I231" s="3308"/>
      <c r="J231" s="3308"/>
      <c r="K231" s="3308"/>
      <c r="L231" s="3308"/>
      <c r="M231" s="3308"/>
      <c r="N231" s="3308"/>
      <c r="O231" s="3308"/>
      <c r="P231" s="3308"/>
      <c r="Q231" s="3308"/>
      <c r="R231" s="3308"/>
      <c r="S231" s="3308"/>
      <c r="T231" s="3308"/>
      <c r="U231" s="3308"/>
      <c r="V231" s="3308"/>
      <c r="W231" s="3308"/>
      <c r="X231" s="3308"/>
      <c r="Y231" s="3308"/>
      <c r="Z231" s="3308"/>
      <c r="AA231" s="3308"/>
      <c r="AB231" s="3308"/>
      <c r="AC231" s="3298">
        <f t="shared" si="126"/>
        <v>0</v>
      </c>
      <c r="AD231" s="3318"/>
      <c r="AE231" s="3318"/>
      <c r="AF231" s="3318"/>
      <c r="AG231" s="3318"/>
      <c r="AH231" s="3318"/>
      <c r="AI231" s="3318"/>
      <c r="AJ231" s="3318"/>
      <c r="AK231" s="3318"/>
      <c r="AL231" s="3318"/>
      <c r="AM231" s="3318"/>
      <c r="AN231" s="3318"/>
      <c r="AO231" s="3318"/>
      <c r="AP231" s="3318"/>
      <c r="AQ231" s="3318"/>
      <c r="AR231" s="3318"/>
      <c r="AS231" s="3318"/>
      <c r="AT231" s="3328"/>
      <c r="AU231" s="3329"/>
      <c r="AV231" s="963">
        <f t="shared" si="127"/>
        <v>0</v>
      </c>
      <c r="AW231" s="963">
        <f t="shared" si="128"/>
        <v>0</v>
      </c>
      <c r="AX231" s="963">
        <f t="shared" si="129"/>
        <v>0</v>
      </c>
      <c r="AY231" s="3343">
        <f t="shared" si="130"/>
        <v>0</v>
      </c>
      <c r="AZ231" s="3298">
        <f t="shared" si="131"/>
        <v>0</v>
      </c>
      <c r="BA231" s="3298">
        <f t="shared" si="132"/>
        <v>0</v>
      </c>
      <c r="BB231" s="3298">
        <f t="shared" si="133"/>
        <v>0</v>
      </c>
      <c r="BC231" s="3298">
        <f t="shared" si="134"/>
        <v>0</v>
      </c>
      <c r="BD231" s="3298">
        <f t="shared" si="135"/>
        <v>0</v>
      </c>
      <c r="BE231" s="3298">
        <f t="shared" si="136"/>
        <v>0</v>
      </c>
      <c r="BF231" s="3298">
        <f t="shared" si="137"/>
        <v>0</v>
      </c>
      <c r="BG231" s="3298">
        <f t="shared" si="138"/>
        <v>0</v>
      </c>
      <c r="BH231" s="3298">
        <f t="shared" si="139"/>
        <v>0</v>
      </c>
      <c r="BI231" s="3298">
        <f t="shared" si="140"/>
        <v>0</v>
      </c>
      <c r="BJ231" s="3298">
        <f t="shared" si="141"/>
        <v>0</v>
      </c>
      <c r="BK231" s="3298">
        <f t="shared" si="142"/>
        <v>0</v>
      </c>
      <c r="BL231" s="3298">
        <f t="shared" si="143"/>
        <v>0</v>
      </c>
      <c r="BM231" s="3298">
        <f t="shared" si="144"/>
        <v>0</v>
      </c>
      <c r="BN231" s="3298">
        <f t="shared" si="145"/>
        <v>0</v>
      </c>
      <c r="BO231" s="3298">
        <f t="shared" si="146"/>
        <v>0</v>
      </c>
      <c r="BP231" s="3298">
        <f t="shared" si="147"/>
        <v>0</v>
      </c>
      <c r="BQ231" s="3298">
        <f t="shared" si="148"/>
        <v>0</v>
      </c>
      <c r="BR231" s="3298">
        <f t="shared" si="149"/>
        <v>0</v>
      </c>
      <c r="BS231" s="3298">
        <f t="shared" si="150"/>
        <v>0</v>
      </c>
      <c r="BT231" s="3350">
        <f t="shared" si="151"/>
        <v>0</v>
      </c>
    </row>
    <row r="232" spans="1:72">
      <c r="A232" s="1407"/>
      <c r="B232" s="3296"/>
      <c r="C232" s="3296"/>
      <c r="D232" s="3297"/>
      <c r="E232" s="3298">
        <f t="shared" si="123"/>
        <v>0</v>
      </c>
      <c r="F232" s="3299"/>
      <c r="G232" s="3300">
        <f t="shared" si="124"/>
        <v>0</v>
      </c>
      <c r="H232" s="3301">
        <f t="shared" si="125"/>
        <v>0</v>
      </c>
      <c r="I232" s="3308"/>
      <c r="J232" s="3308"/>
      <c r="K232" s="3308"/>
      <c r="L232" s="3308"/>
      <c r="M232" s="3308"/>
      <c r="N232" s="3308"/>
      <c r="O232" s="3308"/>
      <c r="P232" s="3308"/>
      <c r="Q232" s="3308"/>
      <c r="R232" s="3308"/>
      <c r="S232" s="3308"/>
      <c r="T232" s="3308"/>
      <c r="U232" s="3308"/>
      <c r="V232" s="3308"/>
      <c r="W232" s="3308"/>
      <c r="X232" s="3308"/>
      <c r="Y232" s="3308"/>
      <c r="Z232" s="3308"/>
      <c r="AA232" s="3308"/>
      <c r="AB232" s="3308"/>
      <c r="AC232" s="3298">
        <f t="shared" si="126"/>
        <v>0</v>
      </c>
      <c r="AD232" s="3318"/>
      <c r="AE232" s="3318"/>
      <c r="AF232" s="3318"/>
      <c r="AG232" s="3318"/>
      <c r="AH232" s="3318"/>
      <c r="AI232" s="3318"/>
      <c r="AJ232" s="3318"/>
      <c r="AK232" s="3318"/>
      <c r="AL232" s="3318"/>
      <c r="AM232" s="3318"/>
      <c r="AN232" s="3318"/>
      <c r="AO232" s="3318"/>
      <c r="AP232" s="3318"/>
      <c r="AQ232" s="3318"/>
      <c r="AR232" s="3318"/>
      <c r="AS232" s="3318"/>
      <c r="AT232" s="3328"/>
      <c r="AU232" s="3329"/>
      <c r="AV232" s="963">
        <f t="shared" si="127"/>
        <v>0</v>
      </c>
      <c r="AW232" s="963">
        <f t="shared" si="128"/>
        <v>0</v>
      </c>
      <c r="AX232" s="963">
        <f t="shared" si="129"/>
        <v>0</v>
      </c>
      <c r="AY232" s="3343">
        <f t="shared" si="130"/>
        <v>0</v>
      </c>
      <c r="AZ232" s="3298">
        <f t="shared" si="131"/>
        <v>0</v>
      </c>
      <c r="BA232" s="3298">
        <f t="shared" si="132"/>
        <v>0</v>
      </c>
      <c r="BB232" s="3298">
        <f t="shared" si="133"/>
        <v>0</v>
      </c>
      <c r="BC232" s="3298">
        <f t="shared" si="134"/>
        <v>0</v>
      </c>
      <c r="BD232" s="3298">
        <f t="shared" si="135"/>
        <v>0</v>
      </c>
      <c r="BE232" s="3298">
        <f t="shared" si="136"/>
        <v>0</v>
      </c>
      <c r="BF232" s="3298">
        <f t="shared" si="137"/>
        <v>0</v>
      </c>
      <c r="BG232" s="3298">
        <f t="shared" si="138"/>
        <v>0</v>
      </c>
      <c r="BH232" s="3298">
        <f t="shared" si="139"/>
        <v>0</v>
      </c>
      <c r="BI232" s="3298">
        <f t="shared" si="140"/>
        <v>0</v>
      </c>
      <c r="BJ232" s="3298">
        <f t="shared" si="141"/>
        <v>0</v>
      </c>
      <c r="BK232" s="3298">
        <f t="shared" si="142"/>
        <v>0</v>
      </c>
      <c r="BL232" s="3298">
        <f t="shared" si="143"/>
        <v>0</v>
      </c>
      <c r="BM232" s="3298">
        <f t="shared" si="144"/>
        <v>0</v>
      </c>
      <c r="BN232" s="3298">
        <f t="shared" si="145"/>
        <v>0</v>
      </c>
      <c r="BO232" s="3298">
        <f t="shared" si="146"/>
        <v>0</v>
      </c>
      <c r="BP232" s="3298">
        <f t="shared" si="147"/>
        <v>0</v>
      </c>
      <c r="BQ232" s="3298">
        <f t="shared" si="148"/>
        <v>0</v>
      </c>
      <c r="BR232" s="3298">
        <f t="shared" si="149"/>
        <v>0</v>
      </c>
      <c r="BS232" s="3298">
        <f t="shared" si="150"/>
        <v>0</v>
      </c>
      <c r="BT232" s="3350">
        <f t="shared" si="151"/>
        <v>0</v>
      </c>
    </row>
    <row r="233" spans="1:72">
      <c r="A233" s="1407"/>
      <c r="B233" s="3296"/>
      <c r="C233" s="3296"/>
      <c r="D233" s="3297"/>
      <c r="E233" s="3298">
        <f t="shared" si="123"/>
        <v>0</v>
      </c>
      <c r="F233" s="3299"/>
      <c r="G233" s="3300">
        <f t="shared" si="124"/>
        <v>0</v>
      </c>
      <c r="H233" s="3301">
        <f t="shared" si="125"/>
        <v>0</v>
      </c>
      <c r="I233" s="3308"/>
      <c r="J233" s="3308"/>
      <c r="K233" s="3308"/>
      <c r="L233" s="3308"/>
      <c r="M233" s="3308"/>
      <c r="N233" s="3308"/>
      <c r="O233" s="3308"/>
      <c r="P233" s="3308"/>
      <c r="Q233" s="3308"/>
      <c r="R233" s="3308"/>
      <c r="S233" s="3308"/>
      <c r="T233" s="3308"/>
      <c r="U233" s="3308"/>
      <c r="V233" s="3308"/>
      <c r="W233" s="3308"/>
      <c r="X233" s="3308"/>
      <c r="Y233" s="3308"/>
      <c r="Z233" s="3308"/>
      <c r="AA233" s="3308"/>
      <c r="AB233" s="3308"/>
      <c r="AC233" s="3298">
        <f t="shared" si="126"/>
        <v>0</v>
      </c>
      <c r="AD233" s="3318"/>
      <c r="AE233" s="3318"/>
      <c r="AF233" s="3318"/>
      <c r="AG233" s="3318"/>
      <c r="AH233" s="3318"/>
      <c r="AI233" s="3318"/>
      <c r="AJ233" s="3318"/>
      <c r="AK233" s="3318"/>
      <c r="AL233" s="3318"/>
      <c r="AM233" s="3318"/>
      <c r="AN233" s="3318"/>
      <c r="AO233" s="3318"/>
      <c r="AP233" s="3318"/>
      <c r="AQ233" s="3318"/>
      <c r="AR233" s="3318"/>
      <c r="AS233" s="3318"/>
      <c r="AT233" s="3328"/>
      <c r="AU233" s="3329"/>
      <c r="AV233" s="963">
        <f t="shared" si="127"/>
        <v>0</v>
      </c>
      <c r="AW233" s="963">
        <f t="shared" si="128"/>
        <v>0</v>
      </c>
      <c r="AX233" s="963">
        <f t="shared" si="129"/>
        <v>0</v>
      </c>
      <c r="AY233" s="3343">
        <f t="shared" si="130"/>
        <v>0</v>
      </c>
      <c r="AZ233" s="3298">
        <f t="shared" si="131"/>
        <v>0</v>
      </c>
      <c r="BA233" s="3298">
        <f t="shared" si="132"/>
        <v>0</v>
      </c>
      <c r="BB233" s="3298">
        <f t="shared" si="133"/>
        <v>0</v>
      </c>
      <c r="BC233" s="3298">
        <f t="shared" si="134"/>
        <v>0</v>
      </c>
      <c r="BD233" s="3298">
        <f t="shared" si="135"/>
        <v>0</v>
      </c>
      <c r="BE233" s="3298">
        <f t="shared" si="136"/>
        <v>0</v>
      </c>
      <c r="BF233" s="3298">
        <f t="shared" si="137"/>
        <v>0</v>
      </c>
      <c r="BG233" s="3298">
        <f t="shared" si="138"/>
        <v>0</v>
      </c>
      <c r="BH233" s="3298">
        <f t="shared" si="139"/>
        <v>0</v>
      </c>
      <c r="BI233" s="3298">
        <f t="shared" si="140"/>
        <v>0</v>
      </c>
      <c r="BJ233" s="3298">
        <f t="shared" si="141"/>
        <v>0</v>
      </c>
      <c r="BK233" s="3298">
        <f t="shared" si="142"/>
        <v>0</v>
      </c>
      <c r="BL233" s="3298">
        <f t="shared" si="143"/>
        <v>0</v>
      </c>
      <c r="BM233" s="3298">
        <f t="shared" si="144"/>
        <v>0</v>
      </c>
      <c r="BN233" s="3298">
        <f t="shared" si="145"/>
        <v>0</v>
      </c>
      <c r="BO233" s="3298">
        <f t="shared" si="146"/>
        <v>0</v>
      </c>
      <c r="BP233" s="3298">
        <f t="shared" si="147"/>
        <v>0</v>
      </c>
      <c r="BQ233" s="3298">
        <f t="shared" si="148"/>
        <v>0</v>
      </c>
      <c r="BR233" s="3298">
        <f t="shared" si="149"/>
        <v>0</v>
      </c>
      <c r="BS233" s="3298">
        <f t="shared" si="150"/>
        <v>0</v>
      </c>
      <c r="BT233" s="3350">
        <f t="shared" si="151"/>
        <v>0</v>
      </c>
    </row>
    <row r="234" spans="1:72">
      <c r="A234" s="1407"/>
      <c r="B234" s="3296"/>
      <c r="C234" s="3296"/>
      <c r="D234" s="3297"/>
      <c r="E234" s="3298">
        <f t="shared" si="123"/>
        <v>0</v>
      </c>
      <c r="F234" s="3299"/>
      <c r="G234" s="3300">
        <f t="shared" si="124"/>
        <v>0</v>
      </c>
      <c r="H234" s="3301">
        <f t="shared" si="125"/>
        <v>0</v>
      </c>
      <c r="I234" s="3308"/>
      <c r="J234" s="3308"/>
      <c r="K234" s="3308"/>
      <c r="L234" s="3308"/>
      <c r="M234" s="3308"/>
      <c r="N234" s="3308"/>
      <c r="O234" s="3308"/>
      <c r="P234" s="3308"/>
      <c r="Q234" s="3308"/>
      <c r="R234" s="3308"/>
      <c r="S234" s="3308"/>
      <c r="T234" s="3308"/>
      <c r="U234" s="3308"/>
      <c r="V234" s="3308"/>
      <c r="W234" s="3308"/>
      <c r="X234" s="3308"/>
      <c r="Y234" s="3308"/>
      <c r="Z234" s="3308"/>
      <c r="AA234" s="3308"/>
      <c r="AB234" s="3308"/>
      <c r="AC234" s="3298">
        <f t="shared" si="126"/>
        <v>0</v>
      </c>
      <c r="AD234" s="3318"/>
      <c r="AE234" s="3318"/>
      <c r="AF234" s="3318"/>
      <c r="AG234" s="3318"/>
      <c r="AH234" s="3318"/>
      <c r="AI234" s="3318"/>
      <c r="AJ234" s="3318"/>
      <c r="AK234" s="3318"/>
      <c r="AL234" s="3318"/>
      <c r="AM234" s="3318"/>
      <c r="AN234" s="3318"/>
      <c r="AO234" s="3318"/>
      <c r="AP234" s="3318"/>
      <c r="AQ234" s="3318"/>
      <c r="AR234" s="3318"/>
      <c r="AS234" s="3318"/>
      <c r="AT234" s="3328"/>
      <c r="AU234" s="3329"/>
      <c r="AV234" s="963">
        <f t="shared" si="127"/>
        <v>0</v>
      </c>
      <c r="AW234" s="963">
        <f t="shared" si="128"/>
        <v>0</v>
      </c>
      <c r="AX234" s="963">
        <f t="shared" si="129"/>
        <v>0</v>
      </c>
      <c r="AY234" s="3343">
        <f t="shared" si="130"/>
        <v>0</v>
      </c>
      <c r="AZ234" s="3298">
        <f t="shared" si="131"/>
        <v>0</v>
      </c>
      <c r="BA234" s="3298">
        <f t="shared" si="132"/>
        <v>0</v>
      </c>
      <c r="BB234" s="3298">
        <f t="shared" si="133"/>
        <v>0</v>
      </c>
      <c r="BC234" s="3298">
        <f t="shared" si="134"/>
        <v>0</v>
      </c>
      <c r="BD234" s="3298">
        <f t="shared" si="135"/>
        <v>0</v>
      </c>
      <c r="BE234" s="3298">
        <f t="shared" si="136"/>
        <v>0</v>
      </c>
      <c r="BF234" s="3298">
        <f t="shared" si="137"/>
        <v>0</v>
      </c>
      <c r="BG234" s="3298">
        <f t="shared" si="138"/>
        <v>0</v>
      </c>
      <c r="BH234" s="3298">
        <f t="shared" si="139"/>
        <v>0</v>
      </c>
      <c r="BI234" s="3298">
        <f t="shared" si="140"/>
        <v>0</v>
      </c>
      <c r="BJ234" s="3298">
        <f t="shared" si="141"/>
        <v>0</v>
      </c>
      <c r="BK234" s="3298">
        <f t="shared" si="142"/>
        <v>0</v>
      </c>
      <c r="BL234" s="3298">
        <f t="shared" si="143"/>
        <v>0</v>
      </c>
      <c r="BM234" s="3298">
        <f t="shared" si="144"/>
        <v>0</v>
      </c>
      <c r="BN234" s="3298">
        <f t="shared" si="145"/>
        <v>0</v>
      </c>
      <c r="BO234" s="3298">
        <f t="shared" si="146"/>
        <v>0</v>
      </c>
      <c r="BP234" s="3298">
        <f t="shared" si="147"/>
        <v>0</v>
      </c>
      <c r="BQ234" s="3298">
        <f t="shared" si="148"/>
        <v>0</v>
      </c>
      <c r="BR234" s="3298">
        <f t="shared" si="149"/>
        <v>0</v>
      </c>
      <c r="BS234" s="3298">
        <f t="shared" si="150"/>
        <v>0</v>
      </c>
      <c r="BT234" s="3350">
        <f t="shared" si="151"/>
        <v>0</v>
      </c>
    </row>
    <row r="235" spans="1:72">
      <c r="A235" s="1407"/>
      <c r="B235" s="3296"/>
      <c r="C235" s="3296"/>
      <c r="D235" s="3297"/>
      <c r="E235" s="3298">
        <f t="shared" si="123"/>
        <v>0</v>
      </c>
      <c r="F235" s="3299"/>
      <c r="G235" s="3300">
        <f t="shared" si="124"/>
        <v>0</v>
      </c>
      <c r="H235" s="3301">
        <f t="shared" si="125"/>
        <v>0</v>
      </c>
      <c r="I235" s="3308"/>
      <c r="J235" s="3308"/>
      <c r="K235" s="3308"/>
      <c r="L235" s="3308"/>
      <c r="M235" s="3308"/>
      <c r="N235" s="3308"/>
      <c r="O235" s="3308"/>
      <c r="P235" s="3308"/>
      <c r="Q235" s="3308"/>
      <c r="R235" s="3308"/>
      <c r="S235" s="3308"/>
      <c r="T235" s="3308"/>
      <c r="U235" s="3308"/>
      <c r="V235" s="3308"/>
      <c r="W235" s="3308"/>
      <c r="X235" s="3308"/>
      <c r="Y235" s="3308"/>
      <c r="Z235" s="3308"/>
      <c r="AA235" s="3308"/>
      <c r="AB235" s="3308"/>
      <c r="AC235" s="3298">
        <f t="shared" si="126"/>
        <v>0</v>
      </c>
      <c r="AD235" s="3318"/>
      <c r="AE235" s="3318"/>
      <c r="AF235" s="3318"/>
      <c r="AG235" s="3318"/>
      <c r="AH235" s="3318"/>
      <c r="AI235" s="3318"/>
      <c r="AJ235" s="3318"/>
      <c r="AK235" s="3318"/>
      <c r="AL235" s="3318"/>
      <c r="AM235" s="3318"/>
      <c r="AN235" s="3318"/>
      <c r="AO235" s="3318"/>
      <c r="AP235" s="3318"/>
      <c r="AQ235" s="3318"/>
      <c r="AR235" s="3318"/>
      <c r="AS235" s="3318"/>
      <c r="AT235" s="3328"/>
      <c r="AU235" s="3329"/>
      <c r="AV235" s="963">
        <f t="shared" si="127"/>
        <v>0</v>
      </c>
      <c r="AW235" s="963">
        <f t="shared" si="128"/>
        <v>0</v>
      </c>
      <c r="AX235" s="963">
        <f t="shared" si="129"/>
        <v>0</v>
      </c>
      <c r="AY235" s="3343">
        <f t="shared" si="130"/>
        <v>0</v>
      </c>
      <c r="AZ235" s="3298">
        <f t="shared" si="131"/>
        <v>0</v>
      </c>
      <c r="BA235" s="3298">
        <f t="shared" si="132"/>
        <v>0</v>
      </c>
      <c r="BB235" s="3298">
        <f t="shared" si="133"/>
        <v>0</v>
      </c>
      <c r="BC235" s="3298">
        <f t="shared" si="134"/>
        <v>0</v>
      </c>
      <c r="BD235" s="3298">
        <f t="shared" si="135"/>
        <v>0</v>
      </c>
      <c r="BE235" s="3298">
        <f t="shared" si="136"/>
        <v>0</v>
      </c>
      <c r="BF235" s="3298">
        <f t="shared" si="137"/>
        <v>0</v>
      </c>
      <c r="BG235" s="3298">
        <f t="shared" si="138"/>
        <v>0</v>
      </c>
      <c r="BH235" s="3298">
        <f t="shared" si="139"/>
        <v>0</v>
      </c>
      <c r="BI235" s="3298">
        <f t="shared" si="140"/>
        <v>0</v>
      </c>
      <c r="BJ235" s="3298">
        <f t="shared" si="141"/>
        <v>0</v>
      </c>
      <c r="BK235" s="3298">
        <f t="shared" si="142"/>
        <v>0</v>
      </c>
      <c r="BL235" s="3298">
        <f t="shared" si="143"/>
        <v>0</v>
      </c>
      <c r="BM235" s="3298">
        <f t="shared" si="144"/>
        <v>0</v>
      </c>
      <c r="BN235" s="3298">
        <f t="shared" si="145"/>
        <v>0</v>
      </c>
      <c r="BO235" s="3298">
        <f t="shared" si="146"/>
        <v>0</v>
      </c>
      <c r="BP235" s="3298">
        <f t="shared" si="147"/>
        <v>0</v>
      </c>
      <c r="BQ235" s="3298">
        <f t="shared" si="148"/>
        <v>0</v>
      </c>
      <c r="BR235" s="3298">
        <f t="shared" si="149"/>
        <v>0</v>
      </c>
      <c r="BS235" s="3298">
        <f t="shared" si="150"/>
        <v>0</v>
      </c>
      <c r="BT235" s="3350">
        <f t="shared" si="151"/>
        <v>0</v>
      </c>
    </row>
    <row r="236" spans="1:72">
      <c r="A236" s="1407"/>
      <c r="B236" s="3296"/>
      <c r="C236" s="3296"/>
      <c r="D236" s="3297"/>
      <c r="E236" s="3298">
        <f t="shared" si="123"/>
        <v>0</v>
      </c>
      <c r="F236" s="3299"/>
      <c r="G236" s="3300">
        <f t="shared" si="124"/>
        <v>0</v>
      </c>
      <c r="H236" s="3301">
        <f t="shared" si="125"/>
        <v>0</v>
      </c>
      <c r="I236" s="3308"/>
      <c r="J236" s="3308"/>
      <c r="K236" s="3308"/>
      <c r="L236" s="3308"/>
      <c r="M236" s="3308"/>
      <c r="N236" s="3308"/>
      <c r="O236" s="3308"/>
      <c r="P236" s="3308"/>
      <c r="Q236" s="3308"/>
      <c r="R236" s="3308"/>
      <c r="S236" s="3308"/>
      <c r="T236" s="3308"/>
      <c r="U236" s="3308"/>
      <c r="V236" s="3308"/>
      <c r="W236" s="3308"/>
      <c r="X236" s="3308"/>
      <c r="Y236" s="3308"/>
      <c r="Z236" s="3308"/>
      <c r="AA236" s="3308"/>
      <c r="AB236" s="3308"/>
      <c r="AC236" s="3298">
        <f t="shared" si="126"/>
        <v>0</v>
      </c>
      <c r="AD236" s="3318"/>
      <c r="AE236" s="3318"/>
      <c r="AF236" s="3318"/>
      <c r="AG236" s="3318"/>
      <c r="AH236" s="3318"/>
      <c r="AI236" s="3318"/>
      <c r="AJ236" s="3318"/>
      <c r="AK236" s="3318"/>
      <c r="AL236" s="3318"/>
      <c r="AM236" s="3318"/>
      <c r="AN236" s="3318"/>
      <c r="AO236" s="3318"/>
      <c r="AP236" s="3318"/>
      <c r="AQ236" s="3318"/>
      <c r="AR236" s="3318"/>
      <c r="AS236" s="3318"/>
      <c r="AT236" s="3328"/>
      <c r="AU236" s="3329"/>
      <c r="AV236" s="963">
        <f t="shared" si="127"/>
        <v>0</v>
      </c>
      <c r="AW236" s="963">
        <f t="shared" si="128"/>
        <v>0</v>
      </c>
      <c r="AX236" s="963">
        <f t="shared" si="129"/>
        <v>0</v>
      </c>
      <c r="AY236" s="3343">
        <f t="shared" si="130"/>
        <v>0</v>
      </c>
      <c r="AZ236" s="3298">
        <f t="shared" si="131"/>
        <v>0</v>
      </c>
      <c r="BA236" s="3298">
        <f t="shared" si="132"/>
        <v>0</v>
      </c>
      <c r="BB236" s="3298">
        <f t="shared" si="133"/>
        <v>0</v>
      </c>
      <c r="BC236" s="3298">
        <f t="shared" si="134"/>
        <v>0</v>
      </c>
      <c r="BD236" s="3298">
        <f t="shared" si="135"/>
        <v>0</v>
      </c>
      <c r="BE236" s="3298">
        <f t="shared" si="136"/>
        <v>0</v>
      </c>
      <c r="BF236" s="3298">
        <f t="shared" si="137"/>
        <v>0</v>
      </c>
      <c r="BG236" s="3298">
        <f t="shared" si="138"/>
        <v>0</v>
      </c>
      <c r="BH236" s="3298">
        <f t="shared" si="139"/>
        <v>0</v>
      </c>
      <c r="BI236" s="3298">
        <f t="shared" si="140"/>
        <v>0</v>
      </c>
      <c r="BJ236" s="3298">
        <f t="shared" si="141"/>
        <v>0</v>
      </c>
      <c r="BK236" s="3298">
        <f t="shared" si="142"/>
        <v>0</v>
      </c>
      <c r="BL236" s="3298">
        <f t="shared" si="143"/>
        <v>0</v>
      </c>
      <c r="BM236" s="3298">
        <f t="shared" si="144"/>
        <v>0</v>
      </c>
      <c r="BN236" s="3298">
        <f t="shared" si="145"/>
        <v>0</v>
      </c>
      <c r="BO236" s="3298">
        <f t="shared" si="146"/>
        <v>0</v>
      </c>
      <c r="BP236" s="3298">
        <f t="shared" si="147"/>
        <v>0</v>
      </c>
      <c r="BQ236" s="3298">
        <f t="shared" si="148"/>
        <v>0</v>
      </c>
      <c r="BR236" s="3298">
        <f t="shared" si="149"/>
        <v>0</v>
      </c>
      <c r="BS236" s="3298">
        <f t="shared" si="150"/>
        <v>0</v>
      </c>
      <c r="BT236" s="3350">
        <f t="shared" si="151"/>
        <v>0</v>
      </c>
    </row>
    <row r="237" spans="1:72">
      <c r="A237" s="1407"/>
      <c r="B237" s="3296"/>
      <c r="C237" s="3296"/>
      <c r="D237" s="3297"/>
      <c r="E237" s="3298">
        <f t="shared" si="123"/>
        <v>0</v>
      </c>
      <c r="F237" s="3299"/>
      <c r="G237" s="3300">
        <f t="shared" si="124"/>
        <v>0</v>
      </c>
      <c r="H237" s="3301">
        <f t="shared" si="125"/>
        <v>0</v>
      </c>
      <c r="I237" s="3308"/>
      <c r="J237" s="3308"/>
      <c r="K237" s="3308"/>
      <c r="L237" s="3308"/>
      <c r="M237" s="3308"/>
      <c r="N237" s="3308"/>
      <c r="O237" s="3308"/>
      <c r="P237" s="3308"/>
      <c r="Q237" s="3308"/>
      <c r="R237" s="3308"/>
      <c r="S237" s="3308"/>
      <c r="T237" s="3308"/>
      <c r="U237" s="3308"/>
      <c r="V237" s="3308"/>
      <c r="W237" s="3308"/>
      <c r="X237" s="3308"/>
      <c r="Y237" s="3308"/>
      <c r="Z237" s="3308"/>
      <c r="AA237" s="3308"/>
      <c r="AB237" s="3308"/>
      <c r="AC237" s="3298">
        <f t="shared" si="126"/>
        <v>0</v>
      </c>
      <c r="AD237" s="3318"/>
      <c r="AE237" s="3318"/>
      <c r="AF237" s="3318"/>
      <c r="AG237" s="3318"/>
      <c r="AH237" s="3318"/>
      <c r="AI237" s="3318"/>
      <c r="AJ237" s="3318"/>
      <c r="AK237" s="3318"/>
      <c r="AL237" s="3318"/>
      <c r="AM237" s="3318"/>
      <c r="AN237" s="3318"/>
      <c r="AO237" s="3318"/>
      <c r="AP237" s="3318"/>
      <c r="AQ237" s="3318"/>
      <c r="AR237" s="3318"/>
      <c r="AS237" s="3318"/>
      <c r="AT237" s="3328"/>
      <c r="AU237" s="3329"/>
      <c r="AV237" s="963">
        <f t="shared" si="127"/>
        <v>0</v>
      </c>
      <c r="AW237" s="963">
        <f t="shared" si="128"/>
        <v>0</v>
      </c>
      <c r="AX237" s="963">
        <f t="shared" si="129"/>
        <v>0</v>
      </c>
      <c r="AY237" s="3343">
        <f t="shared" si="130"/>
        <v>0</v>
      </c>
      <c r="AZ237" s="3298">
        <f t="shared" si="131"/>
        <v>0</v>
      </c>
      <c r="BA237" s="3298">
        <f t="shared" si="132"/>
        <v>0</v>
      </c>
      <c r="BB237" s="3298">
        <f t="shared" si="133"/>
        <v>0</v>
      </c>
      <c r="BC237" s="3298">
        <f t="shared" si="134"/>
        <v>0</v>
      </c>
      <c r="BD237" s="3298">
        <f t="shared" si="135"/>
        <v>0</v>
      </c>
      <c r="BE237" s="3298">
        <f t="shared" si="136"/>
        <v>0</v>
      </c>
      <c r="BF237" s="3298">
        <f t="shared" si="137"/>
        <v>0</v>
      </c>
      <c r="BG237" s="3298">
        <f t="shared" si="138"/>
        <v>0</v>
      </c>
      <c r="BH237" s="3298">
        <f t="shared" si="139"/>
        <v>0</v>
      </c>
      <c r="BI237" s="3298">
        <f t="shared" si="140"/>
        <v>0</v>
      </c>
      <c r="BJ237" s="3298">
        <f t="shared" si="141"/>
        <v>0</v>
      </c>
      <c r="BK237" s="3298">
        <f t="shared" si="142"/>
        <v>0</v>
      </c>
      <c r="BL237" s="3298">
        <f t="shared" si="143"/>
        <v>0</v>
      </c>
      <c r="BM237" s="3298">
        <f t="shared" si="144"/>
        <v>0</v>
      </c>
      <c r="BN237" s="3298">
        <f t="shared" si="145"/>
        <v>0</v>
      </c>
      <c r="BO237" s="3298">
        <f t="shared" si="146"/>
        <v>0</v>
      </c>
      <c r="BP237" s="3298">
        <f t="shared" si="147"/>
        <v>0</v>
      </c>
      <c r="BQ237" s="3298">
        <f t="shared" si="148"/>
        <v>0</v>
      </c>
      <c r="BR237" s="3298">
        <f t="shared" si="149"/>
        <v>0</v>
      </c>
      <c r="BS237" s="3298">
        <f t="shared" si="150"/>
        <v>0</v>
      </c>
      <c r="BT237" s="3350">
        <f t="shared" si="151"/>
        <v>0</v>
      </c>
    </row>
    <row r="238" spans="1:72">
      <c r="A238" s="1407"/>
      <c r="B238" s="3296"/>
      <c r="C238" s="3296"/>
      <c r="D238" s="3297"/>
      <c r="E238" s="3298">
        <f t="shared" si="123"/>
        <v>0</v>
      </c>
      <c r="F238" s="3299"/>
      <c r="G238" s="3300">
        <f t="shared" si="124"/>
        <v>0</v>
      </c>
      <c r="H238" s="3301">
        <f t="shared" si="125"/>
        <v>0</v>
      </c>
      <c r="I238" s="3308"/>
      <c r="J238" s="3308"/>
      <c r="K238" s="3308"/>
      <c r="L238" s="3308"/>
      <c r="M238" s="3308"/>
      <c r="N238" s="3308"/>
      <c r="O238" s="3308"/>
      <c r="P238" s="3308"/>
      <c r="Q238" s="3308"/>
      <c r="R238" s="3308"/>
      <c r="S238" s="3308"/>
      <c r="T238" s="3308"/>
      <c r="U238" s="3308"/>
      <c r="V238" s="3308"/>
      <c r="W238" s="3308"/>
      <c r="X238" s="3308"/>
      <c r="Y238" s="3308"/>
      <c r="Z238" s="3308"/>
      <c r="AA238" s="3308"/>
      <c r="AB238" s="3308"/>
      <c r="AC238" s="3298">
        <f t="shared" si="126"/>
        <v>0</v>
      </c>
      <c r="AD238" s="3318"/>
      <c r="AE238" s="3318"/>
      <c r="AF238" s="3318"/>
      <c r="AG238" s="3318"/>
      <c r="AH238" s="3318"/>
      <c r="AI238" s="3318"/>
      <c r="AJ238" s="3318"/>
      <c r="AK238" s="3318"/>
      <c r="AL238" s="3318"/>
      <c r="AM238" s="3318"/>
      <c r="AN238" s="3318"/>
      <c r="AO238" s="3318"/>
      <c r="AP238" s="3318"/>
      <c r="AQ238" s="3318"/>
      <c r="AR238" s="3318"/>
      <c r="AS238" s="3318"/>
      <c r="AT238" s="3328"/>
      <c r="AU238" s="3329"/>
      <c r="AV238" s="963">
        <f t="shared" si="127"/>
        <v>0</v>
      </c>
      <c r="AW238" s="963">
        <f t="shared" si="128"/>
        <v>0</v>
      </c>
      <c r="AX238" s="963">
        <f t="shared" si="129"/>
        <v>0</v>
      </c>
      <c r="AY238" s="3343">
        <f t="shared" si="130"/>
        <v>0</v>
      </c>
      <c r="AZ238" s="3298">
        <f t="shared" si="131"/>
        <v>0</v>
      </c>
      <c r="BA238" s="3298">
        <f t="shared" si="132"/>
        <v>0</v>
      </c>
      <c r="BB238" s="3298">
        <f t="shared" si="133"/>
        <v>0</v>
      </c>
      <c r="BC238" s="3298">
        <f t="shared" si="134"/>
        <v>0</v>
      </c>
      <c r="BD238" s="3298">
        <f t="shared" si="135"/>
        <v>0</v>
      </c>
      <c r="BE238" s="3298">
        <f t="shared" si="136"/>
        <v>0</v>
      </c>
      <c r="BF238" s="3298">
        <f t="shared" si="137"/>
        <v>0</v>
      </c>
      <c r="BG238" s="3298">
        <f t="shared" si="138"/>
        <v>0</v>
      </c>
      <c r="BH238" s="3298">
        <f t="shared" si="139"/>
        <v>0</v>
      </c>
      <c r="BI238" s="3298">
        <f t="shared" si="140"/>
        <v>0</v>
      </c>
      <c r="BJ238" s="3298">
        <f t="shared" si="141"/>
        <v>0</v>
      </c>
      <c r="BK238" s="3298">
        <f t="shared" si="142"/>
        <v>0</v>
      </c>
      <c r="BL238" s="3298">
        <f t="shared" si="143"/>
        <v>0</v>
      </c>
      <c r="BM238" s="3298">
        <f t="shared" si="144"/>
        <v>0</v>
      </c>
      <c r="BN238" s="3298">
        <f t="shared" si="145"/>
        <v>0</v>
      </c>
      <c r="BO238" s="3298">
        <f t="shared" si="146"/>
        <v>0</v>
      </c>
      <c r="BP238" s="3298">
        <f t="shared" si="147"/>
        <v>0</v>
      </c>
      <c r="BQ238" s="3298">
        <f t="shared" si="148"/>
        <v>0</v>
      </c>
      <c r="BR238" s="3298">
        <f t="shared" si="149"/>
        <v>0</v>
      </c>
      <c r="BS238" s="3298">
        <f t="shared" si="150"/>
        <v>0</v>
      </c>
      <c r="BT238" s="3350">
        <f t="shared" si="151"/>
        <v>0</v>
      </c>
    </row>
    <row r="239" spans="1:72">
      <c r="A239" s="1407"/>
      <c r="B239" s="3296"/>
      <c r="C239" s="3296"/>
      <c r="D239" s="3297"/>
      <c r="E239" s="3298">
        <f t="shared" si="123"/>
        <v>0</v>
      </c>
      <c r="F239" s="3299"/>
      <c r="G239" s="3300">
        <f t="shared" si="124"/>
        <v>0</v>
      </c>
      <c r="H239" s="3301">
        <f t="shared" si="125"/>
        <v>0</v>
      </c>
      <c r="I239" s="3308"/>
      <c r="J239" s="3308"/>
      <c r="K239" s="3308"/>
      <c r="L239" s="3308"/>
      <c r="M239" s="3308"/>
      <c r="N239" s="3308"/>
      <c r="O239" s="3308"/>
      <c r="P239" s="3308"/>
      <c r="Q239" s="3308"/>
      <c r="R239" s="3308"/>
      <c r="S239" s="3308"/>
      <c r="T239" s="3308"/>
      <c r="U239" s="3308"/>
      <c r="V239" s="3308"/>
      <c r="W239" s="3308"/>
      <c r="X239" s="3308"/>
      <c r="Y239" s="3308"/>
      <c r="Z239" s="3308"/>
      <c r="AA239" s="3308"/>
      <c r="AB239" s="3308"/>
      <c r="AC239" s="3298">
        <f t="shared" si="126"/>
        <v>0</v>
      </c>
      <c r="AD239" s="3318"/>
      <c r="AE239" s="3318"/>
      <c r="AF239" s="3318"/>
      <c r="AG239" s="3318"/>
      <c r="AH239" s="3318"/>
      <c r="AI239" s="3318"/>
      <c r="AJ239" s="3318"/>
      <c r="AK239" s="3318"/>
      <c r="AL239" s="3318"/>
      <c r="AM239" s="3318"/>
      <c r="AN239" s="3318"/>
      <c r="AO239" s="3318"/>
      <c r="AP239" s="3318"/>
      <c r="AQ239" s="3318"/>
      <c r="AR239" s="3318"/>
      <c r="AS239" s="3318"/>
      <c r="AT239" s="3328"/>
      <c r="AU239" s="3329"/>
      <c r="AV239" s="963">
        <f t="shared" si="127"/>
        <v>0</v>
      </c>
      <c r="AW239" s="963">
        <f t="shared" si="128"/>
        <v>0</v>
      </c>
      <c r="AX239" s="963">
        <f t="shared" si="129"/>
        <v>0</v>
      </c>
      <c r="AY239" s="3343">
        <f t="shared" si="130"/>
        <v>0</v>
      </c>
      <c r="AZ239" s="3298">
        <f t="shared" si="131"/>
        <v>0</v>
      </c>
      <c r="BA239" s="3298">
        <f t="shared" si="132"/>
        <v>0</v>
      </c>
      <c r="BB239" s="3298">
        <f t="shared" si="133"/>
        <v>0</v>
      </c>
      <c r="BC239" s="3298">
        <f t="shared" si="134"/>
        <v>0</v>
      </c>
      <c r="BD239" s="3298">
        <f t="shared" si="135"/>
        <v>0</v>
      </c>
      <c r="BE239" s="3298">
        <f t="shared" si="136"/>
        <v>0</v>
      </c>
      <c r="BF239" s="3298">
        <f t="shared" si="137"/>
        <v>0</v>
      </c>
      <c r="BG239" s="3298">
        <f t="shared" si="138"/>
        <v>0</v>
      </c>
      <c r="BH239" s="3298">
        <f t="shared" si="139"/>
        <v>0</v>
      </c>
      <c r="BI239" s="3298">
        <f t="shared" si="140"/>
        <v>0</v>
      </c>
      <c r="BJ239" s="3298">
        <f t="shared" si="141"/>
        <v>0</v>
      </c>
      <c r="BK239" s="3298">
        <f t="shared" si="142"/>
        <v>0</v>
      </c>
      <c r="BL239" s="3298">
        <f t="shared" si="143"/>
        <v>0</v>
      </c>
      <c r="BM239" s="3298">
        <f t="shared" si="144"/>
        <v>0</v>
      </c>
      <c r="BN239" s="3298">
        <f t="shared" si="145"/>
        <v>0</v>
      </c>
      <c r="BO239" s="3298">
        <f t="shared" si="146"/>
        <v>0</v>
      </c>
      <c r="BP239" s="3298">
        <f t="shared" si="147"/>
        <v>0</v>
      </c>
      <c r="BQ239" s="3298">
        <f t="shared" si="148"/>
        <v>0</v>
      </c>
      <c r="BR239" s="3298">
        <f t="shared" si="149"/>
        <v>0</v>
      </c>
      <c r="BS239" s="3298">
        <f t="shared" si="150"/>
        <v>0</v>
      </c>
      <c r="BT239" s="3350">
        <f t="shared" si="151"/>
        <v>0</v>
      </c>
    </row>
    <row r="240" spans="1:72">
      <c r="A240" s="1407"/>
      <c r="B240" s="3296"/>
      <c r="C240" s="3296"/>
      <c r="D240" s="3297"/>
      <c r="E240" s="3298">
        <f t="shared" si="123"/>
        <v>0</v>
      </c>
      <c r="F240" s="3299"/>
      <c r="G240" s="3300">
        <f t="shared" si="124"/>
        <v>0</v>
      </c>
      <c r="H240" s="3301">
        <f t="shared" si="125"/>
        <v>0</v>
      </c>
      <c r="I240" s="3308"/>
      <c r="J240" s="3308"/>
      <c r="K240" s="3308"/>
      <c r="L240" s="3308"/>
      <c r="M240" s="3308"/>
      <c r="N240" s="3308"/>
      <c r="O240" s="3308"/>
      <c r="P240" s="3308"/>
      <c r="Q240" s="3308"/>
      <c r="R240" s="3308"/>
      <c r="S240" s="3308"/>
      <c r="T240" s="3308"/>
      <c r="U240" s="3308"/>
      <c r="V240" s="3308"/>
      <c r="W240" s="3308"/>
      <c r="X240" s="3308"/>
      <c r="Y240" s="3308"/>
      <c r="Z240" s="3308"/>
      <c r="AA240" s="3308"/>
      <c r="AB240" s="3308"/>
      <c r="AC240" s="3298">
        <f t="shared" si="126"/>
        <v>0</v>
      </c>
      <c r="AD240" s="3318"/>
      <c r="AE240" s="3318"/>
      <c r="AF240" s="3318"/>
      <c r="AG240" s="3318"/>
      <c r="AH240" s="3318"/>
      <c r="AI240" s="3318"/>
      <c r="AJ240" s="3318"/>
      <c r="AK240" s="3318"/>
      <c r="AL240" s="3318"/>
      <c r="AM240" s="3318"/>
      <c r="AN240" s="3318"/>
      <c r="AO240" s="3318"/>
      <c r="AP240" s="3318"/>
      <c r="AQ240" s="3318"/>
      <c r="AR240" s="3318"/>
      <c r="AS240" s="3318"/>
      <c r="AT240" s="3328"/>
      <c r="AU240" s="3329"/>
      <c r="AV240" s="963">
        <f t="shared" si="127"/>
        <v>0</v>
      </c>
      <c r="AW240" s="963">
        <f t="shared" si="128"/>
        <v>0</v>
      </c>
      <c r="AX240" s="963">
        <f t="shared" si="129"/>
        <v>0</v>
      </c>
      <c r="AY240" s="3343">
        <f t="shared" si="130"/>
        <v>0</v>
      </c>
      <c r="AZ240" s="3298">
        <f t="shared" si="131"/>
        <v>0</v>
      </c>
      <c r="BA240" s="3298">
        <f t="shared" si="132"/>
        <v>0</v>
      </c>
      <c r="BB240" s="3298">
        <f t="shared" si="133"/>
        <v>0</v>
      </c>
      <c r="BC240" s="3298">
        <f t="shared" si="134"/>
        <v>0</v>
      </c>
      <c r="BD240" s="3298">
        <f t="shared" si="135"/>
        <v>0</v>
      </c>
      <c r="BE240" s="3298">
        <f t="shared" si="136"/>
        <v>0</v>
      </c>
      <c r="BF240" s="3298">
        <f t="shared" si="137"/>
        <v>0</v>
      </c>
      <c r="BG240" s="3298">
        <f t="shared" si="138"/>
        <v>0</v>
      </c>
      <c r="BH240" s="3298">
        <f t="shared" si="139"/>
        <v>0</v>
      </c>
      <c r="BI240" s="3298">
        <f t="shared" si="140"/>
        <v>0</v>
      </c>
      <c r="BJ240" s="3298">
        <f t="shared" si="141"/>
        <v>0</v>
      </c>
      <c r="BK240" s="3298">
        <f t="shared" si="142"/>
        <v>0</v>
      </c>
      <c r="BL240" s="3298">
        <f t="shared" si="143"/>
        <v>0</v>
      </c>
      <c r="BM240" s="3298">
        <f t="shared" si="144"/>
        <v>0</v>
      </c>
      <c r="BN240" s="3298">
        <f t="shared" si="145"/>
        <v>0</v>
      </c>
      <c r="BO240" s="3298">
        <f t="shared" si="146"/>
        <v>0</v>
      </c>
      <c r="BP240" s="3298">
        <f t="shared" si="147"/>
        <v>0</v>
      </c>
      <c r="BQ240" s="3298">
        <f t="shared" si="148"/>
        <v>0</v>
      </c>
      <c r="BR240" s="3298">
        <f t="shared" si="149"/>
        <v>0</v>
      </c>
      <c r="BS240" s="3298">
        <f t="shared" si="150"/>
        <v>0</v>
      </c>
      <c r="BT240" s="3350">
        <f t="shared" si="151"/>
        <v>0</v>
      </c>
    </row>
    <row r="241" spans="1:72">
      <c r="A241" s="1407"/>
      <c r="B241" s="3296"/>
      <c r="C241" s="3296"/>
      <c r="D241" s="3297"/>
      <c r="E241" s="3298">
        <f t="shared" si="123"/>
        <v>0</v>
      </c>
      <c r="F241" s="3299"/>
      <c r="G241" s="3300">
        <f t="shared" si="124"/>
        <v>0</v>
      </c>
      <c r="H241" s="3301">
        <f t="shared" si="125"/>
        <v>0</v>
      </c>
      <c r="I241" s="3308"/>
      <c r="J241" s="3308"/>
      <c r="K241" s="3308"/>
      <c r="L241" s="3308"/>
      <c r="M241" s="3308"/>
      <c r="N241" s="3308"/>
      <c r="O241" s="3308"/>
      <c r="P241" s="3308"/>
      <c r="Q241" s="3308"/>
      <c r="R241" s="3308"/>
      <c r="S241" s="3308"/>
      <c r="T241" s="3308"/>
      <c r="U241" s="3308"/>
      <c r="V241" s="3308"/>
      <c r="W241" s="3308"/>
      <c r="X241" s="3308"/>
      <c r="Y241" s="3308"/>
      <c r="Z241" s="3308"/>
      <c r="AA241" s="3308"/>
      <c r="AB241" s="3308"/>
      <c r="AC241" s="3298">
        <f t="shared" si="126"/>
        <v>0</v>
      </c>
      <c r="AD241" s="3318"/>
      <c r="AE241" s="3318"/>
      <c r="AF241" s="3318"/>
      <c r="AG241" s="3318"/>
      <c r="AH241" s="3318"/>
      <c r="AI241" s="3318"/>
      <c r="AJ241" s="3318"/>
      <c r="AK241" s="3318"/>
      <c r="AL241" s="3318"/>
      <c r="AM241" s="3318"/>
      <c r="AN241" s="3318"/>
      <c r="AO241" s="3318"/>
      <c r="AP241" s="3318"/>
      <c r="AQ241" s="3318"/>
      <c r="AR241" s="3318"/>
      <c r="AS241" s="3318"/>
      <c r="AT241" s="3328"/>
      <c r="AU241" s="3329"/>
      <c r="AV241" s="963">
        <f t="shared" si="127"/>
        <v>0</v>
      </c>
      <c r="AW241" s="963">
        <f t="shared" si="128"/>
        <v>0</v>
      </c>
      <c r="AX241" s="963">
        <f t="shared" si="129"/>
        <v>0</v>
      </c>
      <c r="AY241" s="3343">
        <f t="shared" si="130"/>
        <v>0</v>
      </c>
      <c r="AZ241" s="3298">
        <f t="shared" si="131"/>
        <v>0</v>
      </c>
      <c r="BA241" s="3298">
        <f t="shared" si="132"/>
        <v>0</v>
      </c>
      <c r="BB241" s="3298">
        <f t="shared" si="133"/>
        <v>0</v>
      </c>
      <c r="BC241" s="3298">
        <f t="shared" si="134"/>
        <v>0</v>
      </c>
      <c r="BD241" s="3298">
        <f t="shared" si="135"/>
        <v>0</v>
      </c>
      <c r="BE241" s="3298">
        <f t="shared" si="136"/>
        <v>0</v>
      </c>
      <c r="BF241" s="3298">
        <f t="shared" si="137"/>
        <v>0</v>
      </c>
      <c r="BG241" s="3298">
        <f t="shared" si="138"/>
        <v>0</v>
      </c>
      <c r="BH241" s="3298">
        <f t="shared" si="139"/>
        <v>0</v>
      </c>
      <c r="BI241" s="3298">
        <f t="shared" si="140"/>
        <v>0</v>
      </c>
      <c r="BJ241" s="3298">
        <f t="shared" si="141"/>
        <v>0</v>
      </c>
      <c r="BK241" s="3298">
        <f t="shared" si="142"/>
        <v>0</v>
      </c>
      <c r="BL241" s="3298">
        <f t="shared" si="143"/>
        <v>0</v>
      </c>
      <c r="BM241" s="3298">
        <f t="shared" si="144"/>
        <v>0</v>
      </c>
      <c r="BN241" s="3298">
        <f t="shared" si="145"/>
        <v>0</v>
      </c>
      <c r="BO241" s="3298">
        <f t="shared" si="146"/>
        <v>0</v>
      </c>
      <c r="BP241" s="3298">
        <f t="shared" si="147"/>
        <v>0</v>
      </c>
      <c r="BQ241" s="3298">
        <f t="shared" si="148"/>
        <v>0</v>
      </c>
      <c r="BR241" s="3298">
        <f t="shared" si="149"/>
        <v>0</v>
      </c>
      <c r="BS241" s="3298">
        <f t="shared" si="150"/>
        <v>0</v>
      </c>
      <c r="BT241" s="3350">
        <f t="shared" si="151"/>
        <v>0</v>
      </c>
    </row>
    <row r="242" spans="1:72">
      <c r="A242" s="1407"/>
      <c r="B242" s="3296"/>
      <c r="C242" s="3296"/>
      <c r="D242" s="3297"/>
      <c r="E242" s="3298">
        <f t="shared" si="123"/>
        <v>0</v>
      </c>
      <c r="F242" s="3299"/>
      <c r="G242" s="3300">
        <f t="shared" si="124"/>
        <v>0</v>
      </c>
      <c r="H242" s="3301">
        <f t="shared" si="125"/>
        <v>0</v>
      </c>
      <c r="I242" s="3308"/>
      <c r="J242" s="3308"/>
      <c r="K242" s="3308"/>
      <c r="L242" s="3308"/>
      <c r="M242" s="3308"/>
      <c r="N242" s="3308"/>
      <c r="O242" s="3308"/>
      <c r="P242" s="3308"/>
      <c r="Q242" s="3308"/>
      <c r="R242" s="3308"/>
      <c r="S242" s="3308"/>
      <c r="T242" s="3308"/>
      <c r="U242" s="3308"/>
      <c r="V242" s="3308"/>
      <c r="W242" s="3308"/>
      <c r="X242" s="3308"/>
      <c r="Y242" s="3308"/>
      <c r="Z242" s="3308"/>
      <c r="AA242" s="3308"/>
      <c r="AB242" s="3308"/>
      <c r="AC242" s="3298">
        <f t="shared" si="126"/>
        <v>0</v>
      </c>
      <c r="AD242" s="3318"/>
      <c r="AE242" s="3318"/>
      <c r="AF242" s="3318"/>
      <c r="AG242" s="3318"/>
      <c r="AH242" s="3318"/>
      <c r="AI242" s="3318"/>
      <c r="AJ242" s="3318"/>
      <c r="AK242" s="3318"/>
      <c r="AL242" s="3318"/>
      <c r="AM242" s="3318"/>
      <c r="AN242" s="3318"/>
      <c r="AO242" s="3318"/>
      <c r="AP242" s="3318"/>
      <c r="AQ242" s="3318"/>
      <c r="AR242" s="3318"/>
      <c r="AS242" s="3318"/>
      <c r="AT242" s="3328"/>
      <c r="AU242" s="3329"/>
      <c r="AV242" s="963">
        <f t="shared" si="127"/>
        <v>0</v>
      </c>
      <c r="AW242" s="963">
        <f t="shared" si="128"/>
        <v>0</v>
      </c>
      <c r="AX242" s="963">
        <f t="shared" si="129"/>
        <v>0</v>
      </c>
      <c r="AY242" s="3343">
        <f t="shared" si="130"/>
        <v>0</v>
      </c>
      <c r="AZ242" s="3298">
        <f t="shared" si="131"/>
        <v>0</v>
      </c>
      <c r="BA242" s="3298">
        <f t="shared" si="132"/>
        <v>0</v>
      </c>
      <c r="BB242" s="3298">
        <f t="shared" si="133"/>
        <v>0</v>
      </c>
      <c r="BC242" s="3298">
        <f t="shared" si="134"/>
        <v>0</v>
      </c>
      <c r="BD242" s="3298">
        <f t="shared" si="135"/>
        <v>0</v>
      </c>
      <c r="BE242" s="3298">
        <f t="shared" si="136"/>
        <v>0</v>
      </c>
      <c r="BF242" s="3298">
        <f t="shared" si="137"/>
        <v>0</v>
      </c>
      <c r="BG242" s="3298">
        <f t="shared" si="138"/>
        <v>0</v>
      </c>
      <c r="BH242" s="3298">
        <f t="shared" si="139"/>
        <v>0</v>
      </c>
      <c r="BI242" s="3298">
        <f t="shared" si="140"/>
        <v>0</v>
      </c>
      <c r="BJ242" s="3298">
        <f t="shared" si="141"/>
        <v>0</v>
      </c>
      <c r="BK242" s="3298">
        <f t="shared" si="142"/>
        <v>0</v>
      </c>
      <c r="BL242" s="3298">
        <f t="shared" si="143"/>
        <v>0</v>
      </c>
      <c r="BM242" s="3298">
        <f t="shared" si="144"/>
        <v>0</v>
      </c>
      <c r="BN242" s="3298">
        <f t="shared" si="145"/>
        <v>0</v>
      </c>
      <c r="BO242" s="3298">
        <f t="shared" si="146"/>
        <v>0</v>
      </c>
      <c r="BP242" s="3298">
        <f t="shared" si="147"/>
        <v>0</v>
      </c>
      <c r="BQ242" s="3298">
        <f t="shared" si="148"/>
        <v>0</v>
      </c>
      <c r="BR242" s="3298">
        <f t="shared" si="149"/>
        <v>0</v>
      </c>
      <c r="BS242" s="3298">
        <f t="shared" si="150"/>
        <v>0</v>
      </c>
      <c r="BT242" s="3350">
        <f t="shared" si="151"/>
        <v>0</v>
      </c>
    </row>
    <row r="243" spans="1:72">
      <c r="A243" s="1407"/>
      <c r="B243" s="3296"/>
      <c r="C243" s="3296"/>
      <c r="D243" s="3297"/>
      <c r="E243" s="3298">
        <f t="shared" si="123"/>
        <v>0</v>
      </c>
      <c r="F243" s="3299"/>
      <c r="G243" s="3300">
        <f t="shared" si="124"/>
        <v>0</v>
      </c>
      <c r="H243" s="3301">
        <f t="shared" si="125"/>
        <v>0</v>
      </c>
      <c r="I243" s="3308"/>
      <c r="J243" s="3308"/>
      <c r="K243" s="3308"/>
      <c r="L243" s="3308"/>
      <c r="M243" s="3308"/>
      <c r="N243" s="3308"/>
      <c r="O243" s="3308"/>
      <c r="P243" s="3308"/>
      <c r="Q243" s="3308"/>
      <c r="R243" s="3308"/>
      <c r="S243" s="3308"/>
      <c r="T243" s="3308"/>
      <c r="U243" s="3308"/>
      <c r="V243" s="3308"/>
      <c r="W243" s="3308"/>
      <c r="X243" s="3308"/>
      <c r="Y243" s="3308"/>
      <c r="Z243" s="3308"/>
      <c r="AA243" s="3308"/>
      <c r="AB243" s="3308"/>
      <c r="AC243" s="3298">
        <f t="shared" si="126"/>
        <v>0</v>
      </c>
      <c r="AD243" s="3318"/>
      <c r="AE243" s="3318"/>
      <c r="AF243" s="3318"/>
      <c r="AG243" s="3318"/>
      <c r="AH243" s="3318"/>
      <c r="AI243" s="3318"/>
      <c r="AJ243" s="3318"/>
      <c r="AK243" s="3318"/>
      <c r="AL243" s="3318"/>
      <c r="AM243" s="3318"/>
      <c r="AN243" s="3318"/>
      <c r="AO243" s="3318"/>
      <c r="AP243" s="3318"/>
      <c r="AQ243" s="3318"/>
      <c r="AR243" s="3318"/>
      <c r="AS243" s="3318"/>
      <c r="AT243" s="3328"/>
      <c r="AU243" s="3329"/>
      <c r="AV243" s="963">
        <f t="shared" si="127"/>
        <v>0</v>
      </c>
      <c r="AW243" s="963">
        <f t="shared" si="128"/>
        <v>0</v>
      </c>
      <c r="AX243" s="963">
        <f t="shared" si="129"/>
        <v>0</v>
      </c>
      <c r="AY243" s="3343">
        <f t="shared" si="130"/>
        <v>0</v>
      </c>
      <c r="AZ243" s="3298">
        <f t="shared" si="131"/>
        <v>0</v>
      </c>
      <c r="BA243" s="3298">
        <f t="shared" si="132"/>
        <v>0</v>
      </c>
      <c r="BB243" s="3298">
        <f t="shared" si="133"/>
        <v>0</v>
      </c>
      <c r="BC243" s="3298">
        <f t="shared" si="134"/>
        <v>0</v>
      </c>
      <c r="BD243" s="3298">
        <f t="shared" si="135"/>
        <v>0</v>
      </c>
      <c r="BE243" s="3298">
        <f t="shared" si="136"/>
        <v>0</v>
      </c>
      <c r="BF243" s="3298">
        <f t="shared" si="137"/>
        <v>0</v>
      </c>
      <c r="BG243" s="3298">
        <f t="shared" si="138"/>
        <v>0</v>
      </c>
      <c r="BH243" s="3298">
        <f t="shared" si="139"/>
        <v>0</v>
      </c>
      <c r="BI243" s="3298">
        <f t="shared" si="140"/>
        <v>0</v>
      </c>
      <c r="BJ243" s="3298">
        <f t="shared" si="141"/>
        <v>0</v>
      </c>
      <c r="BK243" s="3298">
        <f t="shared" si="142"/>
        <v>0</v>
      </c>
      <c r="BL243" s="3298">
        <f t="shared" si="143"/>
        <v>0</v>
      </c>
      <c r="BM243" s="3298">
        <f t="shared" si="144"/>
        <v>0</v>
      </c>
      <c r="BN243" s="3298">
        <f t="shared" si="145"/>
        <v>0</v>
      </c>
      <c r="BO243" s="3298">
        <f t="shared" si="146"/>
        <v>0</v>
      </c>
      <c r="BP243" s="3298">
        <f t="shared" si="147"/>
        <v>0</v>
      </c>
      <c r="BQ243" s="3298">
        <f t="shared" si="148"/>
        <v>0</v>
      </c>
      <c r="BR243" s="3298">
        <f t="shared" si="149"/>
        <v>0</v>
      </c>
      <c r="BS243" s="3298">
        <f t="shared" si="150"/>
        <v>0</v>
      </c>
      <c r="BT243" s="3350">
        <f t="shared" si="151"/>
        <v>0</v>
      </c>
    </row>
    <row r="244" spans="1:72">
      <c r="A244" s="1407"/>
      <c r="B244" s="3296"/>
      <c r="C244" s="3296"/>
      <c r="D244" s="3297"/>
      <c r="E244" s="3298">
        <f t="shared" si="123"/>
        <v>0</v>
      </c>
      <c r="F244" s="3299"/>
      <c r="G244" s="3300">
        <f t="shared" si="124"/>
        <v>0</v>
      </c>
      <c r="H244" s="3301">
        <f t="shared" si="125"/>
        <v>0</v>
      </c>
      <c r="I244" s="3308"/>
      <c r="J244" s="3308"/>
      <c r="K244" s="3308"/>
      <c r="L244" s="3308"/>
      <c r="M244" s="3308"/>
      <c r="N244" s="3308"/>
      <c r="O244" s="3308"/>
      <c r="P244" s="3308"/>
      <c r="Q244" s="3308"/>
      <c r="R244" s="3308"/>
      <c r="S244" s="3308"/>
      <c r="T244" s="3308"/>
      <c r="U244" s="3308"/>
      <c r="V244" s="3308"/>
      <c r="W244" s="3308"/>
      <c r="X244" s="3308"/>
      <c r="Y244" s="3308"/>
      <c r="Z244" s="3308"/>
      <c r="AA244" s="3308"/>
      <c r="AB244" s="3308"/>
      <c r="AC244" s="3298">
        <f t="shared" si="126"/>
        <v>0</v>
      </c>
      <c r="AD244" s="3318"/>
      <c r="AE244" s="3318"/>
      <c r="AF244" s="3318"/>
      <c r="AG244" s="3318"/>
      <c r="AH244" s="3318"/>
      <c r="AI244" s="3318"/>
      <c r="AJ244" s="3318"/>
      <c r="AK244" s="3318"/>
      <c r="AL244" s="3318"/>
      <c r="AM244" s="3318"/>
      <c r="AN244" s="3318"/>
      <c r="AO244" s="3318"/>
      <c r="AP244" s="3318"/>
      <c r="AQ244" s="3318"/>
      <c r="AR244" s="3318"/>
      <c r="AS244" s="3318"/>
      <c r="AT244" s="3328"/>
      <c r="AU244" s="3329"/>
      <c r="AV244" s="963">
        <f t="shared" si="127"/>
        <v>0</v>
      </c>
      <c r="AW244" s="963">
        <f t="shared" si="128"/>
        <v>0</v>
      </c>
      <c r="AX244" s="963">
        <f t="shared" si="129"/>
        <v>0</v>
      </c>
      <c r="AY244" s="3343">
        <f t="shared" si="130"/>
        <v>0</v>
      </c>
      <c r="AZ244" s="3298">
        <f t="shared" si="131"/>
        <v>0</v>
      </c>
      <c r="BA244" s="3298">
        <f t="shared" si="132"/>
        <v>0</v>
      </c>
      <c r="BB244" s="3298">
        <f t="shared" si="133"/>
        <v>0</v>
      </c>
      <c r="BC244" s="3298">
        <f t="shared" si="134"/>
        <v>0</v>
      </c>
      <c r="BD244" s="3298">
        <f t="shared" si="135"/>
        <v>0</v>
      </c>
      <c r="BE244" s="3298">
        <f t="shared" si="136"/>
        <v>0</v>
      </c>
      <c r="BF244" s="3298">
        <f t="shared" si="137"/>
        <v>0</v>
      </c>
      <c r="BG244" s="3298">
        <f t="shared" si="138"/>
        <v>0</v>
      </c>
      <c r="BH244" s="3298">
        <f t="shared" si="139"/>
        <v>0</v>
      </c>
      <c r="BI244" s="3298">
        <f t="shared" si="140"/>
        <v>0</v>
      </c>
      <c r="BJ244" s="3298">
        <f t="shared" si="141"/>
        <v>0</v>
      </c>
      <c r="BK244" s="3298">
        <f t="shared" si="142"/>
        <v>0</v>
      </c>
      <c r="BL244" s="3298">
        <f t="shared" si="143"/>
        <v>0</v>
      </c>
      <c r="BM244" s="3298">
        <f t="shared" si="144"/>
        <v>0</v>
      </c>
      <c r="BN244" s="3298">
        <f t="shared" si="145"/>
        <v>0</v>
      </c>
      <c r="BO244" s="3298">
        <f t="shared" si="146"/>
        <v>0</v>
      </c>
      <c r="BP244" s="3298">
        <f t="shared" si="147"/>
        <v>0</v>
      </c>
      <c r="BQ244" s="3298">
        <f t="shared" si="148"/>
        <v>0</v>
      </c>
      <c r="BR244" s="3298">
        <f t="shared" si="149"/>
        <v>0</v>
      </c>
      <c r="BS244" s="3298">
        <f t="shared" si="150"/>
        <v>0</v>
      </c>
      <c r="BT244" s="3350">
        <f t="shared" si="151"/>
        <v>0</v>
      </c>
    </row>
    <row r="245" spans="1:72">
      <c r="A245" s="1407"/>
      <c r="B245" s="3296"/>
      <c r="C245" s="3296"/>
      <c r="D245" s="3297"/>
      <c r="E245" s="3298">
        <f t="shared" si="123"/>
        <v>0</v>
      </c>
      <c r="F245" s="3299"/>
      <c r="G245" s="3300">
        <f t="shared" si="124"/>
        <v>0</v>
      </c>
      <c r="H245" s="3301">
        <f t="shared" si="125"/>
        <v>0</v>
      </c>
      <c r="I245" s="3308"/>
      <c r="J245" s="3308"/>
      <c r="K245" s="3308"/>
      <c r="L245" s="3308"/>
      <c r="M245" s="3308"/>
      <c r="N245" s="3308"/>
      <c r="O245" s="3308"/>
      <c r="P245" s="3308"/>
      <c r="Q245" s="3308"/>
      <c r="R245" s="3308"/>
      <c r="S245" s="3308"/>
      <c r="T245" s="3308"/>
      <c r="U245" s="3308"/>
      <c r="V245" s="3308"/>
      <c r="W245" s="3308"/>
      <c r="X245" s="3308"/>
      <c r="Y245" s="3308"/>
      <c r="Z245" s="3308"/>
      <c r="AA245" s="3308"/>
      <c r="AB245" s="3308"/>
      <c r="AC245" s="3298">
        <f t="shared" si="126"/>
        <v>0</v>
      </c>
      <c r="AD245" s="3318"/>
      <c r="AE245" s="3318"/>
      <c r="AF245" s="3318"/>
      <c r="AG245" s="3318"/>
      <c r="AH245" s="3318"/>
      <c r="AI245" s="3318"/>
      <c r="AJ245" s="3318"/>
      <c r="AK245" s="3318"/>
      <c r="AL245" s="3318"/>
      <c r="AM245" s="3318"/>
      <c r="AN245" s="3318"/>
      <c r="AO245" s="3318"/>
      <c r="AP245" s="3318"/>
      <c r="AQ245" s="3318"/>
      <c r="AR245" s="3318"/>
      <c r="AS245" s="3318"/>
      <c r="AT245" s="3328"/>
      <c r="AU245" s="3329"/>
      <c r="AV245" s="963">
        <f t="shared" si="127"/>
        <v>0</v>
      </c>
      <c r="AW245" s="963">
        <f t="shared" si="128"/>
        <v>0</v>
      </c>
      <c r="AX245" s="963">
        <f t="shared" si="129"/>
        <v>0</v>
      </c>
      <c r="AY245" s="3343">
        <f t="shared" si="130"/>
        <v>0</v>
      </c>
      <c r="AZ245" s="3298">
        <f t="shared" si="131"/>
        <v>0</v>
      </c>
      <c r="BA245" s="3298">
        <f t="shared" si="132"/>
        <v>0</v>
      </c>
      <c r="BB245" s="3298">
        <f t="shared" si="133"/>
        <v>0</v>
      </c>
      <c r="BC245" s="3298">
        <f t="shared" si="134"/>
        <v>0</v>
      </c>
      <c r="BD245" s="3298">
        <f t="shared" si="135"/>
        <v>0</v>
      </c>
      <c r="BE245" s="3298">
        <f t="shared" si="136"/>
        <v>0</v>
      </c>
      <c r="BF245" s="3298">
        <f t="shared" si="137"/>
        <v>0</v>
      </c>
      <c r="BG245" s="3298">
        <f t="shared" si="138"/>
        <v>0</v>
      </c>
      <c r="BH245" s="3298">
        <f t="shared" si="139"/>
        <v>0</v>
      </c>
      <c r="BI245" s="3298">
        <f t="shared" si="140"/>
        <v>0</v>
      </c>
      <c r="BJ245" s="3298">
        <f t="shared" si="141"/>
        <v>0</v>
      </c>
      <c r="BK245" s="3298">
        <f t="shared" si="142"/>
        <v>0</v>
      </c>
      <c r="BL245" s="3298">
        <f t="shared" si="143"/>
        <v>0</v>
      </c>
      <c r="BM245" s="3298">
        <f t="shared" si="144"/>
        <v>0</v>
      </c>
      <c r="BN245" s="3298">
        <f t="shared" si="145"/>
        <v>0</v>
      </c>
      <c r="BO245" s="3298">
        <f t="shared" si="146"/>
        <v>0</v>
      </c>
      <c r="BP245" s="3298">
        <f t="shared" si="147"/>
        <v>0</v>
      </c>
      <c r="BQ245" s="3298">
        <f t="shared" si="148"/>
        <v>0</v>
      </c>
      <c r="BR245" s="3298">
        <f t="shared" si="149"/>
        <v>0</v>
      </c>
      <c r="BS245" s="3298">
        <f t="shared" si="150"/>
        <v>0</v>
      </c>
      <c r="BT245" s="3350">
        <f t="shared" si="151"/>
        <v>0</v>
      </c>
    </row>
    <row r="246" spans="1:72">
      <c r="A246" s="1407"/>
      <c r="B246" s="3296"/>
      <c r="C246" s="3296"/>
      <c r="D246" s="3297"/>
      <c r="E246" s="3298">
        <f t="shared" si="123"/>
        <v>0</v>
      </c>
      <c r="F246" s="3299"/>
      <c r="G246" s="3300">
        <f t="shared" si="124"/>
        <v>0</v>
      </c>
      <c r="H246" s="3301">
        <f t="shared" si="125"/>
        <v>0</v>
      </c>
      <c r="I246" s="3308"/>
      <c r="J246" s="3308"/>
      <c r="K246" s="3308"/>
      <c r="L246" s="3308"/>
      <c r="M246" s="3308"/>
      <c r="N246" s="3308"/>
      <c r="O246" s="3308"/>
      <c r="P246" s="3308"/>
      <c r="Q246" s="3308"/>
      <c r="R246" s="3308"/>
      <c r="S246" s="3308"/>
      <c r="T246" s="3308"/>
      <c r="U246" s="3308"/>
      <c r="V246" s="3308"/>
      <c r="W246" s="3308"/>
      <c r="X246" s="3308"/>
      <c r="Y246" s="3308"/>
      <c r="Z246" s="3308"/>
      <c r="AA246" s="3308"/>
      <c r="AB246" s="3308"/>
      <c r="AC246" s="3298">
        <f t="shared" si="126"/>
        <v>0</v>
      </c>
      <c r="AD246" s="3318"/>
      <c r="AE246" s="3318"/>
      <c r="AF246" s="3318"/>
      <c r="AG246" s="3318"/>
      <c r="AH246" s="3318"/>
      <c r="AI246" s="3318"/>
      <c r="AJ246" s="3318"/>
      <c r="AK246" s="3318"/>
      <c r="AL246" s="3318"/>
      <c r="AM246" s="3318"/>
      <c r="AN246" s="3318"/>
      <c r="AO246" s="3318"/>
      <c r="AP246" s="3318"/>
      <c r="AQ246" s="3318"/>
      <c r="AR246" s="3318"/>
      <c r="AS246" s="3318"/>
      <c r="AT246" s="3328"/>
      <c r="AU246" s="3329"/>
      <c r="AV246" s="963">
        <f t="shared" si="127"/>
        <v>0</v>
      </c>
      <c r="AW246" s="963">
        <f t="shared" si="128"/>
        <v>0</v>
      </c>
      <c r="AX246" s="963">
        <f t="shared" si="129"/>
        <v>0</v>
      </c>
      <c r="AY246" s="3343">
        <f t="shared" si="130"/>
        <v>0</v>
      </c>
      <c r="AZ246" s="3298">
        <f t="shared" si="131"/>
        <v>0</v>
      </c>
      <c r="BA246" s="3298">
        <f t="shared" si="132"/>
        <v>0</v>
      </c>
      <c r="BB246" s="3298">
        <f t="shared" si="133"/>
        <v>0</v>
      </c>
      <c r="BC246" s="3298">
        <f t="shared" si="134"/>
        <v>0</v>
      </c>
      <c r="BD246" s="3298">
        <f t="shared" si="135"/>
        <v>0</v>
      </c>
      <c r="BE246" s="3298">
        <f t="shared" si="136"/>
        <v>0</v>
      </c>
      <c r="BF246" s="3298">
        <f t="shared" si="137"/>
        <v>0</v>
      </c>
      <c r="BG246" s="3298">
        <f t="shared" si="138"/>
        <v>0</v>
      </c>
      <c r="BH246" s="3298">
        <f t="shared" si="139"/>
        <v>0</v>
      </c>
      <c r="BI246" s="3298">
        <f t="shared" si="140"/>
        <v>0</v>
      </c>
      <c r="BJ246" s="3298">
        <f t="shared" si="141"/>
        <v>0</v>
      </c>
      <c r="BK246" s="3298">
        <f t="shared" si="142"/>
        <v>0</v>
      </c>
      <c r="BL246" s="3298">
        <f t="shared" si="143"/>
        <v>0</v>
      </c>
      <c r="BM246" s="3298">
        <f t="shared" si="144"/>
        <v>0</v>
      </c>
      <c r="BN246" s="3298">
        <f t="shared" si="145"/>
        <v>0</v>
      </c>
      <c r="BO246" s="3298">
        <f t="shared" si="146"/>
        <v>0</v>
      </c>
      <c r="BP246" s="3298">
        <f t="shared" si="147"/>
        <v>0</v>
      </c>
      <c r="BQ246" s="3298">
        <f t="shared" si="148"/>
        <v>0</v>
      </c>
      <c r="BR246" s="3298">
        <f t="shared" si="149"/>
        <v>0</v>
      </c>
      <c r="BS246" s="3298">
        <f t="shared" si="150"/>
        <v>0</v>
      </c>
      <c r="BT246" s="3350">
        <f t="shared" si="151"/>
        <v>0</v>
      </c>
    </row>
    <row r="247" spans="1:72">
      <c r="A247" s="1407"/>
      <c r="B247" s="3296"/>
      <c r="C247" s="3296"/>
      <c r="D247" s="3297"/>
      <c r="E247" s="3298">
        <f t="shared" si="123"/>
        <v>0</v>
      </c>
      <c r="F247" s="3299"/>
      <c r="G247" s="3300">
        <f t="shared" si="124"/>
        <v>0</v>
      </c>
      <c r="H247" s="3301">
        <f t="shared" si="125"/>
        <v>0</v>
      </c>
      <c r="I247" s="3308"/>
      <c r="J247" s="3308"/>
      <c r="K247" s="3308"/>
      <c r="L247" s="3308"/>
      <c r="M247" s="3308"/>
      <c r="N247" s="3308"/>
      <c r="O247" s="3308"/>
      <c r="P247" s="3308"/>
      <c r="Q247" s="3308"/>
      <c r="R247" s="3308"/>
      <c r="S247" s="3308"/>
      <c r="T247" s="3308"/>
      <c r="U247" s="3308"/>
      <c r="V247" s="3308"/>
      <c r="W247" s="3308"/>
      <c r="X247" s="3308"/>
      <c r="Y247" s="3308"/>
      <c r="Z247" s="3308"/>
      <c r="AA247" s="3308"/>
      <c r="AB247" s="3308"/>
      <c r="AC247" s="3298">
        <f t="shared" si="126"/>
        <v>0</v>
      </c>
      <c r="AD247" s="3318"/>
      <c r="AE247" s="3318"/>
      <c r="AF247" s="3318"/>
      <c r="AG247" s="3318"/>
      <c r="AH247" s="3318"/>
      <c r="AI247" s="3318"/>
      <c r="AJ247" s="3318"/>
      <c r="AK247" s="3318"/>
      <c r="AL247" s="3318"/>
      <c r="AM247" s="3318"/>
      <c r="AN247" s="3318"/>
      <c r="AO247" s="3318"/>
      <c r="AP247" s="3318"/>
      <c r="AQ247" s="3318"/>
      <c r="AR247" s="3318"/>
      <c r="AS247" s="3318"/>
      <c r="AT247" s="3328"/>
      <c r="AU247" s="3329"/>
      <c r="AV247" s="963">
        <f t="shared" si="127"/>
        <v>0</v>
      </c>
      <c r="AW247" s="963">
        <f t="shared" si="128"/>
        <v>0</v>
      </c>
      <c r="AX247" s="963">
        <f t="shared" si="129"/>
        <v>0</v>
      </c>
      <c r="AY247" s="3343">
        <f t="shared" si="130"/>
        <v>0</v>
      </c>
      <c r="AZ247" s="3298">
        <f t="shared" si="131"/>
        <v>0</v>
      </c>
      <c r="BA247" s="3298">
        <f t="shared" si="132"/>
        <v>0</v>
      </c>
      <c r="BB247" s="3298">
        <f t="shared" si="133"/>
        <v>0</v>
      </c>
      <c r="BC247" s="3298">
        <f t="shared" si="134"/>
        <v>0</v>
      </c>
      <c r="BD247" s="3298">
        <f t="shared" si="135"/>
        <v>0</v>
      </c>
      <c r="BE247" s="3298">
        <f t="shared" si="136"/>
        <v>0</v>
      </c>
      <c r="BF247" s="3298">
        <f t="shared" si="137"/>
        <v>0</v>
      </c>
      <c r="BG247" s="3298">
        <f t="shared" si="138"/>
        <v>0</v>
      </c>
      <c r="BH247" s="3298">
        <f t="shared" si="139"/>
        <v>0</v>
      </c>
      <c r="BI247" s="3298">
        <f t="shared" si="140"/>
        <v>0</v>
      </c>
      <c r="BJ247" s="3298">
        <f t="shared" si="141"/>
        <v>0</v>
      </c>
      <c r="BK247" s="3298">
        <f t="shared" si="142"/>
        <v>0</v>
      </c>
      <c r="BL247" s="3298">
        <f t="shared" si="143"/>
        <v>0</v>
      </c>
      <c r="BM247" s="3298">
        <f t="shared" si="144"/>
        <v>0</v>
      </c>
      <c r="BN247" s="3298">
        <f t="shared" si="145"/>
        <v>0</v>
      </c>
      <c r="BO247" s="3298">
        <f t="shared" si="146"/>
        <v>0</v>
      </c>
      <c r="BP247" s="3298">
        <f t="shared" si="147"/>
        <v>0</v>
      </c>
      <c r="BQ247" s="3298">
        <f t="shared" si="148"/>
        <v>0</v>
      </c>
      <c r="BR247" s="3298">
        <f t="shared" si="149"/>
        <v>0</v>
      </c>
      <c r="BS247" s="3298">
        <f t="shared" si="150"/>
        <v>0</v>
      </c>
      <c r="BT247" s="3350">
        <f t="shared" si="151"/>
        <v>0</v>
      </c>
    </row>
    <row r="248" spans="1:72">
      <c r="A248" s="1407"/>
      <c r="B248" s="3296"/>
      <c r="C248" s="3296"/>
      <c r="D248" s="3297"/>
      <c r="E248" s="3298">
        <f t="shared" si="123"/>
        <v>0</v>
      </c>
      <c r="F248" s="3299"/>
      <c r="G248" s="3300">
        <f t="shared" si="124"/>
        <v>0</v>
      </c>
      <c r="H248" s="3301">
        <f t="shared" si="125"/>
        <v>0</v>
      </c>
      <c r="I248" s="3308"/>
      <c r="J248" s="3308"/>
      <c r="K248" s="3308"/>
      <c r="L248" s="3308"/>
      <c r="M248" s="3308"/>
      <c r="N248" s="3308"/>
      <c r="O248" s="3308"/>
      <c r="P248" s="3308"/>
      <c r="Q248" s="3308"/>
      <c r="R248" s="3308"/>
      <c r="S248" s="3308"/>
      <c r="T248" s="3308"/>
      <c r="U248" s="3308"/>
      <c r="V248" s="3308"/>
      <c r="W248" s="3308"/>
      <c r="X248" s="3308"/>
      <c r="Y248" s="3308"/>
      <c r="Z248" s="3308"/>
      <c r="AA248" s="3308"/>
      <c r="AB248" s="3308"/>
      <c r="AC248" s="3298">
        <f t="shared" si="126"/>
        <v>0</v>
      </c>
      <c r="AD248" s="3318"/>
      <c r="AE248" s="3318"/>
      <c r="AF248" s="3318"/>
      <c r="AG248" s="3318"/>
      <c r="AH248" s="3318"/>
      <c r="AI248" s="3318"/>
      <c r="AJ248" s="3318"/>
      <c r="AK248" s="3318"/>
      <c r="AL248" s="3318"/>
      <c r="AM248" s="3318"/>
      <c r="AN248" s="3318"/>
      <c r="AO248" s="3318"/>
      <c r="AP248" s="3318"/>
      <c r="AQ248" s="3318"/>
      <c r="AR248" s="3318"/>
      <c r="AS248" s="3318"/>
      <c r="AT248" s="3328"/>
      <c r="AU248" s="3329"/>
      <c r="AV248" s="963">
        <f t="shared" si="127"/>
        <v>0</v>
      </c>
      <c r="AW248" s="963">
        <f t="shared" si="128"/>
        <v>0</v>
      </c>
      <c r="AX248" s="963">
        <f t="shared" si="129"/>
        <v>0</v>
      </c>
      <c r="AY248" s="3343">
        <f t="shared" si="130"/>
        <v>0</v>
      </c>
      <c r="AZ248" s="3298">
        <f t="shared" si="131"/>
        <v>0</v>
      </c>
      <c r="BA248" s="3298">
        <f t="shared" si="132"/>
        <v>0</v>
      </c>
      <c r="BB248" s="3298">
        <f t="shared" si="133"/>
        <v>0</v>
      </c>
      <c r="BC248" s="3298">
        <f t="shared" si="134"/>
        <v>0</v>
      </c>
      <c r="BD248" s="3298">
        <f t="shared" si="135"/>
        <v>0</v>
      </c>
      <c r="BE248" s="3298">
        <f t="shared" si="136"/>
        <v>0</v>
      </c>
      <c r="BF248" s="3298">
        <f t="shared" si="137"/>
        <v>0</v>
      </c>
      <c r="BG248" s="3298">
        <f t="shared" si="138"/>
        <v>0</v>
      </c>
      <c r="BH248" s="3298">
        <f t="shared" si="139"/>
        <v>0</v>
      </c>
      <c r="BI248" s="3298">
        <f t="shared" si="140"/>
        <v>0</v>
      </c>
      <c r="BJ248" s="3298">
        <f t="shared" si="141"/>
        <v>0</v>
      </c>
      <c r="BK248" s="3298">
        <f t="shared" si="142"/>
        <v>0</v>
      </c>
      <c r="BL248" s="3298">
        <f t="shared" si="143"/>
        <v>0</v>
      </c>
      <c r="BM248" s="3298">
        <f t="shared" si="144"/>
        <v>0</v>
      </c>
      <c r="BN248" s="3298">
        <f t="shared" si="145"/>
        <v>0</v>
      </c>
      <c r="BO248" s="3298">
        <f t="shared" si="146"/>
        <v>0</v>
      </c>
      <c r="BP248" s="3298">
        <f t="shared" si="147"/>
        <v>0</v>
      </c>
      <c r="BQ248" s="3298">
        <f t="shared" si="148"/>
        <v>0</v>
      </c>
      <c r="BR248" s="3298">
        <f t="shared" si="149"/>
        <v>0</v>
      </c>
      <c r="BS248" s="3298">
        <f t="shared" si="150"/>
        <v>0</v>
      </c>
      <c r="BT248" s="3350">
        <f t="shared" si="151"/>
        <v>0</v>
      </c>
    </row>
    <row r="249" spans="1:72">
      <c r="A249" s="1407"/>
      <c r="B249" s="3296"/>
      <c r="C249" s="3296"/>
      <c r="D249" s="3297"/>
      <c r="E249" s="3298">
        <f t="shared" si="123"/>
        <v>0</v>
      </c>
      <c r="F249" s="3299"/>
      <c r="G249" s="3300">
        <f t="shared" si="124"/>
        <v>0</v>
      </c>
      <c r="H249" s="3301">
        <f t="shared" si="125"/>
        <v>0</v>
      </c>
      <c r="I249" s="3308"/>
      <c r="J249" s="3308"/>
      <c r="K249" s="3308"/>
      <c r="L249" s="3308"/>
      <c r="M249" s="3308"/>
      <c r="N249" s="3308"/>
      <c r="O249" s="3308"/>
      <c r="P249" s="3308"/>
      <c r="Q249" s="3308"/>
      <c r="R249" s="3308"/>
      <c r="S249" s="3308"/>
      <c r="T249" s="3308"/>
      <c r="U249" s="3308"/>
      <c r="V249" s="3308"/>
      <c r="W249" s="3308"/>
      <c r="X249" s="3308"/>
      <c r="Y249" s="3308"/>
      <c r="Z249" s="3308"/>
      <c r="AA249" s="3308"/>
      <c r="AB249" s="3308"/>
      <c r="AC249" s="3298">
        <f t="shared" si="126"/>
        <v>0</v>
      </c>
      <c r="AD249" s="3318"/>
      <c r="AE249" s="3318"/>
      <c r="AF249" s="3318"/>
      <c r="AG249" s="3318"/>
      <c r="AH249" s="3318"/>
      <c r="AI249" s="3318"/>
      <c r="AJ249" s="3318"/>
      <c r="AK249" s="3318"/>
      <c r="AL249" s="3318"/>
      <c r="AM249" s="3318"/>
      <c r="AN249" s="3318"/>
      <c r="AO249" s="3318"/>
      <c r="AP249" s="3318"/>
      <c r="AQ249" s="3318"/>
      <c r="AR249" s="3318"/>
      <c r="AS249" s="3318"/>
      <c r="AT249" s="3328"/>
      <c r="AU249" s="3329"/>
      <c r="AV249" s="963">
        <f t="shared" si="127"/>
        <v>0</v>
      </c>
      <c r="AW249" s="963">
        <f t="shared" si="128"/>
        <v>0</v>
      </c>
      <c r="AX249" s="963">
        <f t="shared" si="129"/>
        <v>0</v>
      </c>
      <c r="AY249" s="3343">
        <f t="shared" si="130"/>
        <v>0</v>
      </c>
      <c r="AZ249" s="3298">
        <f t="shared" si="131"/>
        <v>0</v>
      </c>
      <c r="BA249" s="3298">
        <f t="shared" si="132"/>
        <v>0</v>
      </c>
      <c r="BB249" s="3298">
        <f t="shared" si="133"/>
        <v>0</v>
      </c>
      <c r="BC249" s="3298">
        <f t="shared" si="134"/>
        <v>0</v>
      </c>
      <c r="BD249" s="3298">
        <f t="shared" si="135"/>
        <v>0</v>
      </c>
      <c r="BE249" s="3298">
        <f t="shared" si="136"/>
        <v>0</v>
      </c>
      <c r="BF249" s="3298">
        <f t="shared" si="137"/>
        <v>0</v>
      </c>
      <c r="BG249" s="3298">
        <f t="shared" si="138"/>
        <v>0</v>
      </c>
      <c r="BH249" s="3298">
        <f t="shared" si="139"/>
        <v>0</v>
      </c>
      <c r="BI249" s="3298">
        <f t="shared" si="140"/>
        <v>0</v>
      </c>
      <c r="BJ249" s="3298">
        <f t="shared" si="141"/>
        <v>0</v>
      </c>
      <c r="BK249" s="3298">
        <f t="shared" si="142"/>
        <v>0</v>
      </c>
      <c r="BL249" s="3298">
        <f t="shared" si="143"/>
        <v>0</v>
      </c>
      <c r="BM249" s="3298">
        <f t="shared" si="144"/>
        <v>0</v>
      </c>
      <c r="BN249" s="3298">
        <f t="shared" si="145"/>
        <v>0</v>
      </c>
      <c r="BO249" s="3298">
        <f t="shared" si="146"/>
        <v>0</v>
      </c>
      <c r="BP249" s="3298">
        <f t="shared" si="147"/>
        <v>0</v>
      </c>
      <c r="BQ249" s="3298">
        <f t="shared" si="148"/>
        <v>0</v>
      </c>
      <c r="BR249" s="3298">
        <f t="shared" si="149"/>
        <v>0</v>
      </c>
      <c r="BS249" s="3298">
        <f t="shared" si="150"/>
        <v>0</v>
      </c>
      <c r="BT249" s="3350">
        <f t="shared" si="151"/>
        <v>0</v>
      </c>
    </row>
    <row r="250" spans="1:72">
      <c r="A250" s="1407"/>
      <c r="B250" s="3296"/>
      <c r="C250" s="3296"/>
      <c r="D250" s="3297"/>
      <c r="E250" s="3298">
        <f t="shared" si="123"/>
        <v>0</v>
      </c>
      <c r="F250" s="3299"/>
      <c r="G250" s="3300">
        <f t="shared" si="124"/>
        <v>0</v>
      </c>
      <c r="H250" s="3301">
        <f t="shared" si="125"/>
        <v>0</v>
      </c>
      <c r="I250" s="3308"/>
      <c r="J250" s="3308"/>
      <c r="K250" s="3308"/>
      <c r="L250" s="3308"/>
      <c r="M250" s="3308"/>
      <c r="N250" s="3308"/>
      <c r="O250" s="3308"/>
      <c r="P250" s="3308"/>
      <c r="Q250" s="3308"/>
      <c r="R250" s="3308"/>
      <c r="S250" s="3308"/>
      <c r="T250" s="3308"/>
      <c r="U250" s="3308"/>
      <c r="V250" s="3308"/>
      <c r="W250" s="3308"/>
      <c r="X250" s="3308"/>
      <c r="Y250" s="3308"/>
      <c r="Z250" s="3308"/>
      <c r="AA250" s="3308"/>
      <c r="AB250" s="3308"/>
      <c r="AC250" s="3298">
        <f t="shared" si="126"/>
        <v>0</v>
      </c>
      <c r="AD250" s="3318"/>
      <c r="AE250" s="3318"/>
      <c r="AF250" s="3318"/>
      <c r="AG250" s="3318"/>
      <c r="AH250" s="3318"/>
      <c r="AI250" s="3318"/>
      <c r="AJ250" s="3318"/>
      <c r="AK250" s="3318"/>
      <c r="AL250" s="3318"/>
      <c r="AM250" s="3318"/>
      <c r="AN250" s="3318"/>
      <c r="AO250" s="3318"/>
      <c r="AP250" s="3318"/>
      <c r="AQ250" s="3318"/>
      <c r="AR250" s="3318"/>
      <c r="AS250" s="3318"/>
      <c r="AT250" s="3328"/>
      <c r="AU250" s="3329"/>
      <c r="AV250" s="963">
        <f t="shared" si="127"/>
        <v>0</v>
      </c>
      <c r="AW250" s="963">
        <f t="shared" si="128"/>
        <v>0</v>
      </c>
      <c r="AX250" s="963">
        <f t="shared" si="129"/>
        <v>0</v>
      </c>
      <c r="AY250" s="3343">
        <f t="shared" si="130"/>
        <v>0</v>
      </c>
      <c r="AZ250" s="3298">
        <f t="shared" si="131"/>
        <v>0</v>
      </c>
      <c r="BA250" s="3298">
        <f t="shared" si="132"/>
        <v>0</v>
      </c>
      <c r="BB250" s="3298">
        <f t="shared" si="133"/>
        <v>0</v>
      </c>
      <c r="BC250" s="3298">
        <f t="shared" si="134"/>
        <v>0</v>
      </c>
      <c r="BD250" s="3298">
        <f t="shared" si="135"/>
        <v>0</v>
      </c>
      <c r="BE250" s="3298">
        <f t="shared" si="136"/>
        <v>0</v>
      </c>
      <c r="BF250" s="3298">
        <f t="shared" si="137"/>
        <v>0</v>
      </c>
      <c r="BG250" s="3298">
        <f t="shared" si="138"/>
        <v>0</v>
      </c>
      <c r="BH250" s="3298">
        <f t="shared" si="139"/>
        <v>0</v>
      </c>
      <c r="BI250" s="3298">
        <f t="shared" si="140"/>
        <v>0</v>
      </c>
      <c r="BJ250" s="3298">
        <f t="shared" si="141"/>
        <v>0</v>
      </c>
      <c r="BK250" s="3298">
        <f t="shared" si="142"/>
        <v>0</v>
      </c>
      <c r="BL250" s="3298">
        <f t="shared" si="143"/>
        <v>0</v>
      </c>
      <c r="BM250" s="3298">
        <f t="shared" si="144"/>
        <v>0</v>
      </c>
      <c r="BN250" s="3298">
        <f t="shared" si="145"/>
        <v>0</v>
      </c>
      <c r="BO250" s="3298">
        <f t="shared" si="146"/>
        <v>0</v>
      </c>
      <c r="BP250" s="3298">
        <f t="shared" si="147"/>
        <v>0</v>
      </c>
      <c r="BQ250" s="3298">
        <f t="shared" si="148"/>
        <v>0</v>
      </c>
      <c r="BR250" s="3298">
        <f t="shared" si="149"/>
        <v>0</v>
      </c>
      <c r="BS250" s="3298">
        <f t="shared" si="150"/>
        <v>0</v>
      </c>
      <c r="BT250" s="3350">
        <f t="shared" si="151"/>
        <v>0</v>
      </c>
    </row>
    <row r="251" spans="1:72">
      <c r="A251" s="1407"/>
      <c r="B251" s="3296"/>
      <c r="C251" s="3296"/>
      <c r="D251" s="3297"/>
      <c r="E251" s="3298">
        <f t="shared" si="123"/>
        <v>0</v>
      </c>
      <c r="F251" s="3299"/>
      <c r="G251" s="3300">
        <f t="shared" si="124"/>
        <v>0</v>
      </c>
      <c r="H251" s="3301">
        <f t="shared" si="125"/>
        <v>0</v>
      </c>
      <c r="I251" s="3308"/>
      <c r="J251" s="3308"/>
      <c r="K251" s="3308"/>
      <c r="L251" s="3308"/>
      <c r="M251" s="3308"/>
      <c r="N251" s="3308"/>
      <c r="O251" s="3308"/>
      <c r="P251" s="3308"/>
      <c r="Q251" s="3308"/>
      <c r="R251" s="3308"/>
      <c r="S251" s="3308"/>
      <c r="T251" s="3308"/>
      <c r="U251" s="3308"/>
      <c r="V251" s="3308"/>
      <c r="W251" s="3308"/>
      <c r="X251" s="3308"/>
      <c r="Y251" s="3308"/>
      <c r="Z251" s="3308"/>
      <c r="AA251" s="3308"/>
      <c r="AB251" s="3308"/>
      <c r="AC251" s="3298">
        <f t="shared" si="126"/>
        <v>0</v>
      </c>
      <c r="AD251" s="3318"/>
      <c r="AE251" s="3318"/>
      <c r="AF251" s="3318"/>
      <c r="AG251" s="3318"/>
      <c r="AH251" s="3318"/>
      <c r="AI251" s="3318"/>
      <c r="AJ251" s="3318"/>
      <c r="AK251" s="3318"/>
      <c r="AL251" s="3318"/>
      <c r="AM251" s="3318"/>
      <c r="AN251" s="3318"/>
      <c r="AO251" s="3318"/>
      <c r="AP251" s="3318"/>
      <c r="AQ251" s="3318"/>
      <c r="AR251" s="3318"/>
      <c r="AS251" s="3318"/>
      <c r="AT251" s="3328"/>
      <c r="AU251" s="3329"/>
      <c r="AV251" s="963">
        <f t="shared" si="127"/>
        <v>0</v>
      </c>
      <c r="AW251" s="963">
        <f t="shared" si="128"/>
        <v>0</v>
      </c>
      <c r="AX251" s="963">
        <f t="shared" si="129"/>
        <v>0</v>
      </c>
      <c r="AY251" s="3343">
        <f t="shared" si="130"/>
        <v>0</v>
      </c>
      <c r="AZ251" s="3298">
        <f t="shared" si="131"/>
        <v>0</v>
      </c>
      <c r="BA251" s="3298">
        <f t="shared" si="132"/>
        <v>0</v>
      </c>
      <c r="BB251" s="3298">
        <f t="shared" si="133"/>
        <v>0</v>
      </c>
      <c r="BC251" s="3298">
        <f t="shared" si="134"/>
        <v>0</v>
      </c>
      <c r="BD251" s="3298">
        <f t="shared" si="135"/>
        <v>0</v>
      </c>
      <c r="BE251" s="3298">
        <f t="shared" si="136"/>
        <v>0</v>
      </c>
      <c r="BF251" s="3298">
        <f t="shared" si="137"/>
        <v>0</v>
      </c>
      <c r="BG251" s="3298">
        <f t="shared" si="138"/>
        <v>0</v>
      </c>
      <c r="BH251" s="3298">
        <f t="shared" si="139"/>
        <v>0</v>
      </c>
      <c r="BI251" s="3298">
        <f t="shared" si="140"/>
        <v>0</v>
      </c>
      <c r="BJ251" s="3298">
        <f t="shared" si="141"/>
        <v>0</v>
      </c>
      <c r="BK251" s="3298">
        <f t="shared" si="142"/>
        <v>0</v>
      </c>
      <c r="BL251" s="3298">
        <f t="shared" si="143"/>
        <v>0</v>
      </c>
      <c r="BM251" s="3298">
        <f t="shared" si="144"/>
        <v>0</v>
      </c>
      <c r="BN251" s="3298">
        <f t="shared" si="145"/>
        <v>0</v>
      </c>
      <c r="BO251" s="3298">
        <f t="shared" si="146"/>
        <v>0</v>
      </c>
      <c r="BP251" s="3298">
        <f t="shared" si="147"/>
        <v>0</v>
      </c>
      <c r="BQ251" s="3298">
        <f t="shared" si="148"/>
        <v>0</v>
      </c>
      <c r="BR251" s="3298">
        <f t="shared" si="149"/>
        <v>0</v>
      </c>
      <c r="BS251" s="3298">
        <f t="shared" si="150"/>
        <v>0</v>
      </c>
      <c r="BT251" s="3350">
        <f t="shared" si="151"/>
        <v>0</v>
      </c>
    </row>
    <row r="252" spans="1:72">
      <c r="A252" s="1407"/>
      <c r="B252" s="3296"/>
      <c r="C252" s="3296"/>
      <c r="D252" s="3297"/>
      <c r="E252" s="3298">
        <f t="shared" si="123"/>
        <v>0</v>
      </c>
      <c r="F252" s="3299"/>
      <c r="G252" s="3300">
        <f t="shared" si="124"/>
        <v>0</v>
      </c>
      <c r="H252" s="3301">
        <f t="shared" si="125"/>
        <v>0</v>
      </c>
      <c r="I252" s="3308"/>
      <c r="J252" s="3308"/>
      <c r="K252" s="3308"/>
      <c r="L252" s="3308"/>
      <c r="M252" s="3308"/>
      <c r="N252" s="3308"/>
      <c r="O252" s="3308"/>
      <c r="P252" s="3308"/>
      <c r="Q252" s="3308"/>
      <c r="R252" s="3308"/>
      <c r="S252" s="3308"/>
      <c r="T252" s="3308"/>
      <c r="U252" s="3308"/>
      <c r="V252" s="3308"/>
      <c r="W252" s="3308"/>
      <c r="X252" s="3308"/>
      <c r="Y252" s="3308"/>
      <c r="Z252" s="3308"/>
      <c r="AA252" s="3308"/>
      <c r="AB252" s="3308"/>
      <c r="AC252" s="3298">
        <f t="shared" si="126"/>
        <v>0</v>
      </c>
      <c r="AD252" s="3318"/>
      <c r="AE252" s="3318"/>
      <c r="AF252" s="3318"/>
      <c r="AG252" s="3318"/>
      <c r="AH252" s="3318"/>
      <c r="AI252" s="3318"/>
      <c r="AJ252" s="3318"/>
      <c r="AK252" s="3318"/>
      <c r="AL252" s="3318"/>
      <c r="AM252" s="3318"/>
      <c r="AN252" s="3318"/>
      <c r="AO252" s="3318"/>
      <c r="AP252" s="3318"/>
      <c r="AQ252" s="3318"/>
      <c r="AR252" s="3318"/>
      <c r="AS252" s="3318"/>
      <c r="AT252" s="3328"/>
      <c r="AU252" s="3329"/>
      <c r="AV252" s="963">
        <f t="shared" si="127"/>
        <v>0</v>
      </c>
      <c r="AW252" s="963">
        <f t="shared" si="128"/>
        <v>0</v>
      </c>
      <c r="AX252" s="963">
        <f t="shared" si="129"/>
        <v>0</v>
      </c>
      <c r="AY252" s="3343">
        <f t="shared" si="130"/>
        <v>0</v>
      </c>
      <c r="AZ252" s="3298">
        <f t="shared" si="131"/>
        <v>0</v>
      </c>
      <c r="BA252" s="3298">
        <f t="shared" si="132"/>
        <v>0</v>
      </c>
      <c r="BB252" s="3298">
        <f t="shared" si="133"/>
        <v>0</v>
      </c>
      <c r="BC252" s="3298">
        <f t="shared" si="134"/>
        <v>0</v>
      </c>
      <c r="BD252" s="3298">
        <f t="shared" si="135"/>
        <v>0</v>
      </c>
      <c r="BE252" s="3298">
        <f t="shared" si="136"/>
        <v>0</v>
      </c>
      <c r="BF252" s="3298">
        <f t="shared" si="137"/>
        <v>0</v>
      </c>
      <c r="BG252" s="3298">
        <f t="shared" si="138"/>
        <v>0</v>
      </c>
      <c r="BH252" s="3298">
        <f t="shared" si="139"/>
        <v>0</v>
      </c>
      <c r="BI252" s="3298">
        <f t="shared" si="140"/>
        <v>0</v>
      </c>
      <c r="BJ252" s="3298">
        <f t="shared" si="141"/>
        <v>0</v>
      </c>
      <c r="BK252" s="3298">
        <f t="shared" si="142"/>
        <v>0</v>
      </c>
      <c r="BL252" s="3298">
        <f t="shared" si="143"/>
        <v>0</v>
      </c>
      <c r="BM252" s="3298">
        <f t="shared" si="144"/>
        <v>0</v>
      </c>
      <c r="BN252" s="3298">
        <f t="shared" si="145"/>
        <v>0</v>
      </c>
      <c r="BO252" s="3298">
        <f t="shared" si="146"/>
        <v>0</v>
      </c>
      <c r="BP252" s="3298">
        <f t="shared" si="147"/>
        <v>0</v>
      </c>
      <c r="BQ252" s="3298">
        <f t="shared" si="148"/>
        <v>0</v>
      </c>
      <c r="BR252" s="3298">
        <f t="shared" si="149"/>
        <v>0</v>
      </c>
      <c r="BS252" s="3298">
        <f t="shared" si="150"/>
        <v>0</v>
      </c>
      <c r="BT252" s="3350">
        <f t="shared" si="151"/>
        <v>0</v>
      </c>
    </row>
    <row r="253" spans="1:72">
      <c r="A253" s="1407"/>
      <c r="B253" s="3296"/>
      <c r="C253" s="3296"/>
      <c r="D253" s="3297"/>
      <c r="E253" s="3298">
        <f t="shared" si="123"/>
        <v>0</v>
      </c>
      <c r="F253" s="3299"/>
      <c r="G253" s="3300">
        <f t="shared" si="124"/>
        <v>0</v>
      </c>
      <c r="H253" s="3301">
        <f t="shared" si="125"/>
        <v>0</v>
      </c>
      <c r="I253" s="3308"/>
      <c r="J253" s="3308"/>
      <c r="K253" s="3308"/>
      <c r="L253" s="3308"/>
      <c r="M253" s="3308"/>
      <c r="N253" s="3308"/>
      <c r="O253" s="3308"/>
      <c r="P253" s="3308"/>
      <c r="Q253" s="3308"/>
      <c r="R253" s="3308"/>
      <c r="S253" s="3308"/>
      <c r="T253" s="3308"/>
      <c r="U253" s="3308"/>
      <c r="V253" s="3308"/>
      <c r="W253" s="3308"/>
      <c r="X253" s="3308"/>
      <c r="Y253" s="3308"/>
      <c r="Z253" s="3308"/>
      <c r="AA253" s="3308"/>
      <c r="AB253" s="3308"/>
      <c r="AC253" s="3298">
        <f t="shared" si="126"/>
        <v>0</v>
      </c>
      <c r="AD253" s="3318"/>
      <c r="AE253" s="3318"/>
      <c r="AF253" s="3318"/>
      <c r="AG253" s="3318"/>
      <c r="AH253" s="3318"/>
      <c r="AI253" s="3318"/>
      <c r="AJ253" s="3318"/>
      <c r="AK253" s="3318"/>
      <c r="AL253" s="3318"/>
      <c r="AM253" s="3318"/>
      <c r="AN253" s="3318"/>
      <c r="AO253" s="3318"/>
      <c r="AP253" s="3318"/>
      <c r="AQ253" s="3318"/>
      <c r="AR253" s="3318"/>
      <c r="AS253" s="3318"/>
      <c r="AT253" s="3328"/>
      <c r="AU253" s="3329"/>
      <c r="AV253" s="963">
        <f t="shared" si="127"/>
        <v>0</v>
      </c>
      <c r="AW253" s="963">
        <f t="shared" si="128"/>
        <v>0</v>
      </c>
      <c r="AX253" s="963">
        <f t="shared" si="129"/>
        <v>0</v>
      </c>
      <c r="AY253" s="3343">
        <f t="shared" si="130"/>
        <v>0</v>
      </c>
      <c r="AZ253" s="3298">
        <f t="shared" si="131"/>
        <v>0</v>
      </c>
      <c r="BA253" s="3298">
        <f t="shared" si="132"/>
        <v>0</v>
      </c>
      <c r="BB253" s="3298">
        <f t="shared" si="133"/>
        <v>0</v>
      </c>
      <c r="BC253" s="3298">
        <f t="shared" si="134"/>
        <v>0</v>
      </c>
      <c r="BD253" s="3298">
        <f t="shared" si="135"/>
        <v>0</v>
      </c>
      <c r="BE253" s="3298">
        <f t="shared" si="136"/>
        <v>0</v>
      </c>
      <c r="BF253" s="3298">
        <f t="shared" si="137"/>
        <v>0</v>
      </c>
      <c r="BG253" s="3298">
        <f t="shared" si="138"/>
        <v>0</v>
      </c>
      <c r="BH253" s="3298">
        <f t="shared" si="139"/>
        <v>0</v>
      </c>
      <c r="BI253" s="3298">
        <f t="shared" si="140"/>
        <v>0</v>
      </c>
      <c r="BJ253" s="3298">
        <f t="shared" si="141"/>
        <v>0</v>
      </c>
      <c r="BK253" s="3298">
        <f t="shared" si="142"/>
        <v>0</v>
      </c>
      <c r="BL253" s="3298">
        <f t="shared" si="143"/>
        <v>0</v>
      </c>
      <c r="BM253" s="3298">
        <f t="shared" si="144"/>
        <v>0</v>
      </c>
      <c r="BN253" s="3298">
        <f t="shared" si="145"/>
        <v>0</v>
      </c>
      <c r="BO253" s="3298">
        <f t="shared" si="146"/>
        <v>0</v>
      </c>
      <c r="BP253" s="3298">
        <f t="shared" si="147"/>
        <v>0</v>
      </c>
      <c r="BQ253" s="3298">
        <f t="shared" si="148"/>
        <v>0</v>
      </c>
      <c r="BR253" s="3298">
        <f t="shared" si="149"/>
        <v>0</v>
      </c>
      <c r="BS253" s="3298">
        <f t="shared" si="150"/>
        <v>0</v>
      </c>
      <c r="BT253" s="3350">
        <f t="shared" si="151"/>
        <v>0</v>
      </c>
    </row>
    <row r="254" spans="1:72">
      <c r="A254" s="1407"/>
      <c r="B254" s="3296"/>
      <c r="C254" s="3296"/>
      <c r="D254" s="3297"/>
      <c r="E254" s="3298">
        <f t="shared" si="123"/>
        <v>0</v>
      </c>
      <c r="F254" s="3299"/>
      <c r="G254" s="3300">
        <f t="shared" si="124"/>
        <v>0</v>
      </c>
      <c r="H254" s="3301">
        <f t="shared" si="125"/>
        <v>0</v>
      </c>
      <c r="I254" s="3308"/>
      <c r="J254" s="3308"/>
      <c r="K254" s="3308"/>
      <c r="L254" s="3308"/>
      <c r="M254" s="3308"/>
      <c r="N254" s="3308"/>
      <c r="O254" s="3308"/>
      <c r="P254" s="3308"/>
      <c r="Q254" s="3308"/>
      <c r="R254" s="3308"/>
      <c r="S254" s="3308"/>
      <c r="T254" s="3308"/>
      <c r="U254" s="3308"/>
      <c r="V254" s="3308"/>
      <c r="W254" s="3308"/>
      <c r="X254" s="3308"/>
      <c r="Y254" s="3308"/>
      <c r="Z254" s="3308"/>
      <c r="AA254" s="3308"/>
      <c r="AB254" s="3308"/>
      <c r="AC254" s="3298">
        <f t="shared" si="126"/>
        <v>0</v>
      </c>
      <c r="AD254" s="3318"/>
      <c r="AE254" s="3318"/>
      <c r="AF254" s="3318"/>
      <c r="AG254" s="3318"/>
      <c r="AH254" s="3318"/>
      <c r="AI254" s="3318"/>
      <c r="AJ254" s="3318"/>
      <c r="AK254" s="3318"/>
      <c r="AL254" s="3318"/>
      <c r="AM254" s="3318"/>
      <c r="AN254" s="3318"/>
      <c r="AO254" s="3318"/>
      <c r="AP254" s="3318"/>
      <c r="AQ254" s="3318"/>
      <c r="AR254" s="3318"/>
      <c r="AS254" s="3318"/>
      <c r="AT254" s="3328"/>
      <c r="AU254" s="3329"/>
      <c r="AV254" s="963">
        <f t="shared" si="127"/>
        <v>0</v>
      </c>
      <c r="AW254" s="963">
        <f t="shared" si="128"/>
        <v>0</v>
      </c>
      <c r="AX254" s="963">
        <f t="shared" si="129"/>
        <v>0</v>
      </c>
      <c r="AY254" s="3343">
        <f t="shared" si="130"/>
        <v>0</v>
      </c>
      <c r="AZ254" s="3298">
        <f t="shared" si="131"/>
        <v>0</v>
      </c>
      <c r="BA254" s="3298">
        <f t="shared" si="132"/>
        <v>0</v>
      </c>
      <c r="BB254" s="3298">
        <f t="shared" si="133"/>
        <v>0</v>
      </c>
      <c r="BC254" s="3298">
        <f t="shared" si="134"/>
        <v>0</v>
      </c>
      <c r="BD254" s="3298">
        <f t="shared" si="135"/>
        <v>0</v>
      </c>
      <c r="BE254" s="3298">
        <f t="shared" si="136"/>
        <v>0</v>
      </c>
      <c r="BF254" s="3298">
        <f t="shared" si="137"/>
        <v>0</v>
      </c>
      <c r="BG254" s="3298">
        <f t="shared" si="138"/>
        <v>0</v>
      </c>
      <c r="BH254" s="3298">
        <f t="shared" si="139"/>
        <v>0</v>
      </c>
      <c r="BI254" s="3298">
        <f t="shared" si="140"/>
        <v>0</v>
      </c>
      <c r="BJ254" s="3298">
        <f t="shared" si="141"/>
        <v>0</v>
      </c>
      <c r="BK254" s="3298">
        <f t="shared" si="142"/>
        <v>0</v>
      </c>
      <c r="BL254" s="3298">
        <f t="shared" si="143"/>
        <v>0</v>
      </c>
      <c r="BM254" s="3298">
        <f t="shared" si="144"/>
        <v>0</v>
      </c>
      <c r="BN254" s="3298">
        <f t="shared" si="145"/>
        <v>0</v>
      </c>
      <c r="BO254" s="3298">
        <f t="shared" si="146"/>
        <v>0</v>
      </c>
      <c r="BP254" s="3298">
        <f t="shared" si="147"/>
        <v>0</v>
      </c>
      <c r="BQ254" s="3298">
        <f t="shared" si="148"/>
        <v>0</v>
      </c>
      <c r="BR254" s="3298">
        <f t="shared" si="149"/>
        <v>0</v>
      </c>
      <c r="BS254" s="3298">
        <f t="shared" si="150"/>
        <v>0</v>
      </c>
      <c r="BT254" s="3350">
        <f t="shared" si="151"/>
        <v>0</v>
      </c>
    </row>
    <row r="255" spans="1:72">
      <c r="A255" s="1407"/>
      <c r="B255" s="3296"/>
      <c r="C255" s="3296"/>
      <c r="D255" s="3297"/>
      <c r="E255" s="3298">
        <f t="shared" si="123"/>
        <v>0</v>
      </c>
      <c r="F255" s="3299"/>
      <c r="G255" s="3300">
        <f t="shared" si="124"/>
        <v>0</v>
      </c>
      <c r="H255" s="3301">
        <f t="shared" si="125"/>
        <v>0</v>
      </c>
      <c r="I255" s="3308"/>
      <c r="J255" s="3308"/>
      <c r="K255" s="3308"/>
      <c r="L255" s="3308"/>
      <c r="M255" s="3308"/>
      <c r="N255" s="3308"/>
      <c r="O255" s="3308"/>
      <c r="P255" s="3308"/>
      <c r="Q255" s="3308"/>
      <c r="R255" s="3308"/>
      <c r="S255" s="3308"/>
      <c r="T255" s="3308"/>
      <c r="U255" s="3308"/>
      <c r="V255" s="3308"/>
      <c r="W255" s="3308"/>
      <c r="X255" s="3308"/>
      <c r="Y255" s="3308"/>
      <c r="Z255" s="3308"/>
      <c r="AA255" s="3308"/>
      <c r="AB255" s="3308"/>
      <c r="AC255" s="3298">
        <f t="shared" si="126"/>
        <v>0</v>
      </c>
      <c r="AD255" s="3318"/>
      <c r="AE255" s="3318"/>
      <c r="AF255" s="3318"/>
      <c r="AG255" s="3318"/>
      <c r="AH255" s="3318"/>
      <c r="AI255" s="3318"/>
      <c r="AJ255" s="3318"/>
      <c r="AK255" s="3318"/>
      <c r="AL255" s="3318"/>
      <c r="AM255" s="3318"/>
      <c r="AN255" s="3318"/>
      <c r="AO255" s="3318"/>
      <c r="AP255" s="3318"/>
      <c r="AQ255" s="3318"/>
      <c r="AR255" s="3318"/>
      <c r="AS255" s="3318"/>
      <c r="AT255" s="3328"/>
      <c r="AU255" s="3329"/>
      <c r="AV255" s="963">
        <f t="shared" si="127"/>
        <v>0</v>
      </c>
      <c r="AW255" s="963">
        <f t="shared" si="128"/>
        <v>0</v>
      </c>
      <c r="AX255" s="963">
        <f t="shared" si="129"/>
        <v>0</v>
      </c>
      <c r="AY255" s="3343">
        <f t="shared" si="130"/>
        <v>0</v>
      </c>
      <c r="AZ255" s="3298">
        <f t="shared" si="131"/>
        <v>0</v>
      </c>
      <c r="BA255" s="3298">
        <f t="shared" si="132"/>
        <v>0</v>
      </c>
      <c r="BB255" s="3298">
        <f t="shared" si="133"/>
        <v>0</v>
      </c>
      <c r="BC255" s="3298">
        <f t="shared" si="134"/>
        <v>0</v>
      </c>
      <c r="BD255" s="3298">
        <f t="shared" si="135"/>
        <v>0</v>
      </c>
      <c r="BE255" s="3298">
        <f t="shared" si="136"/>
        <v>0</v>
      </c>
      <c r="BF255" s="3298">
        <f t="shared" si="137"/>
        <v>0</v>
      </c>
      <c r="BG255" s="3298">
        <f t="shared" si="138"/>
        <v>0</v>
      </c>
      <c r="BH255" s="3298">
        <f t="shared" si="139"/>
        <v>0</v>
      </c>
      <c r="BI255" s="3298">
        <f t="shared" si="140"/>
        <v>0</v>
      </c>
      <c r="BJ255" s="3298">
        <f t="shared" si="141"/>
        <v>0</v>
      </c>
      <c r="BK255" s="3298">
        <f t="shared" si="142"/>
        <v>0</v>
      </c>
      <c r="BL255" s="3298">
        <f t="shared" si="143"/>
        <v>0</v>
      </c>
      <c r="BM255" s="3298">
        <f t="shared" si="144"/>
        <v>0</v>
      </c>
      <c r="BN255" s="3298">
        <f t="shared" si="145"/>
        <v>0</v>
      </c>
      <c r="BO255" s="3298">
        <f t="shared" si="146"/>
        <v>0</v>
      </c>
      <c r="BP255" s="3298">
        <f t="shared" si="147"/>
        <v>0</v>
      </c>
      <c r="BQ255" s="3298">
        <f t="shared" si="148"/>
        <v>0</v>
      </c>
      <c r="BR255" s="3298">
        <f t="shared" si="149"/>
        <v>0</v>
      </c>
      <c r="BS255" s="3298">
        <f t="shared" si="150"/>
        <v>0</v>
      </c>
      <c r="BT255" s="3350">
        <f t="shared" si="151"/>
        <v>0</v>
      </c>
    </row>
    <row r="256" spans="1:72">
      <c r="A256" s="1407"/>
      <c r="B256" s="3296"/>
      <c r="C256" s="3296"/>
      <c r="D256" s="3297"/>
      <c r="E256" s="3298">
        <f t="shared" si="123"/>
        <v>0</v>
      </c>
      <c r="F256" s="3299"/>
      <c r="G256" s="3300">
        <f t="shared" si="124"/>
        <v>0</v>
      </c>
      <c r="H256" s="3301">
        <f t="shared" si="125"/>
        <v>0</v>
      </c>
      <c r="I256" s="3308"/>
      <c r="J256" s="3308"/>
      <c r="K256" s="3308"/>
      <c r="L256" s="3308"/>
      <c r="M256" s="3308"/>
      <c r="N256" s="3308"/>
      <c r="O256" s="3308"/>
      <c r="P256" s="3308"/>
      <c r="Q256" s="3308"/>
      <c r="R256" s="3308"/>
      <c r="S256" s="3308"/>
      <c r="T256" s="3308"/>
      <c r="U256" s="3308"/>
      <c r="V256" s="3308"/>
      <c r="W256" s="3308"/>
      <c r="X256" s="3308"/>
      <c r="Y256" s="3308"/>
      <c r="Z256" s="3308"/>
      <c r="AA256" s="3308"/>
      <c r="AB256" s="3308"/>
      <c r="AC256" s="3298">
        <f t="shared" si="126"/>
        <v>0</v>
      </c>
      <c r="AD256" s="3318"/>
      <c r="AE256" s="3318"/>
      <c r="AF256" s="3318"/>
      <c r="AG256" s="3318"/>
      <c r="AH256" s="3318"/>
      <c r="AI256" s="3318"/>
      <c r="AJ256" s="3318"/>
      <c r="AK256" s="3318"/>
      <c r="AL256" s="3318"/>
      <c r="AM256" s="3318"/>
      <c r="AN256" s="3318"/>
      <c r="AO256" s="3318"/>
      <c r="AP256" s="3318"/>
      <c r="AQ256" s="3318"/>
      <c r="AR256" s="3318"/>
      <c r="AS256" s="3318"/>
      <c r="AT256" s="3328"/>
      <c r="AU256" s="3329"/>
      <c r="AV256" s="963">
        <f t="shared" si="127"/>
        <v>0</v>
      </c>
      <c r="AW256" s="963">
        <f t="shared" si="128"/>
        <v>0</v>
      </c>
      <c r="AX256" s="963">
        <f t="shared" si="129"/>
        <v>0</v>
      </c>
      <c r="AY256" s="3343">
        <f t="shared" si="130"/>
        <v>0</v>
      </c>
      <c r="AZ256" s="3298">
        <f t="shared" si="131"/>
        <v>0</v>
      </c>
      <c r="BA256" s="3298">
        <f t="shared" si="132"/>
        <v>0</v>
      </c>
      <c r="BB256" s="3298">
        <f t="shared" si="133"/>
        <v>0</v>
      </c>
      <c r="BC256" s="3298">
        <f t="shared" si="134"/>
        <v>0</v>
      </c>
      <c r="BD256" s="3298">
        <f t="shared" si="135"/>
        <v>0</v>
      </c>
      <c r="BE256" s="3298">
        <f t="shared" si="136"/>
        <v>0</v>
      </c>
      <c r="BF256" s="3298">
        <f t="shared" si="137"/>
        <v>0</v>
      </c>
      <c r="BG256" s="3298">
        <f t="shared" si="138"/>
        <v>0</v>
      </c>
      <c r="BH256" s="3298">
        <f t="shared" si="139"/>
        <v>0</v>
      </c>
      <c r="BI256" s="3298">
        <f t="shared" si="140"/>
        <v>0</v>
      </c>
      <c r="BJ256" s="3298">
        <f t="shared" si="141"/>
        <v>0</v>
      </c>
      <c r="BK256" s="3298">
        <f t="shared" si="142"/>
        <v>0</v>
      </c>
      <c r="BL256" s="3298">
        <f t="shared" si="143"/>
        <v>0</v>
      </c>
      <c r="BM256" s="3298">
        <f t="shared" si="144"/>
        <v>0</v>
      </c>
      <c r="BN256" s="3298">
        <f t="shared" si="145"/>
        <v>0</v>
      </c>
      <c r="BO256" s="3298">
        <f t="shared" si="146"/>
        <v>0</v>
      </c>
      <c r="BP256" s="3298">
        <f t="shared" si="147"/>
        <v>0</v>
      </c>
      <c r="BQ256" s="3298">
        <f t="shared" si="148"/>
        <v>0</v>
      </c>
      <c r="BR256" s="3298">
        <f t="shared" si="149"/>
        <v>0</v>
      </c>
      <c r="BS256" s="3298">
        <f t="shared" si="150"/>
        <v>0</v>
      </c>
      <c r="BT256" s="3350">
        <f t="shared" si="151"/>
        <v>0</v>
      </c>
    </row>
    <row r="257" spans="1:72">
      <c r="A257" s="1407"/>
      <c r="B257" s="3296"/>
      <c r="C257" s="3296"/>
      <c r="D257" s="3297"/>
      <c r="E257" s="3298">
        <f t="shared" si="123"/>
        <v>0</v>
      </c>
      <c r="F257" s="3299"/>
      <c r="G257" s="3300">
        <f t="shared" si="124"/>
        <v>0</v>
      </c>
      <c r="H257" s="3301">
        <f t="shared" si="125"/>
        <v>0</v>
      </c>
      <c r="I257" s="3308"/>
      <c r="J257" s="3308"/>
      <c r="K257" s="3308"/>
      <c r="L257" s="3308"/>
      <c r="M257" s="3308"/>
      <c r="N257" s="3308"/>
      <c r="O257" s="3308"/>
      <c r="P257" s="3308"/>
      <c r="Q257" s="3308"/>
      <c r="R257" s="3308"/>
      <c r="S257" s="3308"/>
      <c r="T257" s="3308"/>
      <c r="U257" s="3308"/>
      <c r="V257" s="3308"/>
      <c r="W257" s="3308"/>
      <c r="X257" s="3308"/>
      <c r="Y257" s="3308"/>
      <c r="Z257" s="3308"/>
      <c r="AA257" s="3308"/>
      <c r="AB257" s="3308"/>
      <c r="AC257" s="3298">
        <f t="shared" si="126"/>
        <v>0</v>
      </c>
      <c r="AD257" s="3318"/>
      <c r="AE257" s="3318"/>
      <c r="AF257" s="3318"/>
      <c r="AG257" s="3318"/>
      <c r="AH257" s="3318"/>
      <c r="AI257" s="3318"/>
      <c r="AJ257" s="3318"/>
      <c r="AK257" s="3318"/>
      <c r="AL257" s="3318"/>
      <c r="AM257" s="3318"/>
      <c r="AN257" s="3318"/>
      <c r="AO257" s="3318"/>
      <c r="AP257" s="3318"/>
      <c r="AQ257" s="3318"/>
      <c r="AR257" s="3318"/>
      <c r="AS257" s="3318"/>
      <c r="AT257" s="3328"/>
      <c r="AU257" s="3329"/>
      <c r="AV257" s="963">
        <f t="shared" si="127"/>
        <v>0</v>
      </c>
      <c r="AW257" s="963">
        <f t="shared" si="128"/>
        <v>0</v>
      </c>
      <c r="AX257" s="963">
        <f t="shared" si="129"/>
        <v>0</v>
      </c>
      <c r="AY257" s="3343">
        <f t="shared" si="130"/>
        <v>0</v>
      </c>
      <c r="AZ257" s="3298">
        <f t="shared" si="131"/>
        <v>0</v>
      </c>
      <c r="BA257" s="3298">
        <f t="shared" si="132"/>
        <v>0</v>
      </c>
      <c r="BB257" s="3298">
        <f t="shared" si="133"/>
        <v>0</v>
      </c>
      <c r="BC257" s="3298">
        <f t="shared" si="134"/>
        <v>0</v>
      </c>
      <c r="BD257" s="3298">
        <f t="shared" si="135"/>
        <v>0</v>
      </c>
      <c r="BE257" s="3298">
        <f t="shared" si="136"/>
        <v>0</v>
      </c>
      <c r="BF257" s="3298">
        <f t="shared" si="137"/>
        <v>0</v>
      </c>
      <c r="BG257" s="3298">
        <f t="shared" si="138"/>
        <v>0</v>
      </c>
      <c r="BH257" s="3298">
        <f t="shared" si="139"/>
        <v>0</v>
      </c>
      <c r="BI257" s="3298">
        <f t="shared" si="140"/>
        <v>0</v>
      </c>
      <c r="BJ257" s="3298">
        <f t="shared" si="141"/>
        <v>0</v>
      </c>
      <c r="BK257" s="3298">
        <f t="shared" si="142"/>
        <v>0</v>
      </c>
      <c r="BL257" s="3298">
        <f t="shared" si="143"/>
        <v>0</v>
      </c>
      <c r="BM257" s="3298">
        <f t="shared" si="144"/>
        <v>0</v>
      </c>
      <c r="BN257" s="3298">
        <f t="shared" si="145"/>
        <v>0</v>
      </c>
      <c r="BO257" s="3298">
        <f t="shared" si="146"/>
        <v>0</v>
      </c>
      <c r="BP257" s="3298">
        <f t="shared" si="147"/>
        <v>0</v>
      </c>
      <c r="BQ257" s="3298">
        <f t="shared" si="148"/>
        <v>0</v>
      </c>
      <c r="BR257" s="3298">
        <f t="shared" si="149"/>
        <v>0</v>
      </c>
      <c r="BS257" s="3298">
        <f t="shared" si="150"/>
        <v>0</v>
      </c>
      <c r="BT257" s="3350">
        <f t="shared" si="151"/>
        <v>0</v>
      </c>
    </row>
    <row r="258" spans="1:72">
      <c r="A258" s="1407"/>
      <c r="B258" s="3296"/>
      <c r="C258" s="3296"/>
      <c r="D258" s="3297"/>
      <c r="E258" s="3298">
        <f t="shared" si="123"/>
        <v>0</v>
      </c>
      <c r="F258" s="3299"/>
      <c r="G258" s="3300">
        <f t="shared" si="124"/>
        <v>0</v>
      </c>
      <c r="H258" s="3301">
        <f t="shared" si="125"/>
        <v>0</v>
      </c>
      <c r="I258" s="3308"/>
      <c r="J258" s="3308"/>
      <c r="K258" s="3308"/>
      <c r="L258" s="3308"/>
      <c r="M258" s="3308"/>
      <c r="N258" s="3308"/>
      <c r="O258" s="3308"/>
      <c r="P258" s="3308"/>
      <c r="Q258" s="3308"/>
      <c r="R258" s="3308"/>
      <c r="S258" s="3308"/>
      <c r="T258" s="3308"/>
      <c r="U258" s="3308"/>
      <c r="V258" s="3308"/>
      <c r="W258" s="3308"/>
      <c r="X258" s="3308"/>
      <c r="Y258" s="3308"/>
      <c r="Z258" s="3308"/>
      <c r="AA258" s="3308"/>
      <c r="AB258" s="3308"/>
      <c r="AC258" s="3298">
        <f t="shared" si="126"/>
        <v>0</v>
      </c>
      <c r="AD258" s="3318"/>
      <c r="AE258" s="3318"/>
      <c r="AF258" s="3318"/>
      <c r="AG258" s="3318"/>
      <c r="AH258" s="3318"/>
      <c r="AI258" s="3318"/>
      <c r="AJ258" s="3318"/>
      <c r="AK258" s="3318"/>
      <c r="AL258" s="3318"/>
      <c r="AM258" s="3318"/>
      <c r="AN258" s="3318"/>
      <c r="AO258" s="3318"/>
      <c r="AP258" s="3318"/>
      <c r="AQ258" s="3318"/>
      <c r="AR258" s="3318"/>
      <c r="AS258" s="3318"/>
      <c r="AT258" s="3328"/>
      <c r="AU258" s="3329"/>
      <c r="AV258" s="963">
        <f t="shared" si="127"/>
        <v>0</v>
      </c>
      <c r="AW258" s="963">
        <f t="shared" si="128"/>
        <v>0</v>
      </c>
      <c r="AX258" s="963">
        <f t="shared" si="129"/>
        <v>0</v>
      </c>
      <c r="AY258" s="3343">
        <f t="shared" si="130"/>
        <v>0</v>
      </c>
      <c r="AZ258" s="3298">
        <f t="shared" si="131"/>
        <v>0</v>
      </c>
      <c r="BA258" s="3298">
        <f t="shared" si="132"/>
        <v>0</v>
      </c>
      <c r="BB258" s="3298">
        <f t="shared" si="133"/>
        <v>0</v>
      </c>
      <c r="BC258" s="3298">
        <f t="shared" si="134"/>
        <v>0</v>
      </c>
      <c r="BD258" s="3298">
        <f t="shared" si="135"/>
        <v>0</v>
      </c>
      <c r="BE258" s="3298">
        <f t="shared" si="136"/>
        <v>0</v>
      </c>
      <c r="BF258" s="3298">
        <f t="shared" si="137"/>
        <v>0</v>
      </c>
      <c r="BG258" s="3298">
        <f t="shared" si="138"/>
        <v>0</v>
      </c>
      <c r="BH258" s="3298">
        <f t="shared" si="139"/>
        <v>0</v>
      </c>
      <c r="BI258" s="3298">
        <f t="shared" si="140"/>
        <v>0</v>
      </c>
      <c r="BJ258" s="3298">
        <f t="shared" si="141"/>
        <v>0</v>
      </c>
      <c r="BK258" s="3298">
        <f t="shared" si="142"/>
        <v>0</v>
      </c>
      <c r="BL258" s="3298">
        <f t="shared" si="143"/>
        <v>0</v>
      </c>
      <c r="BM258" s="3298">
        <f t="shared" si="144"/>
        <v>0</v>
      </c>
      <c r="BN258" s="3298">
        <f t="shared" si="145"/>
        <v>0</v>
      </c>
      <c r="BO258" s="3298">
        <f t="shared" si="146"/>
        <v>0</v>
      </c>
      <c r="BP258" s="3298">
        <f t="shared" si="147"/>
        <v>0</v>
      </c>
      <c r="BQ258" s="3298">
        <f t="shared" si="148"/>
        <v>0</v>
      </c>
      <c r="BR258" s="3298">
        <f t="shared" si="149"/>
        <v>0</v>
      </c>
      <c r="BS258" s="3298">
        <f t="shared" si="150"/>
        <v>0</v>
      </c>
      <c r="BT258" s="3350">
        <f t="shared" si="151"/>
        <v>0</v>
      </c>
    </row>
    <row r="259" spans="1:72">
      <c r="A259" s="1407"/>
      <c r="B259" s="3296"/>
      <c r="C259" s="3296"/>
      <c r="D259" s="3297"/>
      <c r="E259" s="3298">
        <f t="shared" si="123"/>
        <v>0</v>
      </c>
      <c r="F259" s="3299"/>
      <c r="G259" s="3300">
        <f t="shared" si="124"/>
        <v>0</v>
      </c>
      <c r="H259" s="3301">
        <f t="shared" si="125"/>
        <v>0</v>
      </c>
      <c r="I259" s="3308"/>
      <c r="J259" s="3308"/>
      <c r="K259" s="3308"/>
      <c r="L259" s="3308"/>
      <c r="M259" s="3308"/>
      <c r="N259" s="3308"/>
      <c r="O259" s="3308"/>
      <c r="P259" s="3308"/>
      <c r="Q259" s="3308"/>
      <c r="R259" s="3308"/>
      <c r="S259" s="3308"/>
      <c r="T259" s="3308"/>
      <c r="U259" s="3308"/>
      <c r="V259" s="3308"/>
      <c r="W259" s="3308"/>
      <c r="X259" s="3308"/>
      <c r="Y259" s="3308"/>
      <c r="Z259" s="3308"/>
      <c r="AA259" s="3308"/>
      <c r="AB259" s="3308"/>
      <c r="AC259" s="3298">
        <f t="shared" si="126"/>
        <v>0</v>
      </c>
      <c r="AD259" s="3318"/>
      <c r="AE259" s="3318"/>
      <c r="AF259" s="3318"/>
      <c r="AG259" s="3318"/>
      <c r="AH259" s="3318"/>
      <c r="AI259" s="3318"/>
      <c r="AJ259" s="3318"/>
      <c r="AK259" s="3318"/>
      <c r="AL259" s="3318"/>
      <c r="AM259" s="3318"/>
      <c r="AN259" s="3318"/>
      <c r="AO259" s="3318"/>
      <c r="AP259" s="3318"/>
      <c r="AQ259" s="3318"/>
      <c r="AR259" s="3318"/>
      <c r="AS259" s="3318"/>
      <c r="AT259" s="3328"/>
      <c r="AU259" s="3329"/>
      <c r="AV259" s="963">
        <f t="shared" si="127"/>
        <v>0</v>
      </c>
      <c r="AW259" s="963">
        <f t="shared" si="128"/>
        <v>0</v>
      </c>
      <c r="AX259" s="963">
        <f t="shared" si="129"/>
        <v>0</v>
      </c>
      <c r="AY259" s="3343">
        <f t="shared" si="130"/>
        <v>0</v>
      </c>
      <c r="AZ259" s="3298">
        <f t="shared" si="131"/>
        <v>0</v>
      </c>
      <c r="BA259" s="3298">
        <f t="shared" si="132"/>
        <v>0</v>
      </c>
      <c r="BB259" s="3298">
        <f t="shared" si="133"/>
        <v>0</v>
      </c>
      <c r="BC259" s="3298">
        <f t="shared" si="134"/>
        <v>0</v>
      </c>
      <c r="BD259" s="3298">
        <f t="shared" si="135"/>
        <v>0</v>
      </c>
      <c r="BE259" s="3298">
        <f t="shared" si="136"/>
        <v>0</v>
      </c>
      <c r="BF259" s="3298">
        <f t="shared" si="137"/>
        <v>0</v>
      </c>
      <c r="BG259" s="3298">
        <f t="shared" si="138"/>
        <v>0</v>
      </c>
      <c r="BH259" s="3298">
        <f t="shared" si="139"/>
        <v>0</v>
      </c>
      <c r="BI259" s="3298">
        <f t="shared" si="140"/>
        <v>0</v>
      </c>
      <c r="BJ259" s="3298">
        <f t="shared" si="141"/>
        <v>0</v>
      </c>
      <c r="BK259" s="3298">
        <f t="shared" si="142"/>
        <v>0</v>
      </c>
      <c r="BL259" s="3298">
        <f t="shared" si="143"/>
        <v>0</v>
      </c>
      <c r="BM259" s="3298">
        <f t="shared" si="144"/>
        <v>0</v>
      </c>
      <c r="BN259" s="3298">
        <f t="shared" si="145"/>
        <v>0</v>
      </c>
      <c r="BO259" s="3298">
        <f t="shared" si="146"/>
        <v>0</v>
      </c>
      <c r="BP259" s="3298">
        <f t="shared" si="147"/>
        <v>0</v>
      </c>
      <c r="BQ259" s="3298">
        <f t="shared" si="148"/>
        <v>0</v>
      </c>
      <c r="BR259" s="3298">
        <f t="shared" si="149"/>
        <v>0</v>
      </c>
      <c r="BS259" s="3298">
        <f t="shared" si="150"/>
        <v>0</v>
      </c>
      <c r="BT259" s="3350">
        <f t="shared" si="151"/>
        <v>0</v>
      </c>
    </row>
    <row r="260" spans="1:72">
      <c r="A260" s="1407"/>
      <c r="B260" s="3296"/>
      <c r="C260" s="3296"/>
      <c r="D260" s="3297"/>
      <c r="E260" s="3298">
        <f t="shared" si="123"/>
        <v>0</v>
      </c>
      <c r="F260" s="3299"/>
      <c r="G260" s="3300">
        <f t="shared" si="124"/>
        <v>0</v>
      </c>
      <c r="H260" s="3301">
        <f t="shared" si="125"/>
        <v>0</v>
      </c>
      <c r="I260" s="3308"/>
      <c r="J260" s="3308"/>
      <c r="K260" s="3308"/>
      <c r="L260" s="3308"/>
      <c r="M260" s="3308"/>
      <c r="N260" s="3308"/>
      <c r="O260" s="3308"/>
      <c r="P260" s="3308"/>
      <c r="Q260" s="3308"/>
      <c r="R260" s="3308"/>
      <c r="S260" s="3308"/>
      <c r="T260" s="3308"/>
      <c r="U260" s="3308"/>
      <c r="V260" s="3308"/>
      <c r="W260" s="3308"/>
      <c r="X260" s="3308"/>
      <c r="Y260" s="3308"/>
      <c r="Z260" s="3308"/>
      <c r="AA260" s="3308"/>
      <c r="AB260" s="3308"/>
      <c r="AC260" s="3298">
        <f t="shared" si="126"/>
        <v>0</v>
      </c>
      <c r="AD260" s="3318"/>
      <c r="AE260" s="3318"/>
      <c r="AF260" s="3318"/>
      <c r="AG260" s="3318"/>
      <c r="AH260" s="3318"/>
      <c r="AI260" s="3318"/>
      <c r="AJ260" s="3318"/>
      <c r="AK260" s="3318"/>
      <c r="AL260" s="3318"/>
      <c r="AM260" s="3318"/>
      <c r="AN260" s="3318"/>
      <c r="AO260" s="3318"/>
      <c r="AP260" s="3318"/>
      <c r="AQ260" s="3318"/>
      <c r="AR260" s="3318"/>
      <c r="AS260" s="3318"/>
      <c r="AT260" s="3328"/>
      <c r="AU260" s="3329"/>
      <c r="AV260" s="963">
        <f t="shared" si="127"/>
        <v>0</v>
      </c>
      <c r="AW260" s="963">
        <f t="shared" si="128"/>
        <v>0</v>
      </c>
      <c r="AX260" s="963">
        <f t="shared" si="129"/>
        <v>0</v>
      </c>
      <c r="AY260" s="3343">
        <f t="shared" si="130"/>
        <v>0</v>
      </c>
      <c r="AZ260" s="3298">
        <f t="shared" si="131"/>
        <v>0</v>
      </c>
      <c r="BA260" s="3298">
        <f t="shared" si="132"/>
        <v>0</v>
      </c>
      <c r="BB260" s="3298">
        <f t="shared" si="133"/>
        <v>0</v>
      </c>
      <c r="BC260" s="3298">
        <f t="shared" si="134"/>
        <v>0</v>
      </c>
      <c r="BD260" s="3298">
        <f t="shared" si="135"/>
        <v>0</v>
      </c>
      <c r="BE260" s="3298">
        <f t="shared" si="136"/>
        <v>0</v>
      </c>
      <c r="BF260" s="3298">
        <f t="shared" si="137"/>
        <v>0</v>
      </c>
      <c r="BG260" s="3298">
        <f t="shared" si="138"/>
        <v>0</v>
      </c>
      <c r="BH260" s="3298">
        <f t="shared" si="139"/>
        <v>0</v>
      </c>
      <c r="BI260" s="3298">
        <f t="shared" si="140"/>
        <v>0</v>
      </c>
      <c r="BJ260" s="3298">
        <f t="shared" si="141"/>
        <v>0</v>
      </c>
      <c r="BK260" s="3298">
        <f t="shared" si="142"/>
        <v>0</v>
      </c>
      <c r="BL260" s="3298">
        <f t="shared" si="143"/>
        <v>0</v>
      </c>
      <c r="BM260" s="3298">
        <f t="shared" si="144"/>
        <v>0</v>
      </c>
      <c r="BN260" s="3298">
        <f t="shared" si="145"/>
        <v>0</v>
      </c>
      <c r="BO260" s="3298">
        <f t="shared" si="146"/>
        <v>0</v>
      </c>
      <c r="BP260" s="3298">
        <f t="shared" si="147"/>
        <v>0</v>
      </c>
      <c r="BQ260" s="3298">
        <f t="shared" si="148"/>
        <v>0</v>
      </c>
      <c r="BR260" s="3298">
        <f t="shared" si="149"/>
        <v>0</v>
      </c>
      <c r="BS260" s="3298">
        <f t="shared" si="150"/>
        <v>0</v>
      </c>
      <c r="BT260" s="3350">
        <f t="shared" si="151"/>
        <v>0</v>
      </c>
    </row>
    <row r="261" spans="1:72">
      <c r="A261" s="1407"/>
      <c r="B261" s="3296"/>
      <c r="C261" s="3296"/>
      <c r="D261" s="3297"/>
      <c r="E261" s="3298">
        <f t="shared" si="123"/>
        <v>0</v>
      </c>
      <c r="F261" s="3299"/>
      <c r="G261" s="3300">
        <f t="shared" si="124"/>
        <v>0</v>
      </c>
      <c r="H261" s="3301">
        <f t="shared" si="125"/>
        <v>0</v>
      </c>
      <c r="I261" s="3308"/>
      <c r="J261" s="3308"/>
      <c r="K261" s="3308"/>
      <c r="L261" s="3308"/>
      <c r="M261" s="3308"/>
      <c r="N261" s="3308"/>
      <c r="O261" s="3308"/>
      <c r="P261" s="3308"/>
      <c r="Q261" s="3308"/>
      <c r="R261" s="3308"/>
      <c r="S261" s="3308"/>
      <c r="T261" s="3308"/>
      <c r="U261" s="3308"/>
      <c r="V261" s="3308"/>
      <c r="W261" s="3308"/>
      <c r="X261" s="3308"/>
      <c r="Y261" s="3308"/>
      <c r="Z261" s="3308"/>
      <c r="AA261" s="3308"/>
      <c r="AB261" s="3308"/>
      <c r="AC261" s="3298">
        <f t="shared" si="126"/>
        <v>0</v>
      </c>
      <c r="AD261" s="3318"/>
      <c r="AE261" s="3318"/>
      <c r="AF261" s="3318"/>
      <c r="AG261" s="3318"/>
      <c r="AH261" s="3318"/>
      <c r="AI261" s="3318"/>
      <c r="AJ261" s="3318"/>
      <c r="AK261" s="3318"/>
      <c r="AL261" s="3318"/>
      <c r="AM261" s="3318"/>
      <c r="AN261" s="3318"/>
      <c r="AO261" s="3318"/>
      <c r="AP261" s="3318"/>
      <c r="AQ261" s="3318"/>
      <c r="AR261" s="3318"/>
      <c r="AS261" s="3318"/>
      <c r="AT261" s="3328"/>
      <c r="AU261" s="3329"/>
      <c r="AV261" s="963">
        <f t="shared" si="127"/>
        <v>0</v>
      </c>
      <c r="AW261" s="963">
        <f t="shared" si="128"/>
        <v>0</v>
      </c>
      <c r="AX261" s="963">
        <f t="shared" si="129"/>
        <v>0</v>
      </c>
      <c r="AY261" s="3343">
        <f t="shared" si="130"/>
        <v>0</v>
      </c>
      <c r="AZ261" s="3298">
        <f t="shared" si="131"/>
        <v>0</v>
      </c>
      <c r="BA261" s="3298">
        <f t="shared" si="132"/>
        <v>0</v>
      </c>
      <c r="BB261" s="3298">
        <f t="shared" si="133"/>
        <v>0</v>
      </c>
      <c r="BC261" s="3298">
        <f t="shared" si="134"/>
        <v>0</v>
      </c>
      <c r="BD261" s="3298">
        <f t="shared" si="135"/>
        <v>0</v>
      </c>
      <c r="BE261" s="3298">
        <f t="shared" si="136"/>
        <v>0</v>
      </c>
      <c r="BF261" s="3298">
        <f t="shared" si="137"/>
        <v>0</v>
      </c>
      <c r="BG261" s="3298">
        <f t="shared" si="138"/>
        <v>0</v>
      </c>
      <c r="BH261" s="3298">
        <f t="shared" si="139"/>
        <v>0</v>
      </c>
      <c r="BI261" s="3298">
        <f t="shared" si="140"/>
        <v>0</v>
      </c>
      <c r="BJ261" s="3298">
        <f t="shared" si="141"/>
        <v>0</v>
      </c>
      <c r="BK261" s="3298">
        <f t="shared" si="142"/>
        <v>0</v>
      </c>
      <c r="BL261" s="3298">
        <f t="shared" si="143"/>
        <v>0</v>
      </c>
      <c r="BM261" s="3298">
        <f t="shared" si="144"/>
        <v>0</v>
      </c>
      <c r="BN261" s="3298">
        <f t="shared" si="145"/>
        <v>0</v>
      </c>
      <c r="BO261" s="3298">
        <f t="shared" si="146"/>
        <v>0</v>
      </c>
      <c r="BP261" s="3298">
        <f t="shared" si="147"/>
        <v>0</v>
      </c>
      <c r="BQ261" s="3298">
        <f t="shared" si="148"/>
        <v>0</v>
      </c>
      <c r="BR261" s="3298">
        <f t="shared" si="149"/>
        <v>0</v>
      </c>
      <c r="BS261" s="3298">
        <f t="shared" si="150"/>
        <v>0</v>
      </c>
      <c r="BT261" s="3350">
        <f t="shared" si="151"/>
        <v>0</v>
      </c>
    </row>
    <row r="262" spans="1:72">
      <c r="A262" s="1407"/>
      <c r="B262" s="3296"/>
      <c r="C262" s="3296"/>
      <c r="D262" s="3297"/>
      <c r="E262" s="3298">
        <f t="shared" si="123"/>
        <v>0</v>
      </c>
      <c r="F262" s="3299"/>
      <c r="G262" s="3300">
        <f t="shared" si="124"/>
        <v>0</v>
      </c>
      <c r="H262" s="3301">
        <f t="shared" si="125"/>
        <v>0</v>
      </c>
      <c r="I262" s="3308"/>
      <c r="J262" s="3308"/>
      <c r="K262" s="3308"/>
      <c r="L262" s="3308"/>
      <c r="M262" s="3308"/>
      <c r="N262" s="3308"/>
      <c r="O262" s="3308"/>
      <c r="P262" s="3308"/>
      <c r="Q262" s="3308"/>
      <c r="R262" s="3308"/>
      <c r="S262" s="3308"/>
      <c r="T262" s="3308"/>
      <c r="U262" s="3308"/>
      <c r="V262" s="3308"/>
      <c r="W262" s="3308"/>
      <c r="X262" s="3308"/>
      <c r="Y262" s="3308"/>
      <c r="Z262" s="3308"/>
      <c r="AA262" s="3308"/>
      <c r="AB262" s="3308"/>
      <c r="AC262" s="3298">
        <f t="shared" si="126"/>
        <v>0</v>
      </c>
      <c r="AD262" s="3318"/>
      <c r="AE262" s="3318"/>
      <c r="AF262" s="3318"/>
      <c r="AG262" s="3318"/>
      <c r="AH262" s="3318"/>
      <c r="AI262" s="3318"/>
      <c r="AJ262" s="3318"/>
      <c r="AK262" s="3318"/>
      <c r="AL262" s="3318"/>
      <c r="AM262" s="3318"/>
      <c r="AN262" s="3318"/>
      <c r="AO262" s="3318"/>
      <c r="AP262" s="3318"/>
      <c r="AQ262" s="3318"/>
      <c r="AR262" s="3318"/>
      <c r="AS262" s="3318"/>
      <c r="AT262" s="3328"/>
      <c r="AU262" s="3329"/>
      <c r="AV262" s="963">
        <f t="shared" si="127"/>
        <v>0</v>
      </c>
      <c r="AW262" s="963">
        <f t="shared" si="128"/>
        <v>0</v>
      </c>
      <c r="AX262" s="963">
        <f t="shared" si="129"/>
        <v>0</v>
      </c>
      <c r="AY262" s="3343">
        <f t="shared" si="130"/>
        <v>0</v>
      </c>
      <c r="AZ262" s="3298">
        <f t="shared" si="131"/>
        <v>0</v>
      </c>
      <c r="BA262" s="3298">
        <f t="shared" si="132"/>
        <v>0</v>
      </c>
      <c r="BB262" s="3298">
        <f t="shared" si="133"/>
        <v>0</v>
      </c>
      <c r="BC262" s="3298">
        <f t="shared" si="134"/>
        <v>0</v>
      </c>
      <c r="BD262" s="3298">
        <f t="shared" si="135"/>
        <v>0</v>
      </c>
      <c r="BE262" s="3298">
        <f t="shared" si="136"/>
        <v>0</v>
      </c>
      <c r="BF262" s="3298">
        <f t="shared" si="137"/>
        <v>0</v>
      </c>
      <c r="BG262" s="3298">
        <f t="shared" si="138"/>
        <v>0</v>
      </c>
      <c r="BH262" s="3298">
        <f t="shared" si="139"/>
        <v>0</v>
      </c>
      <c r="BI262" s="3298">
        <f t="shared" si="140"/>
        <v>0</v>
      </c>
      <c r="BJ262" s="3298">
        <f t="shared" si="141"/>
        <v>0</v>
      </c>
      <c r="BK262" s="3298">
        <f t="shared" si="142"/>
        <v>0</v>
      </c>
      <c r="BL262" s="3298">
        <f t="shared" si="143"/>
        <v>0</v>
      </c>
      <c r="BM262" s="3298">
        <f t="shared" si="144"/>
        <v>0</v>
      </c>
      <c r="BN262" s="3298">
        <f t="shared" si="145"/>
        <v>0</v>
      </c>
      <c r="BO262" s="3298">
        <f t="shared" si="146"/>
        <v>0</v>
      </c>
      <c r="BP262" s="3298">
        <f t="shared" si="147"/>
        <v>0</v>
      </c>
      <c r="BQ262" s="3298">
        <f t="shared" si="148"/>
        <v>0</v>
      </c>
      <c r="BR262" s="3298">
        <f t="shared" si="149"/>
        <v>0</v>
      </c>
      <c r="BS262" s="3298">
        <f t="shared" si="150"/>
        <v>0</v>
      </c>
      <c r="BT262" s="3350">
        <f t="shared" si="151"/>
        <v>0</v>
      </c>
    </row>
    <row r="263" spans="1:72">
      <c r="A263" s="1407"/>
      <c r="B263" s="3296"/>
      <c r="C263" s="3296"/>
      <c r="D263" s="3297"/>
      <c r="E263" s="3298">
        <f t="shared" si="123"/>
        <v>0</v>
      </c>
      <c r="F263" s="3299"/>
      <c r="G263" s="3300">
        <f t="shared" si="124"/>
        <v>0</v>
      </c>
      <c r="H263" s="3301">
        <f t="shared" si="125"/>
        <v>0</v>
      </c>
      <c r="I263" s="3308"/>
      <c r="J263" s="3308"/>
      <c r="K263" s="3308"/>
      <c r="L263" s="3308"/>
      <c r="M263" s="3308"/>
      <c r="N263" s="3308"/>
      <c r="O263" s="3308"/>
      <c r="P263" s="3308"/>
      <c r="Q263" s="3308"/>
      <c r="R263" s="3308"/>
      <c r="S263" s="3308"/>
      <c r="T263" s="3308"/>
      <c r="U263" s="3308"/>
      <c r="V263" s="3308"/>
      <c r="W263" s="3308"/>
      <c r="X263" s="3308"/>
      <c r="Y263" s="3308"/>
      <c r="Z263" s="3308"/>
      <c r="AA263" s="3308"/>
      <c r="AB263" s="3308"/>
      <c r="AC263" s="3298">
        <f t="shared" si="126"/>
        <v>0</v>
      </c>
      <c r="AD263" s="3318"/>
      <c r="AE263" s="3318"/>
      <c r="AF263" s="3318"/>
      <c r="AG263" s="3318"/>
      <c r="AH263" s="3318"/>
      <c r="AI263" s="3318"/>
      <c r="AJ263" s="3318"/>
      <c r="AK263" s="3318"/>
      <c r="AL263" s="3318"/>
      <c r="AM263" s="3318"/>
      <c r="AN263" s="3318"/>
      <c r="AO263" s="3318"/>
      <c r="AP263" s="3318"/>
      <c r="AQ263" s="3318"/>
      <c r="AR263" s="3318"/>
      <c r="AS263" s="3318"/>
      <c r="AT263" s="3328"/>
      <c r="AU263" s="3329"/>
      <c r="AV263" s="963">
        <f t="shared" si="127"/>
        <v>0</v>
      </c>
      <c r="AW263" s="963">
        <f t="shared" si="128"/>
        <v>0</v>
      </c>
      <c r="AX263" s="963">
        <f t="shared" si="129"/>
        <v>0</v>
      </c>
      <c r="AY263" s="3343">
        <f t="shared" si="130"/>
        <v>0</v>
      </c>
      <c r="AZ263" s="3298">
        <f t="shared" si="131"/>
        <v>0</v>
      </c>
      <c r="BA263" s="3298">
        <f t="shared" si="132"/>
        <v>0</v>
      </c>
      <c r="BB263" s="3298">
        <f t="shared" si="133"/>
        <v>0</v>
      </c>
      <c r="BC263" s="3298">
        <f t="shared" si="134"/>
        <v>0</v>
      </c>
      <c r="BD263" s="3298">
        <f t="shared" si="135"/>
        <v>0</v>
      </c>
      <c r="BE263" s="3298">
        <f t="shared" si="136"/>
        <v>0</v>
      </c>
      <c r="BF263" s="3298">
        <f t="shared" si="137"/>
        <v>0</v>
      </c>
      <c r="BG263" s="3298">
        <f t="shared" si="138"/>
        <v>0</v>
      </c>
      <c r="BH263" s="3298">
        <f t="shared" si="139"/>
        <v>0</v>
      </c>
      <c r="BI263" s="3298">
        <f t="shared" si="140"/>
        <v>0</v>
      </c>
      <c r="BJ263" s="3298">
        <f t="shared" si="141"/>
        <v>0</v>
      </c>
      <c r="BK263" s="3298">
        <f t="shared" si="142"/>
        <v>0</v>
      </c>
      <c r="BL263" s="3298">
        <f t="shared" si="143"/>
        <v>0</v>
      </c>
      <c r="BM263" s="3298">
        <f t="shared" si="144"/>
        <v>0</v>
      </c>
      <c r="BN263" s="3298">
        <f t="shared" si="145"/>
        <v>0</v>
      </c>
      <c r="BO263" s="3298">
        <f t="shared" si="146"/>
        <v>0</v>
      </c>
      <c r="BP263" s="3298">
        <f t="shared" si="147"/>
        <v>0</v>
      </c>
      <c r="BQ263" s="3298">
        <f t="shared" si="148"/>
        <v>0</v>
      </c>
      <c r="BR263" s="3298">
        <f t="shared" si="149"/>
        <v>0</v>
      </c>
      <c r="BS263" s="3298">
        <f t="shared" si="150"/>
        <v>0</v>
      </c>
      <c r="BT263" s="3350">
        <f t="shared" si="151"/>
        <v>0</v>
      </c>
    </row>
    <row r="264" spans="1:72">
      <c r="A264" s="1407"/>
      <c r="B264" s="3296"/>
      <c r="C264" s="3296"/>
      <c r="D264" s="3297"/>
      <c r="E264" s="3298">
        <f t="shared" si="123"/>
        <v>0</v>
      </c>
      <c r="F264" s="3299"/>
      <c r="G264" s="3300">
        <f t="shared" si="124"/>
        <v>0</v>
      </c>
      <c r="H264" s="3301">
        <f t="shared" si="125"/>
        <v>0</v>
      </c>
      <c r="I264" s="3308"/>
      <c r="J264" s="3308"/>
      <c r="K264" s="3308"/>
      <c r="L264" s="3308"/>
      <c r="M264" s="3308"/>
      <c r="N264" s="3308"/>
      <c r="O264" s="3308"/>
      <c r="P264" s="3308"/>
      <c r="Q264" s="3308"/>
      <c r="R264" s="3308"/>
      <c r="S264" s="3308"/>
      <c r="T264" s="3308"/>
      <c r="U264" s="3308"/>
      <c r="V264" s="3308"/>
      <c r="W264" s="3308"/>
      <c r="X264" s="3308"/>
      <c r="Y264" s="3308"/>
      <c r="Z264" s="3308"/>
      <c r="AA264" s="3308"/>
      <c r="AB264" s="3308"/>
      <c r="AC264" s="3298">
        <f t="shared" si="126"/>
        <v>0</v>
      </c>
      <c r="AD264" s="3318"/>
      <c r="AE264" s="3318"/>
      <c r="AF264" s="3318"/>
      <c r="AG264" s="3318"/>
      <c r="AH264" s="3318"/>
      <c r="AI264" s="3318"/>
      <c r="AJ264" s="3318"/>
      <c r="AK264" s="3318"/>
      <c r="AL264" s="3318"/>
      <c r="AM264" s="3318"/>
      <c r="AN264" s="3318"/>
      <c r="AO264" s="3318"/>
      <c r="AP264" s="3318"/>
      <c r="AQ264" s="3318"/>
      <c r="AR264" s="3318"/>
      <c r="AS264" s="3318"/>
      <c r="AT264" s="3328"/>
      <c r="AU264" s="3329"/>
      <c r="AV264" s="963">
        <f t="shared" si="127"/>
        <v>0</v>
      </c>
      <c r="AW264" s="963">
        <f t="shared" si="128"/>
        <v>0</v>
      </c>
      <c r="AX264" s="963">
        <f t="shared" si="129"/>
        <v>0</v>
      </c>
      <c r="AY264" s="3343">
        <f t="shared" si="130"/>
        <v>0</v>
      </c>
      <c r="AZ264" s="3298">
        <f t="shared" si="131"/>
        <v>0</v>
      </c>
      <c r="BA264" s="3298">
        <f t="shared" si="132"/>
        <v>0</v>
      </c>
      <c r="BB264" s="3298">
        <f t="shared" si="133"/>
        <v>0</v>
      </c>
      <c r="BC264" s="3298">
        <f t="shared" si="134"/>
        <v>0</v>
      </c>
      <c r="BD264" s="3298">
        <f t="shared" si="135"/>
        <v>0</v>
      </c>
      <c r="BE264" s="3298">
        <f t="shared" si="136"/>
        <v>0</v>
      </c>
      <c r="BF264" s="3298">
        <f t="shared" si="137"/>
        <v>0</v>
      </c>
      <c r="BG264" s="3298">
        <f t="shared" si="138"/>
        <v>0</v>
      </c>
      <c r="BH264" s="3298">
        <f t="shared" si="139"/>
        <v>0</v>
      </c>
      <c r="BI264" s="3298">
        <f t="shared" si="140"/>
        <v>0</v>
      </c>
      <c r="BJ264" s="3298">
        <f t="shared" si="141"/>
        <v>0</v>
      </c>
      <c r="BK264" s="3298">
        <f t="shared" si="142"/>
        <v>0</v>
      </c>
      <c r="BL264" s="3298">
        <f t="shared" si="143"/>
        <v>0</v>
      </c>
      <c r="BM264" s="3298">
        <f t="shared" si="144"/>
        <v>0</v>
      </c>
      <c r="BN264" s="3298">
        <f t="shared" si="145"/>
        <v>0</v>
      </c>
      <c r="BO264" s="3298">
        <f t="shared" si="146"/>
        <v>0</v>
      </c>
      <c r="BP264" s="3298">
        <f t="shared" si="147"/>
        <v>0</v>
      </c>
      <c r="BQ264" s="3298">
        <f t="shared" si="148"/>
        <v>0</v>
      </c>
      <c r="BR264" s="3298">
        <f t="shared" si="149"/>
        <v>0</v>
      </c>
      <c r="BS264" s="3298">
        <f t="shared" si="150"/>
        <v>0</v>
      </c>
      <c r="BT264" s="3350">
        <f t="shared" si="151"/>
        <v>0</v>
      </c>
    </row>
    <row r="265" spans="1:72">
      <c r="A265" s="1407"/>
      <c r="B265" s="3296"/>
      <c r="C265" s="3296"/>
      <c r="D265" s="3297"/>
      <c r="E265" s="3298">
        <f t="shared" si="123"/>
        <v>0</v>
      </c>
      <c r="F265" s="3299"/>
      <c r="G265" s="3300">
        <f t="shared" si="124"/>
        <v>0</v>
      </c>
      <c r="H265" s="3301">
        <f t="shared" si="125"/>
        <v>0</v>
      </c>
      <c r="I265" s="3308"/>
      <c r="J265" s="3308"/>
      <c r="K265" s="3308"/>
      <c r="L265" s="3308"/>
      <c r="M265" s="3308"/>
      <c r="N265" s="3308"/>
      <c r="O265" s="3308"/>
      <c r="P265" s="3308"/>
      <c r="Q265" s="3308"/>
      <c r="R265" s="3308"/>
      <c r="S265" s="3308"/>
      <c r="T265" s="3308"/>
      <c r="U265" s="3308"/>
      <c r="V265" s="3308"/>
      <c r="W265" s="3308"/>
      <c r="X265" s="3308"/>
      <c r="Y265" s="3308"/>
      <c r="Z265" s="3308"/>
      <c r="AA265" s="3308"/>
      <c r="AB265" s="3308"/>
      <c r="AC265" s="3298">
        <f t="shared" si="126"/>
        <v>0</v>
      </c>
      <c r="AD265" s="3318"/>
      <c r="AE265" s="3318"/>
      <c r="AF265" s="3318"/>
      <c r="AG265" s="3318"/>
      <c r="AH265" s="3318"/>
      <c r="AI265" s="3318"/>
      <c r="AJ265" s="3318"/>
      <c r="AK265" s="3318"/>
      <c r="AL265" s="3318"/>
      <c r="AM265" s="3318"/>
      <c r="AN265" s="3318"/>
      <c r="AO265" s="3318"/>
      <c r="AP265" s="3318"/>
      <c r="AQ265" s="3318"/>
      <c r="AR265" s="3318"/>
      <c r="AS265" s="3318"/>
      <c r="AT265" s="3328"/>
      <c r="AU265" s="3329"/>
      <c r="AV265" s="963">
        <f t="shared" si="127"/>
        <v>0</v>
      </c>
      <c r="AW265" s="963">
        <f t="shared" si="128"/>
        <v>0</v>
      </c>
      <c r="AX265" s="963">
        <f t="shared" si="129"/>
        <v>0</v>
      </c>
      <c r="AY265" s="3343">
        <f t="shared" si="130"/>
        <v>0</v>
      </c>
      <c r="AZ265" s="3298">
        <f t="shared" si="131"/>
        <v>0</v>
      </c>
      <c r="BA265" s="3298">
        <f t="shared" si="132"/>
        <v>0</v>
      </c>
      <c r="BB265" s="3298">
        <f t="shared" si="133"/>
        <v>0</v>
      </c>
      <c r="BC265" s="3298">
        <f t="shared" si="134"/>
        <v>0</v>
      </c>
      <c r="BD265" s="3298">
        <f t="shared" si="135"/>
        <v>0</v>
      </c>
      <c r="BE265" s="3298">
        <f t="shared" si="136"/>
        <v>0</v>
      </c>
      <c r="BF265" s="3298">
        <f t="shared" si="137"/>
        <v>0</v>
      </c>
      <c r="BG265" s="3298">
        <f t="shared" si="138"/>
        <v>0</v>
      </c>
      <c r="BH265" s="3298">
        <f t="shared" si="139"/>
        <v>0</v>
      </c>
      <c r="BI265" s="3298">
        <f t="shared" si="140"/>
        <v>0</v>
      </c>
      <c r="BJ265" s="3298">
        <f t="shared" si="141"/>
        <v>0</v>
      </c>
      <c r="BK265" s="3298">
        <f t="shared" si="142"/>
        <v>0</v>
      </c>
      <c r="BL265" s="3298">
        <f t="shared" si="143"/>
        <v>0</v>
      </c>
      <c r="BM265" s="3298">
        <f t="shared" si="144"/>
        <v>0</v>
      </c>
      <c r="BN265" s="3298">
        <f t="shared" si="145"/>
        <v>0</v>
      </c>
      <c r="BO265" s="3298">
        <f t="shared" si="146"/>
        <v>0</v>
      </c>
      <c r="BP265" s="3298">
        <f t="shared" si="147"/>
        <v>0</v>
      </c>
      <c r="BQ265" s="3298">
        <f t="shared" si="148"/>
        <v>0</v>
      </c>
      <c r="BR265" s="3298">
        <f t="shared" si="149"/>
        <v>0</v>
      </c>
      <c r="BS265" s="3298">
        <f t="shared" si="150"/>
        <v>0</v>
      </c>
      <c r="BT265" s="3350">
        <f t="shared" si="151"/>
        <v>0</v>
      </c>
    </row>
    <row r="266" spans="1:72">
      <c r="A266" s="1407"/>
      <c r="B266" s="3296"/>
      <c r="C266" s="3296"/>
      <c r="D266" s="3297"/>
      <c r="E266" s="3298">
        <f t="shared" si="123"/>
        <v>0</v>
      </c>
      <c r="F266" s="3299"/>
      <c r="G266" s="3300">
        <f t="shared" si="124"/>
        <v>0</v>
      </c>
      <c r="H266" s="3301">
        <f t="shared" si="125"/>
        <v>0</v>
      </c>
      <c r="I266" s="3308"/>
      <c r="J266" s="3308"/>
      <c r="K266" s="3308"/>
      <c r="L266" s="3308"/>
      <c r="M266" s="3308"/>
      <c r="N266" s="3308"/>
      <c r="O266" s="3308"/>
      <c r="P266" s="3308"/>
      <c r="Q266" s="3308"/>
      <c r="R266" s="3308"/>
      <c r="S266" s="3308"/>
      <c r="T266" s="3308"/>
      <c r="U266" s="3308"/>
      <c r="V266" s="3308"/>
      <c r="W266" s="3308"/>
      <c r="X266" s="3308"/>
      <c r="Y266" s="3308"/>
      <c r="Z266" s="3308"/>
      <c r="AA266" s="3308"/>
      <c r="AB266" s="3308"/>
      <c r="AC266" s="3298">
        <f t="shared" si="126"/>
        <v>0</v>
      </c>
      <c r="AD266" s="3318"/>
      <c r="AE266" s="3318"/>
      <c r="AF266" s="3318"/>
      <c r="AG266" s="3318"/>
      <c r="AH266" s="3318"/>
      <c r="AI266" s="3318"/>
      <c r="AJ266" s="3318"/>
      <c r="AK266" s="3318"/>
      <c r="AL266" s="3318"/>
      <c r="AM266" s="3318"/>
      <c r="AN266" s="3318"/>
      <c r="AO266" s="3318"/>
      <c r="AP266" s="3318"/>
      <c r="AQ266" s="3318"/>
      <c r="AR266" s="3318"/>
      <c r="AS266" s="3318"/>
      <c r="AT266" s="3328"/>
      <c r="AU266" s="3329"/>
      <c r="AV266" s="963">
        <f t="shared" si="127"/>
        <v>0</v>
      </c>
      <c r="AW266" s="963">
        <f t="shared" si="128"/>
        <v>0</v>
      </c>
      <c r="AX266" s="963">
        <f t="shared" si="129"/>
        <v>0</v>
      </c>
      <c r="AY266" s="3343">
        <f t="shared" si="130"/>
        <v>0</v>
      </c>
      <c r="AZ266" s="3298">
        <f t="shared" si="131"/>
        <v>0</v>
      </c>
      <c r="BA266" s="3298">
        <f t="shared" si="132"/>
        <v>0</v>
      </c>
      <c r="BB266" s="3298">
        <f t="shared" si="133"/>
        <v>0</v>
      </c>
      <c r="BC266" s="3298">
        <f t="shared" si="134"/>
        <v>0</v>
      </c>
      <c r="BD266" s="3298">
        <f t="shared" si="135"/>
        <v>0</v>
      </c>
      <c r="BE266" s="3298">
        <f t="shared" si="136"/>
        <v>0</v>
      </c>
      <c r="BF266" s="3298">
        <f t="shared" si="137"/>
        <v>0</v>
      </c>
      <c r="BG266" s="3298">
        <f t="shared" si="138"/>
        <v>0</v>
      </c>
      <c r="BH266" s="3298">
        <f t="shared" si="139"/>
        <v>0</v>
      </c>
      <c r="BI266" s="3298">
        <f t="shared" si="140"/>
        <v>0</v>
      </c>
      <c r="BJ266" s="3298">
        <f t="shared" si="141"/>
        <v>0</v>
      </c>
      <c r="BK266" s="3298">
        <f t="shared" si="142"/>
        <v>0</v>
      </c>
      <c r="BL266" s="3298">
        <f t="shared" si="143"/>
        <v>0</v>
      </c>
      <c r="BM266" s="3298">
        <f t="shared" si="144"/>
        <v>0</v>
      </c>
      <c r="BN266" s="3298">
        <f t="shared" si="145"/>
        <v>0</v>
      </c>
      <c r="BO266" s="3298">
        <f t="shared" si="146"/>
        <v>0</v>
      </c>
      <c r="BP266" s="3298">
        <f t="shared" si="147"/>
        <v>0</v>
      </c>
      <c r="BQ266" s="3298">
        <f t="shared" si="148"/>
        <v>0</v>
      </c>
      <c r="BR266" s="3298">
        <f t="shared" si="149"/>
        <v>0</v>
      </c>
      <c r="BS266" s="3298">
        <f t="shared" si="150"/>
        <v>0</v>
      </c>
      <c r="BT266" s="3350">
        <f t="shared" si="151"/>
        <v>0</v>
      </c>
    </row>
    <row r="267" spans="1:72">
      <c r="A267" s="1407"/>
      <c r="B267" s="3296"/>
      <c r="C267" s="3296"/>
      <c r="D267" s="3297"/>
      <c r="E267" s="3298">
        <f t="shared" si="123"/>
        <v>0</v>
      </c>
      <c r="F267" s="3299"/>
      <c r="G267" s="3300">
        <f t="shared" si="124"/>
        <v>0</v>
      </c>
      <c r="H267" s="3301">
        <f t="shared" si="125"/>
        <v>0</v>
      </c>
      <c r="I267" s="3308"/>
      <c r="J267" s="3308"/>
      <c r="K267" s="3308"/>
      <c r="L267" s="3308"/>
      <c r="M267" s="3308"/>
      <c r="N267" s="3308"/>
      <c r="O267" s="3308"/>
      <c r="P267" s="3308"/>
      <c r="Q267" s="3308"/>
      <c r="R267" s="3308"/>
      <c r="S267" s="3308"/>
      <c r="T267" s="3308"/>
      <c r="U267" s="3308"/>
      <c r="V267" s="3308"/>
      <c r="W267" s="3308"/>
      <c r="X267" s="3308"/>
      <c r="Y267" s="3308"/>
      <c r="Z267" s="3308"/>
      <c r="AA267" s="3308"/>
      <c r="AB267" s="3308"/>
      <c r="AC267" s="3298">
        <f t="shared" si="126"/>
        <v>0</v>
      </c>
      <c r="AD267" s="3318"/>
      <c r="AE267" s="3318"/>
      <c r="AF267" s="3318"/>
      <c r="AG267" s="3318"/>
      <c r="AH267" s="3318"/>
      <c r="AI267" s="3318"/>
      <c r="AJ267" s="3318"/>
      <c r="AK267" s="3318"/>
      <c r="AL267" s="3318"/>
      <c r="AM267" s="3318"/>
      <c r="AN267" s="3318"/>
      <c r="AO267" s="3318"/>
      <c r="AP267" s="3318"/>
      <c r="AQ267" s="3318"/>
      <c r="AR267" s="3318"/>
      <c r="AS267" s="3318"/>
      <c r="AT267" s="3328"/>
      <c r="AU267" s="3329"/>
      <c r="AV267" s="963">
        <f t="shared" si="127"/>
        <v>0</v>
      </c>
      <c r="AW267" s="963">
        <f t="shared" si="128"/>
        <v>0</v>
      </c>
      <c r="AX267" s="963">
        <f t="shared" si="129"/>
        <v>0</v>
      </c>
      <c r="AY267" s="3343">
        <f t="shared" si="130"/>
        <v>0</v>
      </c>
      <c r="AZ267" s="3298">
        <f t="shared" si="131"/>
        <v>0</v>
      </c>
      <c r="BA267" s="3298">
        <f t="shared" si="132"/>
        <v>0</v>
      </c>
      <c r="BB267" s="3298">
        <f t="shared" si="133"/>
        <v>0</v>
      </c>
      <c r="BC267" s="3298">
        <f t="shared" si="134"/>
        <v>0</v>
      </c>
      <c r="BD267" s="3298">
        <f t="shared" si="135"/>
        <v>0</v>
      </c>
      <c r="BE267" s="3298">
        <f t="shared" si="136"/>
        <v>0</v>
      </c>
      <c r="BF267" s="3298">
        <f t="shared" si="137"/>
        <v>0</v>
      </c>
      <c r="BG267" s="3298">
        <f t="shared" si="138"/>
        <v>0</v>
      </c>
      <c r="BH267" s="3298">
        <f t="shared" si="139"/>
        <v>0</v>
      </c>
      <c r="BI267" s="3298">
        <f t="shared" si="140"/>
        <v>0</v>
      </c>
      <c r="BJ267" s="3298">
        <f t="shared" si="141"/>
        <v>0</v>
      </c>
      <c r="BK267" s="3298">
        <f t="shared" si="142"/>
        <v>0</v>
      </c>
      <c r="BL267" s="3298">
        <f t="shared" si="143"/>
        <v>0</v>
      </c>
      <c r="BM267" s="3298">
        <f t="shared" si="144"/>
        <v>0</v>
      </c>
      <c r="BN267" s="3298">
        <f t="shared" si="145"/>
        <v>0</v>
      </c>
      <c r="BO267" s="3298">
        <f t="shared" si="146"/>
        <v>0</v>
      </c>
      <c r="BP267" s="3298">
        <f t="shared" si="147"/>
        <v>0</v>
      </c>
      <c r="BQ267" s="3298">
        <f t="shared" si="148"/>
        <v>0</v>
      </c>
      <c r="BR267" s="3298">
        <f t="shared" si="149"/>
        <v>0</v>
      </c>
      <c r="BS267" s="3298">
        <f t="shared" si="150"/>
        <v>0</v>
      </c>
      <c r="BT267" s="3350">
        <f t="shared" si="151"/>
        <v>0</v>
      </c>
    </row>
    <row r="268" spans="1:72">
      <c r="A268" s="1407"/>
      <c r="B268" s="3296"/>
      <c r="C268" s="3296"/>
      <c r="D268" s="3297"/>
      <c r="E268" s="3298">
        <f t="shared" si="123"/>
        <v>0</v>
      </c>
      <c r="F268" s="3299"/>
      <c r="G268" s="3300">
        <f t="shared" si="124"/>
        <v>0</v>
      </c>
      <c r="H268" s="3301">
        <f t="shared" si="125"/>
        <v>0</v>
      </c>
      <c r="I268" s="3308"/>
      <c r="J268" s="3308"/>
      <c r="K268" s="3308"/>
      <c r="L268" s="3308"/>
      <c r="M268" s="3308"/>
      <c r="N268" s="3308"/>
      <c r="O268" s="3308"/>
      <c r="P268" s="3308"/>
      <c r="Q268" s="3308"/>
      <c r="R268" s="3308"/>
      <c r="S268" s="3308"/>
      <c r="T268" s="3308"/>
      <c r="U268" s="3308"/>
      <c r="V268" s="3308"/>
      <c r="W268" s="3308"/>
      <c r="X268" s="3308"/>
      <c r="Y268" s="3308"/>
      <c r="Z268" s="3308"/>
      <c r="AA268" s="3308"/>
      <c r="AB268" s="3308"/>
      <c r="AC268" s="3298">
        <f t="shared" si="126"/>
        <v>0</v>
      </c>
      <c r="AD268" s="3318"/>
      <c r="AE268" s="3318"/>
      <c r="AF268" s="3318"/>
      <c r="AG268" s="3318"/>
      <c r="AH268" s="3318"/>
      <c r="AI268" s="3318"/>
      <c r="AJ268" s="3318"/>
      <c r="AK268" s="3318"/>
      <c r="AL268" s="3318"/>
      <c r="AM268" s="3318"/>
      <c r="AN268" s="3318"/>
      <c r="AO268" s="3318"/>
      <c r="AP268" s="3318"/>
      <c r="AQ268" s="3318"/>
      <c r="AR268" s="3318"/>
      <c r="AS268" s="3318"/>
      <c r="AT268" s="3328"/>
      <c r="AU268" s="3329"/>
      <c r="AV268" s="963">
        <f t="shared" si="127"/>
        <v>0</v>
      </c>
      <c r="AW268" s="963">
        <f t="shared" si="128"/>
        <v>0</v>
      </c>
      <c r="AX268" s="963">
        <f t="shared" si="129"/>
        <v>0</v>
      </c>
      <c r="AY268" s="3343">
        <f t="shared" si="130"/>
        <v>0</v>
      </c>
      <c r="AZ268" s="3298">
        <f t="shared" si="131"/>
        <v>0</v>
      </c>
      <c r="BA268" s="3298">
        <f t="shared" si="132"/>
        <v>0</v>
      </c>
      <c r="BB268" s="3298">
        <f t="shared" si="133"/>
        <v>0</v>
      </c>
      <c r="BC268" s="3298">
        <f t="shared" si="134"/>
        <v>0</v>
      </c>
      <c r="BD268" s="3298">
        <f t="shared" si="135"/>
        <v>0</v>
      </c>
      <c r="BE268" s="3298">
        <f t="shared" si="136"/>
        <v>0</v>
      </c>
      <c r="BF268" s="3298">
        <f t="shared" si="137"/>
        <v>0</v>
      </c>
      <c r="BG268" s="3298">
        <f t="shared" si="138"/>
        <v>0</v>
      </c>
      <c r="BH268" s="3298">
        <f t="shared" si="139"/>
        <v>0</v>
      </c>
      <c r="BI268" s="3298">
        <f t="shared" si="140"/>
        <v>0</v>
      </c>
      <c r="BJ268" s="3298">
        <f t="shared" si="141"/>
        <v>0</v>
      </c>
      <c r="BK268" s="3298">
        <f t="shared" si="142"/>
        <v>0</v>
      </c>
      <c r="BL268" s="3298">
        <f t="shared" si="143"/>
        <v>0</v>
      </c>
      <c r="BM268" s="3298">
        <f t="shared" si="144"/>
        <v>0</v>
      </c>
      <c r="BN268" s="3298">
        <f t="shared" si="145"/>
        <v>0</v>
      </c>
      <c r="BO268" s="3298">
        <f t="shared" si="146"/>
        <v>0</v>
      </c>
      <c r="BP268" s="3298">
        <f t="shared" si="147"/>
        <v>0</v>
      </c>
      <c r="BQ268" s="3298">
        <f t="shared" si="148"/>
        <v>0</v>
      </c>
      <c r="BR268" s="3298">
        <f t="shared" si="149"/>
        <v>0</v>
      </c>
      <c r="BS268" s="3298">
        <f t="shared" si="150"/>
        <v>0</v>
      </c>
      <c r="BT268" s="3350">
        <f t="shared" si="151"/>
        <v>0</v>
      </c>
    </row>
    <row r="269" spans="1:72">
      <c r="A269" s="1407"/>
      <c r="B269" s="3296"/>
      <c r="C269" s="3296"/>
      <c r="D269" s="3297"/>
      <c r="E269" s="3298">
        <f t="shared" si="123"/>
        <v>0</v>
      </c>
      <c r="F269" s="3299"/>
      <c r="G269" s="3300">
        <f t="shared" si="124"/>
        <v>0</v>
      </c>
      <c r="H269" s="3301">
        <f t="shared" si="125"/>
        <v>0</v>
      </c>
      <c r="I269" s="3308"/>
      <c r="J269" s="3308"/>
      <c r="K269" s="3308"/>
      <c r="L269" s="3308"/>
      <c r="M269" s="3308"/>
      <c r="N269" s="3308"/>
      <c r="O269" s="3308"/>
      <c r="P269" s="3308"/>
      <c r="Q269" s="3308"/>
      <c r="R269" s="3308"/>
      <c r="S269" s="3308"/>
      <c r="T269" s="3308"/>
      <c r="U269" s="3308"/>
      <c r="V269" s="3308"/>
      <c r="W269" s="3308"/>
      <c r="X269" s="3308"/>
      <c r="Y269" s="3308"/>
      <c r="Z269" s="3308"/>
      <c r="AA269" s="3308"/>
      <c r="AB269" s="3308"/>
      <c r="AC269" s="3298">
        <f t="shared" si="126"/>
        <v>0</v>
      </c>
      <c r="AD269" s="3318"/>
      <c r="AE269" s="3318"/>
      <c r="AF269" s="3318"/>
      <c r="AG269" s="3318"/>
      <c r="AH269" s="3318"/>
      <c r="AI269" s="3318"/>
      <c r="AJ269" s="3318"/>
      <c r="AK269" s="3318"/>
      <c r="AL269" s="3318"/>
      <c r="AM269" s="3318"/>
      <c r="AN269" s="3318"/>
      <c r="AO269" s="3318"/>
      <c r="AP269" s="3318"/>
      <c r="AQ269" s="3318"/>
      <c r="AR269" s="3318"/>
      <c r="AS269" s="3318"/>
      <c r="AT269" s="3328"/>
      <c r="AU269" s="3329"/>
      <c r="AV269" s="963">
        <f t="shared" si="127"/>
        <v>0</v>
      </c>
      <c r="AW269" s="963">
        <f t="shared" si="128"/>
        <v>0</v>
      </c>
      <c r="AX269" s="963">
        <f t="shared" si="129"/>
        <v>0</v>
      </c>
      <c r="AY269" s="3343">
        <f t="shared" si="130"/>
        <v>0</v>
      </c>
      <c r="AZ269" s="3298">
        <f t="shared" si="131"/>
        <v>0</v>
      </c>
      <c r="BA269" s="3298">
        <f t="shared" si="132"/>
        <v>0</v>
      </c>
      <c r="BB269" s="3298">
        <f t="shared" si="133"/>
        <v>0</v>
      </c>
      <c r="BC269" s="3298">
        <f t="shared" si="134"/>
        <v>0</v>
      </c>
      <c r="BD269" s="3298">
        <f t="shared" si="135"/>
        <v>0</v>
      </c>
      <c r="BE269" s="3298">
        <f t="shared" si="136"/>
        <v>0</v>
      </c>
      <c r="BF269" s="3298">
        <f t="shared" si="137"/>
        <v>0</v>
      </c>
      <c r="BG269" s="3298">
        <f t="shared" si="138"/>
        <v>0</v>
      </c>
      <c r="BH269" s="3298">
        <f t="shared" si="139"/>
        <v>0</v>
      </c>
      <c r="BI269" s="3298">
        <f t="shared" si="140"/>
        <v>0</v>
      </c>
      <c r="BJ269" s="3298">
        <f t="shared" si="141"/>
        <v>0</v>
      </c>
      <c r="BK269" s="3298">
        <f t="shared" si="142"/>
        <v>0</v>
      </c>
      <c r="BL269" s="3298">
        <f t="shared" si="143"/>
        <v>0</v>
      </c>
      <c r="BM269" s="3298">
        <f t="shared" si="144"/>
        <v>0</v>
      </c>
      <c r="BN269" s="3298">
        <f t="shared" si="145"/>
        <v>0</v>
      </c>
      <c r="BO269" s="3298">
        <f t="shared" si="146"/>
        <v>0</v>
      </c>
      <c r="BP269" s="3298">
        <f t="shared" si="147"/>
        <v>0</v>
      </c>
      <c r="BQ269" s="3298">
        <f t="shared" si="148"/>
        <v>0</v>
      </c>
      <c r="BR269" s="3298">
        <f t="shared" si="149"/>
        <v>0</v>
      </c>
      <c r="BS269" s="3298">
        <f t="shared" si="150"/>
        <v>0</v>
      </c>
      <c r="BT269" s="3350">
        <f t="shared" si="151"/>
        <v>0</v>
      </c>
    </row>
    <row r="270" spans="1:72">
      <c r="A270" s="1407"/>
      <c r="B270" s="3296"/>
      <c r="C270" s="3296"/>
      <c r="D270" s="3297"/>
      <c r="E270" s="3298">
        <f t="shared" si="123"/>
        <v>0</v>
      </c>
      <c r="F270" s="3299"/>
      <c r="G270" s="3300">
        <f t="shared" si="124"/>
        <v>0</v>
      </c>
      <c r="H270" s="3301">
        <f t="shared" si="125"/>
        <v>0</v>
      </c>
      <c r="I270" s="3308"/>
      <c r="J270" s="3308"/>
      <c r="K270" s="3308"/>
      <c r="L270" s="3308"/>
      <c r="M270" s="3308"/>
      <c r="N270" s="3308"/>
      <c r="O270" s="3308"/>
      <c r="P270" s="3308"/>
      <c r="Q270" s="3308"/>
      <c r="R270" s="3308"/>
      <c r="S270" s="3308"/>
      <c r="T270" s="3308"/>
      <c r="U270" s="3308"/>
      <c r="V270" s="3308"/>
      <c r="W270" s="3308"/>
      <c r="X270" s="3308"/>
      <c r="Y270" s="3308"/>
      <c r="Z270" s="3308"/>
      <c r="AA270" s="3308"/>
      <c r="AB270" s="3308"/>
      <c r="AC270" s="3298">
        <f t="shared" si="126"/>
        <v>0</v>
      </c>
      <c r="AD270" s="3318"/>
      <c r="AE270" s="3318"/>
      <c r="AF270" s="3318"/>
      <c r="AG270" s="3318"/>
      <c r="AH270" s="3318"/>
      <c r="AI270" s="3318"/>
      <c r="AJ270" s="3318"/>
      <c r="AK270" s="3318"/>
      <c r="AL270" s="3318"/>
      <c r="AM270" s="3318"/>
      <c r="AN270" s="3318"/>
      <c r="AO270" s="3318"/>
      <c r="AP270" s="3318"/>
      <c r="AQ270" s="3318"/>
      <c r="AR270" s="3318"/>
      <c r="AS270" s="3318"/>
      <c r="AT270" s="3328"/>
      <c r="AU270" s="3329"/>
      <c r="AV270" s="963">
        <f t="shared" si="127"/>
        <v>0</v>
      </c>
      <c r="AW270" s="963">
        <f t="shared" si="128"/>
        <v>0</v>
      </c>
      <c r="AX270" s="963">
        <f t="shared" si="129"/>
        <v>0</v>
      </c>
      <c r="AY270" s="3343">
        <f t="shared" si="130"/>
        <v>0</v>
      </c>
      <c r="AZ270" s="3298">
        <f t="shared" si="131"/>
        <v>0</v>
      </c>
      <c r="BA270" s="3298">
        <f t="shared" si="132"/>
        <v>0</v>
      </c>
      <c r="BB270" s="3298">
        <f t="shared" si="133"/>
        <v>0</v>
      </c>
      <c r="BC270" s="3298">
        <f t="shared" si="134"/>
        <v>0</v>
      </c>
      <c r="BD270" s="3298">
        <f t="shared" si="135"/>
        <v>0</v>
      </c>
      <c r="BE270" s="3298">
        <f t="shared" si="136"/>
        <v>0</v>
      </c>
      <c r="BF270" s="3298">
        <f t="shared" si="137"/>
        <v>0</v>
      </c>
      <c r="BG270" s="3298">
        <f t="shared" si="138"/>
        <v>0</v>
      </c>
      <c r="BH270" s="3298">
        <f t="shared" si="139"/>
        <v>0</v>
      </c>
      <c r="BI270" s="3298">
        <f t="shared" si="140"/>
        <v>0</v>
      </c>
      <c r="BJ270" s="3298">
        <f t="shared" si="141"/>
        <v>0</v>
      </c>
      <c r="BK270" s="3298">
        <f t="shared" si="142"/>
        <v>0</v>
      </c>
      <c r="BL270" s="3298">
        <f t="shared" si="143"/>
        <v>0</v>
      </c>
      <c r="BM270" s="3298">
        <f t="shared" si="144"/>
        <v>0</v>
      </c>
      <c r="BN270" s="3298">
        <f t="shared" si="145"/>
        <v>0</v>
      </c>
      <c r="BO270" s="3298">
        <f t="shared" si="146"/>
        <v>0</v>
      </c>
      <c r="BP270" s="3298">
        <f t="shared" si="147"/>
        <v>0</v>
      </c>
      <c r="BQ270" s="3298">
        <f t="shared" si="148"/>
        <v>0</v>
      </c>
      <c r="BR270" s="3298">
        <f t="shared" si="149"/>
        <v>0</v>
      </c>
      <c r="BS270" s="3298">
        <f t="shared" si="150"/>
        <v>0</v>
      </c>
      <c r="BT270" s="3350">
        <f t="shared" si="151"/>
        <v>0</v>
      </c>
    </row>
    <row r="271" spans="1:72">
      <c r="A271" s="1407"/>
      <c r="B271" s="3296"/>
      <c r="C271" s="3296"/>
      <c r="D271" s="3297"/>
      <c r="E271" s="3298">
        <f t="shared" si="123"/>
        <v>0</v>
      </c>
      <c r="F271" s="3299"/>
      <c r="G271" s="3300">
        <f t="shared" si="124"/>
        <v>0</v>
      </c>
      <c r="H271" s="3301">
        <f t="shared" si="125"/>
        <v>0</v>
      </c>
      <c r="I271" s="3308"/>
      <c r="J271" s="3308"/>
      <c r="K271" s="3308"/>
      <c r="L271" s="3308"/>
      <c r="M271" s="3308"/>
      <c r="N271" s="3308"/>
      <c r="O271" s="3308"/>
      <c r="P271" s="3308"/>
      <c r="Q271" s="3308"/>
      <c r="R271" s="3308"/>
      <c r="S271" s="3308"/>
      <c r="T271" s="3308"/>
      <c r="U271" s="3308"/>
      <c r="V271" s="3308"/>
      <c r="W271" s="3308"/>
      <c r="X271" s="3308"/>
      <c r="Y271" s="3308"/>
      <c r="Z271" s="3308"/>
      <c r="AA271" s="3308"/>
      <c r="AB271" s="3308"/>
      <c r="AC271" s="3298">
        <f t="shared" si="126"/>
        <v>0</v>
      </c>
      <c r="AD271" s="3318"/>
      <c r="AE271" s="3318"/>
      <c r="AF271" s="3318"/>
      <c r="AG271" s="3318"/>
      <c r="AH271" s="3318"/>
      <c r="AI271" s="3318"/>
      <c r="AJ271" s="3318"/>
      <c r="AK271" s="3318"/>
      <c r="AL271" s="3318"/>
      <c r="AM271" s="3318"/>
      <c r="AN271" s="3318"/>
      <c r="AO271" s="3318"/>
      <c r="AP271" s="3318"/>
      <c r="AQ271" s="3318"/>
      <c r="AR271" s="3318"/>
      <c r="AS271" s="3318"/>
      <c r="AT271" s="3328"/>
      <c r="AU271" s="3329"/>
      <c r="AV271" s="963">
        <f t="shared" si="127"/>
        <v>0</v>
      </c>
      <c r="AW271" s="963">
        <f t="shared" si="128"/>
        <v>0</v>
      </c>
      <c r="AX271" s="963">
        <f t="shared" si="129"/>
        <v>0</v>
      </c>
      <c r="AY271" s="3343">
        <f t="shared" si="130"/>
        <v>0</v>
      </c>
      <c r="AZ271" s="3298">
        <f t="shared" si="131"/>
        <v>0</v>
      </c>
      <c r="BA271" s="3298">
        <f t="shared" si="132"/>
        <v>0</v>
      </c>
      <c r="BB271" s="3298">
        <f t="shared" si="133"/>
        <v>0</v>
      </c>
      <c r="BC271" s="3298">
        <f t="shared" si="134"/>
        <v>0</v>
      </c>
      <c r="BD271" s="3298">
        <f t="shared" si="135"/>
        <v>0</v>
      </c>
      <c r="BE271" s="3298">
        <f t="shared" si="136"/>
        <v>0</v>
      </c>
      <c r="BF271" s="3298">
        <f t="shared" si="137"/>
        <v>0</v>
      </c>
      <c r="BG271" s="3298">
        <f t="shared" si="138"/>
        <v>0</v>
      </c>
      <c r="BH271" s="3298">
        <f t="shared" si="139"/>
        <v>0</v>
      </c>
      <c r="BI271" s="3298">
        <f t="shared" si="140"/>
        <v>0</v>
      </c>
      <c r="BJ271" s="3298">
        <f t="shared" si="141"/>
        <v>0</v>
      </c>
      <c r="BK271" s="3298">
        <f t="shared" si="142"/>
        <v>0</v>
      </c>
      <c r="BL271" s="3298">
        <f t="shared" si="143"/>
        <v>0</v>
      </c>
      <c r="BM271" s="3298">
        <f t="shared" si="144"/>
        <v>0</v>
      </c>
      <c r="BN271" s="3298">
        <f t="shared" si="145"/>
        <v>0</v>
      </c>
      <c r="BO271" s="3298">
        <f t="shared" si="146"/>
        <v>0</v>
      </c>
      <c r="BP271" s="3298">
        <f t="shared" si="147"/>
        <v>0</v>
      </c>
      <c r="BQ271" s="3298">
        <f t="shared" si="148"/>
        <v>0</v>
      </c>
      <c r="BR271" s="3298">
        <f t="shared" si="149"/>
        <v>0</v>
      </c>
      <c r="BS271" s="3298">
        <f t="shared" si="150"/>
        <v>0</v>
      </c>
      <c r="BT271" s="3350">
        <f t="shared" si="151"/>
        <v>0</v>
      </c>
    </row>
    <row r="272" spans="1:72">
      <c r="A272" s="1407"/>
      <c r="B272" s="3296"/>
      <c r="C272" s="3296"/>
      <c r="D272" s="3297"/>
      <c r="E272" s="3298">
        <f t="shared" si="123"/>
        <v>0</v>
      </c>
      <c r="F272" s="3299"/>
      <c r="G272" s="3300">
        <f t="shared" si="124"/>
        <v>0</v>
      </c>
      <c r="H272" s="3301">
        <f t="shared" si="125"/>
        <v>0</v>
      </c>
      <c r="I272" s="3308"/>
      <c r="J272" s="3308"/>
      <c r="K272" s="3308"/>
      <c r="L272" s="3308"/>
      <c r="M272" s="3308"/>
      <c r="N272" s="3308"/>
      <c r="O272" s="3308"/>
      <c r="P272" s="3308"/>
      <c r="Q272" s="3308"/>
      <c r="R272" s="3308"/>
      <c r="S272" s="3308"/>
      <c r="T272" s="3308"/>
      <c r="U272" s="3308"/>
      <c r="V272" s="3308"/>
      <c r="W272" s="3308"/>
      <c r="X272" s="3308"/>
      <c r="Y272" s="3308"/>
      <c r="Z272" s="3308"/>
      <c r="AA272" s="3308"/>
      <c r="AB272" s="3308"/>
      <c r="AC272" s="3298">
        <f t="shared" si="126"/>
        <v>0</v>
      </c>
      <c r="AD272" s="3318"/>
      <c r="AE272" s="3318"/>
      <c r="AF272" s="3318"/>
      <c r="AG272" s="3318"/>
      <c r="AH272" s="3318"/>
      <c r="AI272" s="3318"/>
      <c r="AJ272" s="3318"/>
      <c r="AK272" s="3318"/>
      <c r="AL272" s="3318"/>
      <c r="AM272" s="3318"/>
      <c r="AN272" s="3318"/>
      <c r="AO272" s="3318"/>
      <c r="AP272" s="3318"/>
      <c r="AQ272" s="3318"/>
      <c r="AR272" s="3318"/>
      <c r="AS272" s="3318"/>
      <c r="AT272" s="3328"/>
      <c r="AU272" s="3329"/>
      <c r="AV272" s="963">
        <f t="shared" si="127"/>
        <v>0</v>
      </c>
      <c r="AW272" s="963">
        <f t="shared" si="128"/>
        <v>0</v>
      </c>
      <c r="AX272" s="963">
        <f t="shared" si="129"/>
        <v>0</v>
      </c>
      <c r="AY272" s="3343">
        <f t="shared" si="130"/>
        <v>0</v>
      </c>
      <c r="AZ272" s="3298">
        <f t="shared" si="131"/>
        <v>0</v>
      </c>
      <c r="BA272" s="3298">
        <f t="shared" si="132"/>
        <v>0</v>
      </c>
      <c r="BB272" s="3298">
        <f t="shared" si="133"/>
        <v>0</v>
      </c>
      <c r="BC272" s="3298">
        <f t="shared" si="134"/>
        <v>0</v>
      </c>
      <c r="BD272" s="3298">
        <f t="shared" si="135"/>
        <v>0</v>
      </c>
      <c r="BE272" s="3298">
        <f t="shared" si="136"/>
        <v>0</v>
      </c>
      <c r="BF272" s="3298">
        <f t="shared" si="137"/>
        <v>0</v>
      </c>
      <c r="BG272" s="3298">
        <f t="shared" si="138"/>
        <v>0</v>
      </c>
      <c r="BH272" s="3298">
        <f t="shared" si="139"/>
        <v>0</v>
      </c>
      <c r="BI272" s="3298">
        <f t="shared" si="140"/>
        <v>0</v>
      </c>
      <c r="BJ272" s="3298">
        <f t="shared" si="141"/>
        <v>0</v>
      </c>
      <c r="BK272" s="3298">
        <f t="shared" si="142"/>
        <v>0</v>
      </c>
      <c r="BL272" s="3298">
        <f t="shared" si="143"/>
        <v>0</v>
      </c>
      <c r="BM272" s="3298">
        <f t="shared" si="144"/>
        <v>0</v>
      </c>
      <c r="BN272" s="3298">
        <f t="shared" si="145"/>
        <v>0</v>
      </c>
      <c r="BO272" s="3298">
        <f t="shared" si="146"/>
        <v>0</v>
      </c>
      <c r="BP272" s="3298">
        <f t="shared" si="147"/>
        <v>0</v>
      </c>
      <c r="BQ272" s="3298">
        <f t="shared" si="148"/>
        <v>0</v>
      </c>
      <c r="BR272" s="3298">
        <f t="shared" si="149"/>
        <v>0</v>
      </c>
      <c r="BS272" s="3298">
        <f t="shared" si="150"/>
        <v>0</v>
      </c>
      <c r="BT272" s="3350">
        <f t="shared" si="151"/>
        <v>0</v>
      </c>
    </row>
    <row r="273" spans="1:72">
      <c r="A273" s="1407"/>
      <c r="B273" s="3296"/>
      <c r="C273" s="3296"/>
      <c r="D273" s="3297"/>
      <c r="E273" s="3298">
        <f t="shared" si="123"/>
        <v>0</v>
      </c>
      <c r="F273" s="3299"/>
      <c r="G273" s="3300">
        <f t="shared" si="124"/>
        <v>0</v>
      </c>
      <c r="H273" s="3301">
        <f t="shared" si="125"/>
        <v>0</v>
      </c>
      <c r="I273" s="3308"/>
      <c r="J273" s="3308"/>
      <c r="K273" s="3308"/>
      <c r="L273" s="3308"/>
      <c r="M273" s="3308"/>
      <c r="N273" s="3308"/>
      <c r="O273" s="3308"/>
      <c r="P273" s="3308"/>
      <c r="Q273" s="3308"/>
      <c r="R273" s="3308"/>
      <c r="S273" s="3308"/>
      <c r="T273" s="3308"/>
      <c r="U273" s="3308"/>
      <c r="V273" s="3308"/>
      <c r="W273" s="3308"/>
      <c r="X273" s="3308"/>
      <c r="Y273" s="3308"/>
      <c r="Z273" s="3308"/>
      <c r="AA273" s="3308"/>
      <c r="AB273" s="3308"/>
      <c r="AC273" s="3298">
        <f t="shared" si="126"/>
        <v>0</v>
      </c>
      <c r="AD273" s="3318"/>
      <c r="AE273" s="3318"/>
      <c r="AF273" s="3318"/>
      <c r="AG273" s="3318"/>
      <c r="AH273" s="3318"/>
      <c r="AI273" s="3318"/>
      <c r="AJ273" s="3318"/>
      <c r="AK273" s="3318"/>
      <c r="AL273" s="3318"/>
      <c r="AM273" s="3318"/>
      <c r="AN273" s="3318"/>
      <c r="AO273" s="3318"/>
      <c r="AP273" s="3318"/>
      <c r="AQ273" s="3318"/>
      <c r="AR273" s="3318"/>
      <c r="AS273" s="3318"/>
      <c r="AT273" s="3328"/>
      <c r="AU273" s="3329"/>
      <c r="AV273" s="963">
        <f t="shared" si="127"/>
        <v>0</v>
      </c>
      <c r="AW273" s="963">
        <f t="shared" si="128"/>
        <v>0</v>
      </c>
      <c r="AX273" s="963">
        <f t="shared" si="129"/>
        <v>0</v>
      </c>
      <c r="AY273" s="3343">
        <f t="shared" si="130"/>
        <v>0</v>
      </c>
      <c r="AZ273" s="3298">
        <f t="shared" si="131"/>
        <v>0</v>
      </c>
      <c r="BA273" s="3298">
        <f t="shared" si="132"/>
        <v>0</v>
      </c>
      <c r="BB273" s="3298">
        <f t="shared" si="133"/>
        <v>0</v>
      </c>
      <c r="BC273" s="3298">
        <f t="shared" si="134"/>
        <v>0</v>
      </c>
      <c r="BD273" s="3298">
        <f t="shared" si="135"/>
        <v>0</v>
      </c>
      <c r="BE273" s="3298">
        <f t="shared" si="136"/>
        <v>0</v>
      </c>
      <c r="BF273" s="3298">
        <f t="shared" si="137"/>
        <v>0</v>
      </c>
      <c r="BG273" s="3298">
        <f t="shared" si="138"/>
        <v>0</v>
      </c>
      <c r="BH273" s="3298">
        <f t="shared" si="139"/>
        <v>0</v>
      </c>
      <c r="BI273" s="3298">
        <f t="shared" si="140"/>
        <v>0</v>
      </c>
      <c r="BJ273" s="3298">
        <f t="shared" si="141"/>
        <v>0</v>
      </c>
      <c r="BK273" s="3298">
        <f t="shared" si="142"/>
        <v>0</v>
      </c>
      <c r="BL273" s="3298">
        <f t="shared" si="143"/>
        <v>0</v>
      </c>
      <c r="BM273" s="3298">
        <f t="shared" si="144"/>
        <v>0</v>
      </c>
      <c r="BN273" s="3298">
        <f t="shared" si="145"/>
        <v>0</v>
      </c>
      <c r="BO273" s="3298">
        <f t="shared" si="146"/>
        <v>0</v>
      </c>
      <c r="BP273" s="3298">
        <f t="shared" si="147"/>
        <v>0</v>
      </c>
      <c r="BQ273" s="3298">
        <f t="shared" si="148"/>
        <v>0</v>
      </c>
      <c r="BR273" s="3298">
        <f t="shared" si="149"/>
        <v>0</v>
      </c>
      <c r="BS273" s="3298">
        <f t="shared" si="150"/>
        <v>0</v>
      </c>
      <c r="BT273" s="3350">
        <f t="shared" si="151"/>
        <v>0</v>
      </c>
    </row>
    <row r="274" spans="1:72">
      <c r="A274" s="1407"/>
      <c r="B274" s="3296"/>
      <c r="C274" s="3296"/>
      <c r="D274" s="3297"/>
      <c r="E274" s="3298">
        <f t="shared" si="123"/>
        <v>0</v>
      </c>
      <c r="F274" s="3299"/>
      <c r="G274" s="3300">
        <f t="shared" si="124"/>
        <v>0</v>
      </c>
      <c r="H274" s="3301">
        <f t="shared" si="125"/>
        <v>0</v>
      </c>
      <c r="I274" s="3308"/>
      <c r="J274" s="3308"/>
      <c r="K274" s="3308"/>
      <c r="L274" s="3308"/>
      <c r="M274" s="3308"/>
      <c r="N274" s="3308"/>
      <c r="O274" s="3308"/>
      <c r="P274" s="3308"/>
      <c r="Q274" s="3308"/>
      <c r="R274" s="3308"/>
      <c r="S274" s="3308"/>
      <c r="T274" s="3308"/>
      <c r="U274" s="3308"/>
      <c r="V274" s="3308"/>
      <c r="W274" s="3308"/>
      <c r="X274" s="3308"/>
      <c r="Y274" s="3308"/>
      <c r="Z274" s="3308"/>
      <c r="AA274" s="3308"/>
      <c r="AB274" s="3308"/>
      <c r="AC274" s="3298">
        <f t="shared" si="126"/>
        <v>0</v>
      </c>
      <c r="AD274" s="3318"/>
      <c r="AE274" s="3318"/>
      <c r="AF274" s="3318"/>
      <c r="AG274" s="3318"/>
      <c r="AH274" s="3318"/>
      <c r="AI274" s="3318"/>
      <c r="AJ274" s="3318"/>
      <c r="AK274" s="3318"/>
      <c r="AL274" s="3318"/>
      <c r="AM274" s="3318"/>
      <c r="AN274" s="3318"/>
      <c r="AO274" s="3318"/>
      <c r="AP274" s="3318"/>
      <c r="AQ274" s="3318"/>
      <c r="AR274" s="3318"/>
      <c r="AS274" s="3318"/>
      <c r="AT274" s="3328"/>
      <c r="AU274" s="3329"/>
      <c r="AV274" s="963">
        <f t="shared" si="127"/>
        <v>0</v>
      </c>
      <c r="AW274" s="963">
        <f t="shared" si="128"/>
        <v>0</v>
      </c>
      <c r="AX274" s="963">
        <f t="shared" si="129"/>
        <v>0</v>
      </c>
      <c r="AY274" s="3343">
        <f t="shared" si="130"/>
        <v>0</v>
      </c>
      <c r="AZ274" s="3298">
        <f t="shared" si="131"/>
        <v>0</v>
      </c>
      <c r="BA274" s="3298">
        <f t="shared" si="132"/>
        <v>0</v>
      </c>
      <c r="BB274" s="3298">
        <f t="shared" si="133"/>
        <v>0</v>
      </c>
      <c r="BC274" s="3298">
        <f t="shared" si="134"/>
        <v>0</v>
      </c>
      <c r="BD274" s="3298">
        <f t="shared" si="135"/>
        <v>0</v>
      </c>
      <c r="BE274" s="3298">
        <f t="shared" si="136"/>
        <v>0</v>
      </c>
      <c r="BF274" s="3298">
        <f t="shared" si="137"/>
        <v>0</v>
      </c>
      <c r="BG274" s="3298">
        <f t="shared" si="138"/>
        <v>0</v>
      </c>
      <c r="BH274" s="3298">
        <f t="shared" si="139"/>
        <v>0</v>
      </c>
      <c r="BI274" s="3298">
        <f t="shared" si="140"/>
        <v>0</v>
      </c>
      <c r="BJ274" s="3298">
        <f t="shared" si="141"/>
        <v>0</v>
      </c>
      <c r="BK274" s="3298">
        <f t="shared" si="142"/>
        <v>0</v>
      </c>
      <c r="BL274" s="3298">
        <f t="shared" si="143"/>
        <v>0</v>
      </c>
      <c r="BM274" s="3298">
        <f t="shared" si="144"/>
        <v>0</v>
      </c>
      <c r="BN274" s="3298">
        <f t="shared" si="145"/>
        <v>0</v>
      </c>
      <c r="BO274" s="3298">
        <f t="shared" si="146"/>
        <v>0</v>
      </c>
      <c r="BP274" s="3298">
        <f t="shared" si="147"/>
        <v>0</v>
      </c>
      <c r="BQ274" s="3298">
        <f t="shared" si="148"/>
        <v>0</v>
      </c>
      <c r="BR274" s="3298">
        <f t="shared" si="149"/>
        <v>0</v>
      </c>
      <c r="BS274" s="3298">
        <f t="shared" si="150"/>
        <v>0</v>
      </c>
      <c r="BT274" s="3350">
        <f t="shared" si="151"/>
        <v>0</v>
      </c>
    </row>
    <row r="275" spans="1:72">
      <c r="A275" s="1407"/>
      <c r="B275" s="3296"/>
      <c r="C275" s="3296"/>
      <c r="D275" s="3297"/>
      <c r="E275" s="3298">
        <f t="shared" si="123"/>
        <v>0</v>
      </c>
      <c r="F275" s="3299"/>
      <c r="G275" s="3300">
        <f t="shared" si="124"/>
        <v>0</v>
      </c>
      <c r="H275" s="3301">
        <f t="shared" si="125"/>
        <v>0</v>
      </c>
      <c r="I275" s="3308"/>
      <c r="J275" s="3308"/>
      <c r="K275" s="3308"/>
      <c r="L275" s="3308"/>
      <c r="M275" s="3308"/>
      <c r="N275" s="3308"/>
      <c r="O275" s="3308"/>
      <c r="P275" s="3308"/>
      <c r="Q275" s="3308"/>
      <c r="R275" s="3308"/>
      <c r="S275" s="3308"/>
      <c r="T275" s="3308"/>
      <c r="U275" s="3308"/>
      <c r="V275" s="3308"/>
      <c r="W275" s="3308"/>
      <c r="X275" s="3308"/>
      <c r="Y275" s="3308"/>
      <c r="Z275" s="3308"/>
      <c r="AA275" s="3308"/>
      <c r="AB275" s="3308"/>
      <c r="AC275" s="3298">
        <f t="shared" si="126"/>
        <v>0</v>
      </c>
      <c r="AD275" s="3318"/>
      <c r="AE275" s="3318"/>
      <c r="AF275" s="3318"/>
      <c r="AG275" s="3318"/>
      <c r="AH275" s="3318"/>
      <c r="AI275" s="3318"/>
      <c r="AJ275" s="3318"/>
      <c r="AK275" s="3318"/>
      <c r="AL275" s="3318"/>
      <c r="AM275" s="3318"/>
      <c r="AN275" s="3318"/>
      <c r="AO275" s="3318"/>
      <c r="AP275" s="3318"/>
      <c r="AQ275" s="3318"/>
      <c r="AR275" s="3318"/>
      <c r="AS275" s="3318"/>
      <c r="AT275" s="3328"/>
      <c r="AU275" s="3329"/>
      <c r="AV275" s="963">
        <f t="shared" si="127"/>
        <v>0</v>
      </c>
      <c r="AW275" s="963">
        <f t="shared" si="128"/>
        <v>0</v>
      </c>
      <c r="AX275" s="963">
        <f t="shared" si="129"/>
        <v>0</v>
      </c>
      <c r="AY275" s="3343">
        <f t="shared" si="130"/>
        <v>0</v>
      </c>
      <c r="AZ275" s="3298">
        <f t="shared" si="131"/>
        <v>0</v>
      </c>
      <c r="BA275" s="3298">
        <f t="shared" si="132"/>
        <v>0</v>
      </c>
      <c r="BB275" s="3298">
        <f t="shared" si="133"/>
        <v>0</v>
      </c>
      <c r="BC275" s="3298">
        <f t="shared" si="134"/>
        <v>0</v>
      </c>
      <c r="BD275" s="3298">
        <f t="shared" si="135"/>
        <v>0</v>
      </c>
      <c r="BE275" s="3298">
        <f t="shared" si="136"/>
        <v>0</v>
      </c>
      <c r="BF275" s="3298">
        <f t="shared" si="137"/>
        <v>0</v>
      </c>
      <c r="BG275" s="3298">
        <f t="shared" si="138"/>
        <v>0</v>
      </c>
      <c r="BH275" s="3298">
        <f t="shared" si="139"/>
        <v>0</v>
      </c>
      <c r="BI275" s="3298">
        <f t="shared" si="140"/>
        <v>0</v>
      </c>
      <c r="BJ275" s="3298">
        <f t="shared" si="141"/>
        <v>0</v>
      </c>
      <c r="BK275" s="3298">
        <f t="shared" si="142"/>
        <v>0</v>
      </c>
      <c r="BL275" s="3298">
        <f t="shared" si="143"/>
        <v>0</v>
      </c>
      <c r="BM275" s="3298">
        <f t="shared" si="144"/>
        <v>0</v>
      </c>
      <c r="BN275" s="3298">
        <f t="shared" si="145"/>
        <v>0</v>
      </c>
      <c r="BO275" s="3298">
        <f t="shared" si="146"/>
        <v>0</v>
      </c>
      <c r="BP275" s="3298">
        <f t="shared" si="147"/>
        <v>0</v>
      </c>
      <c r="BQ275" s="3298">
        <f t="shared" si="148"/>
        <v>0</v>
      </c>
      <c r="BR275" s="3298">
        <f t="shared" si="149"/>
        <v>0</v>
      </c>
      <c r="BS275" s="3298">
        <f t="shared" si="150"/>
        <v>0</v>
      </c>
      <c r="BT275" s="3350">
        <f t="shared" si="151"/>
        <v>0</v>
      </c>
    </row>
    <row r="276" spans="1:72">
      <c r="A276" s="1407"/>
      <c r="B276" s="3296"/>
      <c r="C276" s="3296"/>
      <c r="D276" s="3297"/>
      <c r="E276" s="3298">
        <f t="shared" si="123"/>
        <v>0</v>
      </c>
      <c r="F276" s="3299"/>
      <c r="G276" s="3300">
        <f t="shared" si="124"/>
        <v>0</v>
      </c>
      <c r="H276" s="3301">
        <f t="shared" si="125"/>
        <v>0</v>
      </c>
      <c r="I276" s="3308"/>
      <c r="J276" s="3308"/>
      <c r="K276" s="3308"/>
      <c r="L276" s="3308"/>
      <c r="M276" s="3308"/>
      <c r="N276" s="3308"/>
      <c r="O276" s="3308"/>
      <c r="P276" s="3308"/>
      <c r="Q276" s="3308"/>
      <c r="R276" s="3308"/>
      <c r="S276" s="3308"/>
      <c r="T276" s="3308"/>
      <c r="U276" s="3308"/>
      <c r="V276" s="3308"/>
      <c r="W276" s="3308"/>
      <c r="X276" s="3308"/>
      <c r="Y276" s="3308"/>
      <c r="Z276" s="3308"/>
      <c r="AA276" s="3308"/>
      <c r="AB276" s="3308"/>
      <c r="AC276" s="3298">
        <f t="shared" si="126"/>
        <v>0</v>
      </c>
      <c r="AD276" s="3318"/>
      <c r="AE276" s="3318"/>
      <c r="AF276" s="3318"/>
      <c r="AG276" s="3318"/>
      <c r="AH276" s="3318"/>
      <c r="AI276" s="3318"/>
      <c r="AJ276" s="3318"/>
      <c r="AK276" s="3318"/>
      <c r="AL276" s="3318"/>
      <c r="AM276" s="3318"/>
      <c r="AN276" s="3318"/>
      <c r="AO276" s="3318"/>
      <c r="AP276" s="3318"/>
      <c r="AQ276" s="3318"/>
      <c r="AR276" s="3318"/>
      <c r="AS276" s="3318"/>
      <c r="AT276" s="3328"/>
      <c r="AU276" s="3329"/>
      <c r="AV276" s="963">
        <f t="shared" si="127"/>
        <v>0</v>
      </c>
      <c r="AW276" s="963">
        <f t="shared" si="128"/>
        <v>0</v>
      </c>
      <c r="AX276" s="963">
        <f t="shared" si="129"/>
        <v>0</v>
      </c>
      <c r="AY276" s="3343">
        <f t="shared" si="130"/>
        <v>0</v>
      </c>
      <c r="AZ276" s="3298">
        <f t="shared" si="131"/>
        <v>0</v>
      </c>
      <c r="BA276" s="3298">
        <f t="shared" si="132"/>
        <v>0</v>
      </c>
      <c r="BB276" s="3298">
        <f t="shared" si="133"/>
        <v>0</v>
      </c>
      <c r="BC276" s="3298">
        <f t="shared" si="134"/>
        <v>0</v>
      </c>
      <c r="BD276" s="3298">
        <f t="shared" si="135"/>
        <v>0</v>
      </c>
      <c r="BE276" s="3298">
        <f t="shared" si="136"/>
        <v>0</v>
      </c>
      <c r="BF276" s="3298">
        <f t="shared" si="137"/>
        <v>0</v>
      </c>
      <c r="BG276" s="3298">
        <f t="shared" si="138"/>
        <v>0</v>
      </c>
      <c r="BH276" s="3298">
        <f t="shared" si="139"/>
        <v>0</v>
      </c>
      <c r="BI276" s="3298">
        <f t="shared" si="140"/>
        <v>0</v>
      </c>
      <c r="BJ276" s="3298">
        <f t="shared" si="141"/>
        <v>0</v>
      </c>
      <c r="BK276" s="3298">
        <f t="shared" si="142"/>
        <v>0</v>
      </c>
      <c r="BL276" s="3298">
        <f t="shared" si="143"/>
        <v>0</v>
      </c>
      <c r="BM276" s="3298">
        <f t="shared" si="144"/>
        <v>0</v>
      </c>
      <c r="BN276" s="3298">
        <f t="shared" si="145"/>
        <v>0</v>
      </c>
      <c r="BO276" s="3298">
        <f t="shared" si="146"/>
        <v>0</v>
      </c>
      <c r="BP276" s="3298">
        <f t="shared" si="147"/>
        <v>0</v>
      </c>
      <c r="BQ276" s="3298">
        <f t="shared" si="148"/>
        <v>0</v>
      </c>
      <c r="BR276" s="3298">
        <f t="shared" si="149"/>
        <v>0</v>
      </c>
      <c r="BS276" s="3298">
        <f t="shared" si="150"/>
        <v>0</v>
      </c>
      <c r="BT276" s="3350">
        <f t="shared" si="151"/>
        <v>0</v>
      </c>
    </row>
    <row r="277" spans="1:72">
      <c r="A277" s="1407"/>
      <c r="B277" s="3296"/>
      <c r="C277" s="3296"/>
      <c r="D277" s="3297"/>
      <c r="E277" s="3298">
        <f t="shared" si="123"/>
        <v>0</v>
      </c>
      <c r="F277" s="3299"/>
      <c r="G277" s="3300">
        <f t="shared" si="124"/>
        <v>0</v>
      </c>
      <c r="H277" s="3301">
        <f t="shared" si="125"/>
        <v>0</v>
      </c>
      <c r="I277" s="3308"/>
      <c r="J277" s="3308"/>
      <c r="K277" s="3308"/>
      <c r="L277" s="3308"/>
      <c r="M277" s="3308"/>
      <c r="N277" s="3308"/>
      <c r="O277" s="3308"/>
      <c r="P277" s="3308"/>
      <c r="Q277" s="3308"/>
      <c r="R277" s="3308"/>
      <c r="S277" s="3308"/>
      <c r="T277" s="3308"/>
      <c r="U277" s="3308"/>
      <c r="V277" s="3308"/>
      <c r="W277" s="3308"/>
      <c r="X277" s="3308"/>
      <c r="Y277" s="3308"/>
      <c r="Z277" s="3308"/>
      <c r="AA277" s="3308"/>
      <c r="AB277" s="3308"/>
      <c r="AC277" s="3298">
        <f t="shared" si="126"/>
        <v>0</v>
      </c>
      <c r="AD277" s="3318"/>
      <c r="AE277" s="3318"/>
      <c r="AF277" s="3318"/>
      <c r="AG277" s="3318"/>
      <c r="AH277" s="3318"/>
      <c r="AI277" s="3318"/>
      <c r="AJ277" s="3318"/>
      <c r="AK277" s="3318"/>
      <c r="AL277" s="3318"/>
      <c r="AM277" s="3318"/>
      <c r="AN277" s="3318"/>
      <c r="AO277" s="3318"/>
      <c r="AP277" s="3318"/>
      <c r="AQ277" s="3318"/>
      <c r="AR277" s="3318"/>
      <c r="AS277" s="3318"/>
      <c r="AT277" s="3328"/>
      <c r="AU277" s="3329"/>
      <c r="AV277" s="963">
        <f t="shared" si="127"/>
        <v>0</v>
      </c>
      <c r="AW277" s="963">
        <f t="shared" si="128"/>
        <v>0</v>
      </c>
      <c r="AX277" s="963">
        <f t="shared" si="129"/>
        <v>0</v>
      </c>
      <c r="AY277" s="3343">
        <f t="shared" si="130"/>
        <v>0</v>
      </c>
      <c r="AZ277" s="3298">
        <f t="shared" si="131"/>
        <v>0</v>
      </c>
      <c r="BA277" s="3298">
        <f t="shared" si="132"/>
        <v>0</v>
      </c>
      <c r="BB277" s="3298">
        <f t="shared" si="133"/>
        <v>0</v>
      </c>
      <c r="BC277" s="3298">
        <f t="shared" si="134"/>
        <v>0</v>
      </c>
      <c r="BD277" s="3298">
        <f t="shared" si="135"/>
        <v>0</v>
      </c>
      <c r="BE277" s="3298">
        <f t="shared" si="136"/>
        <v>0</v>
      </c>
      <c r="BF277" s="3298">
        <f t="shared" si="137"/>
        <v>0</v>
      </c>
      <c r="BG277" s="3298">
        <f t="shared" si="138"/>
        <v>0</v>
      </c>
      <c r="BH277" s="3298">
        <f t="shared" si="139"/>
        <v>0</v>
      </c>
      <c r="BI277" s="3298">
        <f t="shared" si="140"/>
        <v>0</v>
      </c>
      <c r="BJ277" s="3298">
        <f t="shared" si="141"/>
        <v>0</v>
      </c>
      <c r="BK277" s="3298">
        <f t="shared" si="142"/>
        <v>0</v>
      </c>
      <c r="BL277" s="3298">
        <f t="shared" si="143"/>
        <v>0</v>
      </c>
      <c r="BM277" s="3298">
        <f t="shared" si="144"/>
        <v>0</v>
      </c>
      <c r="BN277" s="3298">
        <f t="shared" si="145"/>
        <v>0</v>
      </c>
      <c r="BO277" s="3298">
        <f t="shared" si="146"/>
        <v>0</v>
      </c>
      <c r="BP277" s="3298">
        <f t="shared" si="147"/>
        <v>0</v>
      </c>
      <c r="BQ277" s="3298">
        <f t="shared" si="148"/>
        <v>0</v>
      </c>
      <c r="BR277" s="3298">
        <f t="shared" si="149"/>
        <v>0</v>
      </c>
      <c r="BS277" s="3298">
        <f t="shared" si="150"/>
        <v>0</v>
      </c>
      <c r="BT277" s="3350">
        <f t="shared" si="151"/>
        <v>0</v>
      </c>
    </row>
    <row r="278" spans="1:72">
      <c r="A278" s="1407"/>
      <c r="B278" s="3296"/>
      <c r="C278" s="3296"/>
      <c r="D278" s="3297"/>
      <c r="E278" s="3298">
        <f t="shared" si="123"/>
        <v>0</v>
      </c>
      <c r="F278" s="3299"/>
      <c r="G278" s="3300">
        <f t="shared" si="124"/>
        <v>0</v>
      </c>
      <c r="H278" s="3301">
        <f t="shared" si="125"/>
        <v>0</v>
      </c>
      <c r="I278" s="3308"/>
      <c r="J278" s="3308"/>
      <c r="K278" s="3308"/>
      <c r="L278" s="3308"/>
      <c r="M278" s="3308"/>
      <c r="N278" s="3308"/>
      <c r="O278" s="3308"/>
      <c r="P278" s="3308"/>
      <c r="Q278" s="3308"/>
      <c r="R278" s="3308"/>
      <c r="S278" s="3308"/>
      <c r="T278" s="3308"/>
      <c r="U278" s="3308"/>
      <c r="V278" s="3308"/>
      <c r="W278" s="3308"/>
      <c r="X278" s="3308"/>
      <c r="Y278" s="3308"/>
      <c r="Z278" s="3308"/>
      <c r="AA278" s="3308"/>
      <c r="AB278" s="3308"/>
      <c r="AC278" s="3298">
        <f t="shared" si="126"/>
        <v>0</v>
      </c>
      <c r="AD278" s="3318"/>
      <c r="AE278" s="3318"/>
      <c r="AF278" s="3318"/>
      <c r="AG278" s="3318"/>
      <c r="AH278" s="3318"/>
      <c r="AI278" s="3318"/>
      <c r="AJ278" s="3318"/>
      <c r="AK278" s="3318"/>
      <c r="AL278" s="3318"/>
      <c r="AM278" s="3318"/>
      <c r="AN278" s="3318"/>
      <c r="AO278" s="3318"/>
      <c r="AP278" s="3318"/>
      <c r="AQ278" s="3318"/>
      <c r="AR278" s="3318"/>
      <c r="AS278" s="3318"/>
      <c r="AT278" s="3328"/>
      <c r="AU278" s="3329"/>
      <c r="AV278" s="963">
        <f t="shared" si="127"/>
        <v>0</v>
      </c>
      <c r="AW278" s="963">
        <f t="shared" si="128"/>
        <v>0</v>
      </c>
      <c r="AX278" s="963">
        <f t="shared" si="129"/>
        <v>0</v>
      </c>
      <c r="AY278" s="3343">
        <f t="shared" si="130"/>
        <v>0</v>
      </c>
      <c r="AZ278" s="3298">
        <f t="shared" si="131"/>
        <v>0</v>
      </c>
      <c r="BA278" s="3298">
        <f t="shared" si="132"/>
        <v>0</v>
      </c>
      <c r="BB278" s="3298">
        <f t="shared" si="133"/>
        <v>0</v>
      </c>
      <c r="BC278" s="3298">
        <f t="shared" si="134"/>
        <v>0</v>
      </c>
      <c r="BD278" s="3298">
        <f t="shared" si="135"/>
        <v>0</v>
      </c>
      <c r="BE278" s="3298">
        <f t="shared" si="136"/>
        <v>0</v>
      </c>
      <c r="BF278" s="3298">
        <f t="shared" si="137"/>
        <v>0</v>
      </c>
      <c r="BG278" s="3298">
        <f t="shared" si="138"/>
        <v>0</v>
      </c>
      <c r="BH278" s="3298">
        <f t="shared" si="139"/>
        <v>0</v>
      </c>
      <c r="BI278" s="3298">
        <f t="shared" si="140"/>
        <v>0</v>
      </c>
      <c r="BJ278" s="3298">
        <f t="shared" si="141"/>
        <v>0</v>
      </c>
      <c r="BK278" s="3298">
        <f t="shared" si="142"/>
        <v>0</v>
      </c>
      <c r="BL278" s="3298">
        <f t="shared" si="143"/>
        <v>0</v>
      </c>
      <c r="BM278" s="3298">
        <f t="shared" si="144"/>
        <v>0</v>
      </c>
      <c r="BN278" s="3298">
        <f t="shared" si="145"/>
        <v>0</v>
      </c>
      <c r="BO278" s="3298">
        <f t="shared" si="146"/>
        <v>0</v>
      </c>
      <c r="BP278" s="3298">
        <f t="shared" si="147"/>
        <v>0</v>
      </c>
      <c r="BQ278" s="3298">
        <f t="shared" si="148"/>
        <v>0</v>
      </c>
      <c r="BR278" s="3298">
        <f t="shared" si="149"/>
        <v>0</v>
      </c>
      <c r="BS278" s="3298">
        <f t="shared" si="150"/>
        <v>0</v>
      </c>
      <c r="BT278" s="3350">
        <f t="shared" si="151"/>
        <v>0</v>
      </c>
    </row>
    <row r="279" spans="1:72">
      <c r="A279" s="1407"/>
      <c r="B279" s="3296"/>
      <c r="C279" s="3296"/>
      <c r="D279" s="3297"/>
      <c r="E279" s="3298">
        <f t="shared" si="123"/>
        <v>0</v>
      </c>
      <c r="F279" s="3299"/>
      <c r="G279" s="3300">
        <f t="shared" si="124"/>
        <v>0</v>
      </c>
      <c r="H279" s="3301">
        <f t="shared" si="125"/>
        <v>0</v>
      </c>
      <c r="I279" s="3308"/>
      <c r="J279" s="3308"/>
      <c r="K279" s="3308"/>
      <c r="L279" s="3308"/>
      <c r="M279" s="3308"/>
      <c r="N279" s="3308"/>
      <c r="O279" s="3308"/>
      <c r="P279" s="3308"/>
      <c r="Q279" s="3308"/>
      <c r="R279" s="3308"/>
      <c r="S279" s="3308"/>
      <c r="T279" s="3308"/>
      <c r="U279" s="3308"/>
      <c r="V279" s="3308"/>
      <c r="W279" s="3308"/>
      <c r="X279" s="3308"/>
      <c r="Y279" s="3308"/>
      <c r="Z279" s="3308"/>
      <c r="AA279" s="3308"/>
      <c r="AB279" s="3308"/>
      <c r="AC279" s="3298">
        <f t="shared" si="126"/>
        <v>0</v>
      </c>
      <c r="AD279" s="3318"/>
      <c r="AE279" s="3318"/>
      <c r="AF279" s="3318"/>
      <c r="AG279" s="3318"/>
      <c r="AH279" s="3318"/>
      <c r="AI279" s="3318"/>
      <c r="AJ279" s="3318"/>
      <c r="AK279" s="3318"/>
      <c r="AL279" s="3318"/>
      <c r="AM279" s="3318"/>
      <c r="AN279" s="3318"/>
      <c r="AO279" s="3318"/>
      <c r="AP279" s="3318"/>
      <c r="AQ279" s="3318"/>
      <c r="AR279" s="3318"/>
      <c r="AS279" s="3318"/>
      <c r="AT279" s="3328"/>
      <c r="AU279" s="3329"/>
      <c r="AV279" s="963">
        <f t="shared" si="127"/>
        <v>0</v>
      </c>
      <c r="AW279" s="963">
        <f t="shared" si="128"/>
        <v>0</v>
      </c>
      <c r="AX279" s="963">
        <f t="shared" si="129"/>
        <v>0</v>
      </c>
      <c r="AY279" s="3343">
        <f t="shared" si="130"/>
        <v>0</v>
      </c>
      <c r="AZ279" s="3298">
        <f t="shared" si="131"/>
        <v>0</v>
      </c>
      <c r="BA279" s="3298">
        <f t="shared" si="132"/>
        <v>0</v>
      </c>
      <c r="BB279" s="3298">
        <f t="shared" si="133"/>
        <v>0</v>
      </c>
      <c r="BC279" s="3298">
        <f t="shared" si="134"/>
        <v>0</v>
      </c>
      <c r="BD279" s="3298">
        <f t="shared" si="135"/>
        <v>0</v>
      </c>
      <c r="BE279" s="3298">
        <f t="shared" si="136"/>
        <v>0</v>
      </c>
      <c r="BF279" s="3298">
        <f t="shared" si="137"/>
        <v>0</v>
      </c>
      <c r="BG279" s="3298">
        <f t="shared" si="138"/>
        <v>0</v>
      </c>
      <c r="BH279" s="3298">
        <f t="shared" si="139"/>
        <v>0</v>
      </c>
      <c r="BI279" s="3298">
        <f t="shared" si="140"/>
        <v>0</v>
      </c>
      <c r="BJ279" s="3298">
        <f t="shared" si="141"/>
        <v>0</v>
      </c>
      <c r="BK279" s="3298">
        <f t="shared" si="142"/>
        <v>0</v>
      </c>
      <c r="BL279" s="3298">
        <f t="shared" si="143"/>
        <v>0</v>
      </c>
      <c r="BM279" s="3298">
        <f t="shared" si="144"/>
        <v>0</v>
      </c>
      <c r="BN279" s="3298">
        <f t="shared" si="145"/>
        <v>0</v>
      </c>
      <c r="BO279" s="3298">
        <f t="shared" si="146"/>
        <v>0</v>
      </c>
      <c r="BP279" s="3298">
        <f t="shared" si="147"/>
        <v>0</v>
      </c>
      <c r="BQ279" s="3298">
        <f t="shared" si="148"/>
        <v>0</v>
      </c>
      <c r="BR279" s="3298">
        <f t="shared" si="149"/>
        <v>0</v>
      </c>
      <c r="BS279" s="3298">
        <f t="shared" si="150"/>
        <v>0</v>
      </c>
      <c r="BT279" s="3350">
        <f t="shared" si="151"/>
        <v>0</v>
      </c>
    </row>
    <row r="280" spans="1:72">
      <c r="A280" s="1407"/>
      <c r="B280" s="3296"/>
      <c r="C280" s="3296"/>
      <c r="D280" s="3297"/>
      <c r="E280" s="3298">
        <f t="shared" si="123"/>
        <v>0</v>
      </c>
      <c r="F280" s="3299"/>
      <c r="G280" s="3300">
        <f t="shared" si="124"/>
        <v>0</v>
      </c>
      <c r="H280" s="3301">
        <f t="shared" si="125"/>
        <v>0</v>
      </c>
      <c r="I280" s="3308"/>
      <c r="J280" s="3308"/>
      <c r="K280" s="3308"/>
      <c r="L280" s="3308"/>
      <c r="M280" s="3308"/>
      <c r="N280" s="3308"/>
      <c r="O280" s="3308"/>
      <c r="P280" s="3308"/>
      <c r="Q280" s="3308"/>
      <c r="R280" s="3308"/>
      <c r="S280" s="3308"/>
      <c r="T280" s="3308"/>
      <c r="U280" s="3308"/>
      <c r="V280" s="3308"/>
      <c r="W280" s="3308"/>
      <c r="X280" s="3308"/>
      <c r="Y280" s="3308"/>
      <c r="Z280" s="3308"/>
      <c r="AA280" s="3308"/>
      <c r="AB280" s="3308"/>
      <c r="AC280" s="3298">
        <f t="shared" si="126"/>
        <v>0</v>
      </c>
      <c r="AD280" s="3318"/>
      <c r="AE280" s="3318"/>
      <c r="AF280" s="3318"/>
      <c r="AG280" s="3318"/>
      <c r="AH280" s="3318"/>
      <c r="AI280" s="3318"/>
      <c r="AJ280" s="3318"/>
      <c r="AK280" s="3318"/>
      <c r="AL280" s="3318"/>
      <c r="AM280" s="3318"/>
      <c r="AN280" s="3318"/>
      <c r="AO280" s="3318"/>
      <c r="AP280" s="3318"/>
      <c r="AQ280" s="3318"/>
      <c r="AR280" s="3318"/>
      <c r="AS280" s="3318"/>
      <c r="AT280" s="3328"/>
      <c r="AU280" s="3329"/>
      <c r="AV280" s="963">
        <f t="shared" si="127"/>
        <v>0</v>
      </c>
      <c r="AW280" s="963">
        <f t="shared" si="128"/>
        <v>0</v>
      </c>
      <c r="AX280" s="963">
        <f t="shared" si="129"/>
        <v>0</v>
      </c>
      <c r="AY280" s="3343">
        <f t="shared" si="130"/>
        <v>0</v>
      </c>
      <c r="AZ280" s="3298">
        <f t="shared" si="131"/>
        <v>0</v>
      </c>
      <c r="BA280" s="3298">
        <f t="shared" si="132"/>
        <v>0</v>
      </c>
      <c r="BB280" s="3298">
        <f t="shared" si="133"/>
        <v>0</v>
      </c>
      <c r="BC280" s="3298">
        <f t="shared" si="134"/>
        <v>0</v>
      </c>
      <c r="BD280" s="3298">
        <f t="shared" si="135"/>
        <v>0</v>
      </c>
      <c r="BE280" s="3298">
        <f t="shared" si="136"/>
        <v>0</v>
      </c>
      <c r="BF280" s="3298">
        <f t="shared" si="137"/>
        <v>0</v>
      </c>
      <c r="BG280" s="3298">
        <f t="shared" si="138"/>
        <v>0</v>
      </c>
      <c r="BH280" s="3298">
        <f t="shared" si="139"/>
        <v>0</v>
      </c>
      <c r="BI280" s="3298">
        <f t="shared" si="140"/>
        <v>0</v>
      </c>
      <c r="BJ280" s="3298">
        <f t="shared" si="141"/>
        <v>0</v>
      </c>
      <c r="BK280" s="3298">
        <f t="shared" si="142"/>
        <v>0</v>
      </c>
      <c r="BL280" s="3298">
        <f t="shared" si="143"/>
        <v>0</v>
      </c>
      <c r="BM280" s="3298">
        <f t="shared" si="144"/>
        <v>0</v>
      </c>
      <c r="BN280" s="3298">
        <f t="shared" si="145"/>
        <v>0</v>
      </c>
      <c r="BO280" s="3298">
        <f t="shared" si="146"/>
        <v>0</v>
      </c>
      <c r="BP280" s="3298">
        <f t="shared" si="147"/>
        <v>0</v>
      </c>
      <c r="BQ280" s="3298">
        <f t="shared" si="148"/>
        <v>0</v>
      </c>
      <c r="BR280" s="3298">
        <f t="shared" si="149"/>
        <v>0</v>
      </c>
      <c r="BS280" s="3298">
        <f t="shared" si="150"/>
        <v>0</v>
      </c>
      <c r="BT280" s="3350">
        <f t="shared" si="151"/>
        <v>0</v>
      </c>
    </row>
    <row r="281" spans="1:72">
      <c r="A281" s="1407"/>
      <c r="B281" s="3296"/>
      <c r="C281" s="3296"/>
      <c r="D281" s="3297"/>
      <c r="E281" s="3298">
        <f t="shared" si="123"/>
        <v>0</v>
      </c>
      <c r="F281" s="3299"/>
      <c r="G281" s="3300">
        <f t="shared" si="124"/>
        <v>0</v>
      </c>
      <c r="H281" s="3301">
        <f t="shared" si="125"/>
        <v>0</v>
      </c>
      <c r="I281" s="3308"/>
      <c r="J281" s="3308"/>
      <c r="K281" s="3308"/>
      <c r="L281" s="3308"/>
      <c r="M281" s="3308"/>
      <c r="N281" s="3308"/>
      <c r="O281" s="3308"/>
      <c r="P281" s="3308"/>
      <c r="Q281" s="3308"/>
      <c r="R281" s="3308"/>
      <c r="S281" s="3308"/>
      <c r="T281" s="3308"/>
      <c r="U281" s="3308"/>
      <c r="V281" s="3308"/>
      <c r="W281" s="3308"/>
      <c r="X281" s="3308"/>
      <c r="Y281" s="3308"/>
      <c r="Z281" s="3308"/>
      <c r="AA281" s="3308"/>
      <c r="AB281" s="3308"/>
      <c r="AC281" s="3298">
        <f t="shared" si="126"/>
        <v>0</v>
      </c>
      <c r="AD281" s="3318"/>
      <c r="AE281" s="3318"/>
      <c r="AF281" s="3318"/>
      <c r="AG281" s="3318"/>
      <c r="AH281" s="3318"/>
      <c r="AI281" s="3318"/>
      <c r="AJ281" s="3318"/>
      <c r="AK281" s="3318"/>
      <c r="AL281" s="3318"/>
      <c r="AM281" s="3318"/>
      <c r="AN281" s="3318"/>
      <c r="AO281" s="3318"/>
      <c r="AP281" s="3318"/>
      <c r="AQ281" s="3318"/>
      <c r="AR281" s="3318"/>
      <c r="AS281" s="3318"/>
      <c r="AT281" s="3328"/>
      <c r="AU281" s="3329"/>
      <c r="AV281" s="963">
        <f t="shared" si="127"/>
        <v>0</v>
      </c>
      <c r="AW281" s="963">
        <f t="shared" si="128"/>
        <v>0</v>
      </c>
      <c r="AX281" s="963">
        <f t="shared" si="129"/>
        <v>0</v>
      </c>
      <c r="AY281" s="3343">
        <f t="shared" si="130"/>
        <v>0</v>
      </c>
      <c r="AZ281" s="3298">
        <f t="shared" si="131"/>
        <v>0</v>
      </c>
      <c r="BA281" s="3298">
        <f t="shared" si="132"/>
        <v>0</v>
      </c>
      <c r="BB281" s="3298">
        <f t="shared" si="133"/>
        <v>0</v>
      </c>
      <c r="BC281" s="3298">
        <f t="shared" si="134"/>
        <v>0</v>
      </c>
      <c r="BD281" s="3298">
        <f t="shared" si="135"/>
        <v>0</v>
      </c>
      <c r="BE281" s="3298">
        <f t="shared" si="136"/>
        <v>0</v>
      </c>
      <c r="BF281" s="3298">
        <f t="shared" si="137"/>
        <v>0</v>
      </c>
      <c r="BG281" s="3298">
        <f t="shared" si="138"/>
        <v>0</v>
      </c>
      <c r="BH281" s="3298">
        <f t="shared" si="139"/>
        <v>0</v>
      </c>
      <c r="BI281" s="3298">
        <f t="shared" si="140"/>
        <v>0</v>
      </c>
      <c r="BJ281" s="3298">
        <f t="shared" si="141"/>
        <v>0</v>
      </c>
      <c r="BK281" s="3298">
        <f t="shared" si="142"/>
        <v>0</v>
      </c>
      <c r="BL281" s="3298">
        <f t="shared" si="143"/>
        <v>0</v>
      </c>
      <c r="BM281" s="3298">
        <f t="shared" si="144"/>
        <v>0</v>
      </c>
      <c r="BN281" s="3298">
        <f t="shared" si="145"/>
        <v>0</v>
      </c>
      <c r="BO281" s="3298">
        <f t="shared" si="146"/>
        <v>0</v>
      </c>
      <c r="BP281" s="3298">
        <f t="shared" si="147"/>
        <v>0</v>
      </c>
      <c r="BQ281" s="3298">
        <f t="shared" si="148"/>
        <v>0</v>
      </c>
      <c r="BR281" s="3298">
        <f t="shared" si="149"/>
        <v>0</v>
      </c>
      <c r="BS281" s="3298">
        <f t="shared" si="150"/>
        <v>0</v>
      </c>
      <c r="BT281" s="3350">
        <f t="shared" si="151"/>
        <v>0</v>
      </c>
    </row>
    <row r="282" spans="1:72">
      <c r="A282" s="1407"/>
      <c r="B282" s="3296"/>
      <c r="C282" s="3296"/>
      <c r="D282" s="3297"/>
      <c r="E282" s="3298">
        <f t="shared" si="123"/>
        <v>0</v>
      </c>
      <c r="F282" s="3299"/>
      <c r="G282" s="3300">
        <f t="shared" si="124"/>
        <v>0</v>
      </c>
      <c r="H282" s="3301">
        <f t="shared" si="125"/>
        <v>0</v>
      </c>
      <c r="I282" s="3308"/>
      <c r="J282" s="3308"/>
      <c r="K282" s="3308"/>
      <c r="L282" s="3308"/>
      <c r="M282" s="3308"/>
      <c r="N282" s="3308"/>
      <c r="O282" s="3308"/>
      <c r="P282" s="3308"/>
      <c r="Q282" s="3308"/>
      <c r="R282" s="3308"/>
      <c r="S282" s="3308"/>
      <c r="T282" s="3308"/>
      <c r="U282" s="3308"/>
      <c r="V282" s="3308"/>
      <c r="W282" s="3308"/>
      <c r="X282" s="3308"/>
      <c r="Y282" s="3308"/>
      <c r="Z282" s="3308"/>
      <c r="AA282" s="3308"/>
      <c r="AB282" s="3308"/>
      <c r="AC282" s="3298">
        <f t="shared" si="126"/>
        <v>0</v>
      </c>
      <c r="AD282" s="3318"/>
      <c r="AE282" s="3318"/>
      <c r="AF282" s="3318"/>
      <c r="AG282" s="3318"/>
      <c r="AH282" s="3318"/>
      <c r="AI282" s="3318"/>
      <c r="AJ282" s="3318"/>
      <c r="AK282" s="3318"/>
      <c r="AL282" s="3318"/>
      <c r="AM282" s="3318"/>
      <c r="AN282" s="3318"/>
      <c r="AO282" s="3318"/>
      <c r="AP282" s="3318"/>
      <c r="AQ282" s="3318"/>
      <c r="AR282" s="3318"/>
      <c r="AS282" s="3318"/>
      <c r="AT282" s="3328"/>
      <c r="AU282" s="3329"/>
      <c r="AV282" s="963">
        <f t="shared" si="127"/>
        <v>0</v>
      </c>
      <c r="AW282" s="963">
        <f t="shared" si="128"/>
        <v>0</v>
      </c>
      <c r="AX282" s="963">
        <f t="shared" si="129"/>
        <v>0</v>
      </c>
      <c r="AY282" s="3343">
        <f t="shared" si="130"/>
        <v>0</v>
      </c>
      <c r="AZ282" s="3298">
        <f t="shared" si="131"/>
        <v>0</v>
      </c>
      <c r="BA282" s="3298">
        <f t="shared" si="132"/>
        <v>0</v>
      </c>
      <c r="BB282" s="3298">
        <f t="shared" si="133"/>
        <v>0</v>
      </c>
      <c r="BC282" s="3298">
        <f t="shared" si="134"/>
        <v>0</v>
      </c>
      <c r="BD282" s="3298">
        <f t="shared" si="135"/>
        <v>0</v>
      </c>
      <c r="BE282" s="3298">
        <f t="shared" si="136"/>
        <v>0</v>
      </c>
      <c r="BF282" s="3298">
        <f t="shared" si="137"/>
        <v>0</v>
      </c>
      <c r="BG282" s="3298">
        <f t="shared" si="138"/>
        <v>0</v>
      </c>
      <c r="BH282" s="3298">
        <f t="shared" si="139"/>
        <v>0</v>
      </c>
      <c r="BI282" s="3298">
        <f t="shared" si="140"/>
        <v>0</v>
      </c>
      <c r="BJ282" s="3298">
        <f t="shared" si="141"/>
        <v>0</v>
      </c>
      <c r="BK282" s="3298">
        <f t="shared" si="142"/>
        <v>0</v>
      </c>
      <c r="BL282" s="3298">
        <f t="shared" si="143"/>
        <v>0</v>
      </c>
      <c r="BM282" s="3298">
        <f t="shared" si="144"/>
        <v>0</v>
      </c>
      <c r="BN282" s="3298">
        <f t="shared" si="145"/>
        <v>0</v>
      </c>
      <c r="BO282" s="3298">
        <f t="shared" si="146"/>
        <v>0</v>
      </c>
      <c r="BP282" s="3298">
        <f t="shared" si="147"/>
        <v>0</v>
      </c>
      <c r="BQ282" s="3298">
        <f t="shared" si="148"/>
        <v>0</v>
      </c>
      <c r="BR282" s="3298">
        <f t="shared" si="149"/>
        <v>0</v>
      </c>
      <c r="BS282" s="3298">
        <f t="shared" si="150"/>
        <v>0</v>
      </c>
      <c r="BT282" s="3350">
        <f t="shared" si="151"/>
        <v>0</v>
      </c>
    </row>
    <row r="283" spans="1:72">
      <c r="A283" s="1407"/>
      <c r="B283" s="3296"/>
      <c r="C283" s="3296"/>
      <c r="D283" s="3297"/>
      <c r="E283" s="3298">
        <f t="shared" si="123"/>
        <v>0</v>
      </c>
      <c r="F283" s="3299"/>
      <c r="G283" s="3300">
        <f t="shared" si="124"/>
        <v>0</v>
      </c>
      <c r="H283" s="3301">
        <f t="shared" si="125"/>
        <v>0</v>
      </c>
      <c r="I283" s="3308"/>
      <c r="J283" s="3308"/>
      <c r="K283" s="3308"/>
      <c r="L283" s="3308"/>
      <c r="M283" s="3308"/>
      <c r="N283" s="3308"/>
      <c r="O283" s="3308"/>
      <c r="P283" s="3308"/>
      <c r="Q283" s="3308"/>
      <c r="R283" s="3308"/>
      <c r="S283" s="3308"/>
      <c r="T283" s="3308"/>
      <c r="U283" s="3308"/>
      <c r="V283" s="3308"/>
      <c r="W283" s="3308"/>
      <c r="X283" s="3308"/>
      <c r="Y283" s="3308"/>
      <c r="Z283" s="3308"/>
      <c r="AA283" s="3308"/>
      <c r="AB283" s="3308"/>
      <c r="AC283" s="3298">
        <f t="shared" si="126"/>
        <v>0</v>
      </c>
      <c r="AD283" s="3318"/>
      <c r="AE283" s="3318"/>
      <c r="AF283" s="3318"/>
      <c r="AG283" s="3318"/>
      <c r="AH283" s="3318"/>
      <c r="AI283" s="3318"/>
      <c r="AJ283" s="3318"/>
      <c r="AK283" s="3318"/>
      <c r="AL283" s="3318"/>
      <c r="AM283" s="3318"/>
      <c r="AN283" s="3318"/>
      <c r="AO283" s="3318"/>
      <c r="AP283" s="3318"/>
      <c r="AQ283" s="3318"/>
      <c r="AR283" s="3318"/>
      <c r="AS283" s="3318"/>
      <c r="AT283" s="3328"/>
      <c r="AU283" s="3329"/>
      <c r="AV283" s="963">
        <f t="shared" si="127"/>
        <v>0</v>
      </c>
      <c r="AW283" s="963">
        <f t="shared" si="128"/>
        <v>0</v>
      </c>
      <c r="AX283" s="963">
        <f t="shared" si="129"/>
        <v>0</v>
      </c>
      <c r="AY283" s="3343">
        <f t="shared" si="130"/>
        <v>0</v>
      </c>
      <c r="AZ283" s="3298">
        <f t="shared" si="131"/>
        <v>0</v>
      </c>
      <c r="BA283" s="3298">
        <f t="shared" si="132"/>
        <v>0</v>
      </c>
      <c r="BB283" s="3298">
        <f t="shared" si="133"/>
        <v>0</v>
      </c>
      <c r="BC283" s="3298">
        <f t="shared" si="134"/>
        <v>0</v>
      </c>
      <c r="BD283" s="3298">
        <f t="shared" si="135"/>
        <v>0</v>
      </c>
      <c r="BE283" s="3298">
        <f t="shared" si="136"/>
        <v>0</v>
      </c>
      <c r="BF283" s="3298">
        <f t="shared" si="137"/>
        <v>0</v>
      </c>
      <c r="BG283" s="3298">
        <f t="shared" si="138"/>
        <v>0</v>
      </c>
      <c r="BH283" s="3298">
        <f t="shared" si="139"/>
        <v>0</v>
      </c>
      <c r="BI283" s="3298">
        <f t="shared" si="140"/>
        <v>0</v>
      </c>
      <c r="BJ283" s="3298">
        <f t="shared" si="141"/>
        <v>0</v>
      </c>
      <c r="BK283" s="3298">
        <f t="shared" si="142"/>
        <v>0</v>
      </c>
      <c r="BL283" s="3298">
        <f t="shared" si="143"/>
        <v>0</v>
      </c>
      <c r="BM283" s="3298">
        <f t="shared" si="144"/>
        <v>0</v>
      </c>
      <c r="BN283" s="3298">
        <f t="shared" si="145"/>
        <v>0</v>
      </c>
      <c r="BO283" s="3298">
        <f t="shared" si="146"/>
        <v>0</v>
      </c>
      <c r="BP283" s="3298">
        <f t="shared" si="147"/>
        <v>0</v>
      </c>
      <c r="BQ283" s="3298">
        <f t="shared" si="148"/>
        <v>0</v>
      </c>
      <c r="BR283" s="3298">
        <f t="shared" si="149"/>
        <v>0</v>
      </c>
      <c r="BS283" s="3298">
        <f t="shared" si="150"/>
        <v>0</v>
      </c>
      <c r="BT283" s="3350">
        <f t="shared" si="151"/>
        <v>0</v>
      </c>
    </row>
    <row r="284" spans="1:72">
      <c r="A284" s="1407"/>
      <c r="B284" s="3296"/>
      <c r="C284" s="3296"/>
      <c r="D284" s="3297"/>
      <c r="E284" s="3298">
        <f t="shared" si="123"/>
        <v>0</v>
      </c>
      <c r="F284" s="3299"/>
      <c r="G284" s="3300">
        <f t="shared" si="124"/>
        <v>0</v>
      </c>
      <c r="H284" s="3301">
        <f t="shared" si="125"/>
        <v>0</v>
      </c>
      <c r="I284" s="3308"/>
      <c r="J284" s="3308"/>
      <c r="K284" s="3308"/>
      <c r="L284" s="3308"/>
      <c r="M284" s="3308"/>
      <c r="N284" s="3308"/>
      <c r="O284" s="3308"/>
      <c r="P284" s="3308"/>
      <c r="Q284" s="3308"/>
      <c r="R284" s="3308"/>
      <c r="S284" s="3308"/>
      <c r="T284" s="3308"/>
      <c r="U284" s="3308"/>
      <c r="V284" s="3308"/>
      <c r="W284" s="3308"/>
      <c r="X284" s="3308"/>
      <c r="Y284" s="3308"/>
      <c r="Z284" s="3308"/>
      <c r="AA284" s="3308"/>
      <c r="AB284" s="3308"/>
      <c r="AC284" s="3298">
        <f t="shared" si="126"/>
        <v>0</v>
      </c>
      <c r="AD284" s="3318"/>
      <c r="AE284" s="3318"/>
      <c r="AF284" s="3318"/>
      <c r="AG284" s="3318"/>
      <c r="AH284" s="3318"/>
      <c r="AI284" s="3318"/>
      <c r="AJ284" s="3318"/>
      <c r="AK284" s="3318"/>
      <c r="AL284" s="3318"/>
      <c r="AM284" s="3318"/>
      <c r="AN284" s="3318"/>
      <c r="AO284" s="3318"/>
      <c r="AP284" s="3318"/>
      <c r="AQ284" s="3318"/>
      <c r="AR284" s="3318"/>
      <c r="AS284" s="3318"/>
      <c r="AT284" s="3328"/>
      <c r="AU284" s="3329"/>
      <c r="AV284" s="963">
        <f t="shared" si="127"/>
        <v>0</v>
      </c>
      <c r="AW284" s="963">
        <f t="shared" si="128"/>
        <v>0</v>
      </c>
      <c r="AX284" s="963">
        <f t="shared" si="129"/>
        <v>0</v>
      </c>
      <c r="AY284" s="3343">
        <f t="shared" si="130"/>
        <v>0</v>
      </c>
      <c r="AZ284" s="3298">
        <f t="shared" si="131"/>
        <v>0</v>
      </c>
      <c r="BA284" s="3298">
        <f t="shared" si="132"/>
        <v>0</v>
      </c>
      <c r="BB284" s="3298">
        <f t="shared" si="133"/>
        <v>0</v>
      </c>
      <c r="BC284" s="3298">
        <f t="shared" si="134"/>
        <v>0</v>
      </c>
      <c r="BD284" s="3298">
        <f t="shared" si="135"/>
        <v>0</v>
      </c>
      <c r="BE284" s="3298">
        <f t="shared" si="136"/>
        <v>0</v>
      </c>
      <c r="BF284" s="3298">
        <f t="shared" si="137"/>
        <v>0</v>
      </c>
      <c r="BG284" s="3298">
        <f t="shared" si="138"/>
        <v>0</v>
      </c>
      <c r="BH284" s="3298">
        <f t="shared" si="139"/>
        <v>0</v>
      </c>
      <c r="BI284" s="3298">
        <f t="shared" si="140"/>
        <v>0</v>
      </c>
      <c r="BJ284" s="3298">
        <f t="shared" si="141"/>
        <v>0</v>
      </c>
      <c r="BK284" s="3298">
        <f t="shared" si="142"/>
        <v>0</v>
      </c>
      <c r="BL284" s="3298">
        <f t="shared" si="143"/>
        <v>0</v>
      </c>
      <c r="BM284" s="3298">
        <f t="shared" si="144"/>
        <v>0</v>
      </c>
      <c r="BN284" s="3298">
        <f t="shared" si="145"/>
        <v>0</v>
      </c>
      <c r="BO284" s="3298">
        <f t="shared" si="146"/>
        <v>0</v>
      </c>
      <c r="BP284" s="3298">
        <f t="shared" si="147"/>
        <v>0</v>
      </c>
      <c r="BQ284" s="3298">
        <f t="shared" si="148"/>
        <v>0</v>
      </c>
      <c r="BR284" s="3298">
        <f t="shared" si="149"/>
        <v>0</v>
      </c>
      <c r="BS284" s="3298">
        <f t="shared" si="150"/>
        <v>0</v>
      </c>
      <c r="BT284" s="3350">
        <f t="shared" si="151"/>
        <v>0</v>
      </c>
    </row>
    <row r="285" spans="1:72">
      <c r="A285" s="1407"/>
      <c r="B285" s="3296"/>
      <c r="C285" s="3296"/>
      <c r="D285" s="3297"/>
      <c r="E285" s="3298">
        <f t="shared" si="123"/>
        <v>0</v>
      </c>
      <c r="F285" s="3299"/>
      <c r="G285" s="3300">
        <f t="shared" si="124"/>
        <v>0</v>
      </c>
      <c r="H285" s="3301">
        <f t="shared" si="125"/>
        <v>0</v>
      </c>
      <c r="I285" s="3308"/>
      <c r="J285" s="3308"/>
      <c r="K285" s="3308"/>
      <c r="L285" s="3308"/>
      <c r="M285" s="3308"/>
      <c r="N285" s="3308"/>
      <c r="O285" s="3308"/>
      <c r="P285" s="3308"/>
      <c r="Q285" s="3308"/>
      <c r="R285" s="3308"/>
      <c r="S285" s="3308"/>
      <c r="T285" s="3308"/>
      <c r="U285" s="3308"/>
      <c r="V285" s="3308"/>
      <c r="W285" s="3308"/>
      <c r="X285" s="3308"/>
      <c r="Y285" s="3308"/>
      <c r="Z285" s="3308"/>
      <c r="AA285" s="3308"/>
      <c r="AB285" s="3308"/>
      <c r="AC285" s="3298">
        <f t="shared" si="126"/>
        <v>0</v>
      </c>
      <c r="AD285" s="3318"/>
      <c r="AE285" s="3318"/>
      <c r="AF285" s="3318"/>
      <c r="AG285" s="3318"/>
      <c r="AH285" s="3318"/>
      <c r="AI285" s="3318"/>
      <c r="AJ285" s="3318"/>
      <c r="AK285" s="3318"/>
      <c r="AL285" s="3318"/>
      <c r="AM285" s="3318"/>
      <c r="AN285" s="3318"/>
      <c r="AO285" s="3318"/>
      <c r="AP285" s="3318"/>
      <c r="AQ285" s="3318"/>
      <c r="AR285" s="3318"/>
      <c r="AS285" s="3318"/>
      <c r="AT285" s="3328"/>
      <c r="AU285" s="3329"/>
      <c r="AV285" s="963">
        <f t="shared" si="127"/>
        <v>0</v>
      </c>
      <c r="AW285" s="963">
        <f t="shared" si="128"/>
        <v>0</v>
      </c>
      <c r="AX285" s="963">
        <f t="shared" si="129"/>
        <v>0</v>
      </c>
      <c r="AY285" s="3343">
        <f t="shared" si="130"/>
        <v>0</v>
      </c>
      <c r="AZ285" s="3298">
        <f t="shared" si="131"/>
        <v>0</v>
      </c>
      <c r="BA285" s="3298">
        <f t="shared" si="132"/>
        <v>0</v>
      </c>
      <c r="BB285" s="3298">
        <f t="shared" si="133"/>
        <v>0</v>
      </c>
      <c r="BC285" s="3298">
        <f t="shared" si="134"/>
        <v>0</v>
      </c>
      <c r="BD285" s="3298">
        <f t="shared" si="135"/>
        <v>0</v>
      </c>
      <c r="BE285" s="3298">
        <f t="shared" si="136"/>
        <v>0</v>
      </c>
      <c r="BF285" s="3298">
        <f t="shared" si="137"/>
        <v>0</v>
      </c>
      <c r="BG285" s="3298">
        <f t="shared" si="138"/>
        <v>0</v>
      </c>
      <c r="BH285" s="3298">
        <f t="shared" si="139"/>
        <v>0</v>
      </c>
      <c r="BI285" s="3298">
        <f t="shared" si="140"/>
        <v>0</v>
      </c>
      <c r="BJ285" s="3298">
        <f t="shared" si="141"/>
        <v>0</v>
      </c>
      <c r="BK285" s="3298">
        <f t="shared" si="142"/>
        <v>0</v>
      </c>
      <c r="BL285" s="3298">
        <f t="shared" si="143"/>
        <v>0</v>
      </c>
      <c r="BM285" s="3298">
        <f t="shared" si="144"/>
        <v>0</v>
      </c>
      <c r="BN285" s="3298">
        <f t="shared" si="145"/>
        <v>0</v>
      </c>
      <c r="BO285" s="3298">
        <f t="shared" si="146"/>
        <v>0</v>
      </c>
      <c r="BP285" s="3298">
        <f t="shared" si="147"/>
        <v>0</v>
      </c>
      <c r="BQ285" s="3298">
        <f t="shared" si="148"/>
        <v>0</v>
      </c>
      <c r="BR285" s="3298">
        <f t="shared" si="149"/>
        <v>0</v>
      </c>
      <c r="BS285" s="3298">
        <f t="shared" si="150"/>
        <v>0</v>
      </c>
      <c r="BT285" s="3350">
        <f t="shared" si="151"/>
        <v>0</v>
      </c>
    </row>
    <row r="286" spans="1:72">
      <c r="A286" s="1407"/>
      <c r="B286" s="3296"/>
      <c r="C286" s="3296"/>
      <c r="D286" s="3297"/>
      <c r="E286" s="3298">
        <f t="shared" si="123"/>
        <v>0</v>
      </c>
      <c r="F286" s="3299"/>
      <c r="G286" s="3300">
        <f t="shared" si="124"/>
        <v>0</v>
      </c>
      <c r="H286" s="3301">
        <f t="shared" si="125"/>
        <v>0</v>
      </c>
      <c r="I286" s="3308"/>
      <c r="J286" s="3308"/>
      <c r="K286" s="3308"/>
      <c r="L286" s="3308"/>
      <c r="M286" s="3308"/>
      <c r="N286" s="3308"/>
      <c r="O286" s="3308"/>
      <c r="P286" s="3308"/>
      <c r="Q286" s="3308"/>
      <c r="R286" s="3308"/>
      <c r="S286" s="3308"/>
      <c r="T286" s="3308"/>
      <c r="U286" s="3308"/>
      <c r="V286" s="3308"/>
      <c r="W286" s="3308"/>
      <c r="X286" s="3308"/>
      <c r="Y286" s="3308"/>
      <c r="Z286" s="3308"/>
      <c r="AA286" s="3308"/>
      <c r="AB286" s="3308"/>
      <c r="AC286" s="3298">
        <f t="shared" si="126"/>
        <v>0</v>
      </c>
      <c r="AD286" s="3318"/>
      <c r="AE286" s="3318"/>
      <c r="AF286" s="3318"/>
      <c r="AG286" s="3318"/>
      <c r="AH286" s="3318"/>
      <c r="AI286" s="3318"/>
      <c r="AJ286" s="3318"/>
      <c r="AK286" s="3318"/>
      <c r="AL286" s="3318"/>
      <c r="AM286" s="3318"/>
      <c r="AN286" s="3318"/>
      <c r="AO286" s="3318"/>
      <c r="AP286" s="3318"/>
      <c r="AQ286" s="3318"/>
      <c r="AR286" s="3318"/>
      <c r="AS286" s="3318"/>
      <c r="AT286" s="3328"/>
      <c r="AU286" s="3329"/>
      <c r="AV286" s="963">
        <f t="shared" si="127"/>
        <v>0</v>
      </c>
      <c r="AW286" s="963">
        <f t="shared" si="128"/>
        <v>0</v>
      </c>
      <c r="AX286" s="963">
        <f t="shared" si="129"/>
        <v>0</v>
      </c>
      <c r="AY286" s="3343">
        <f t="shared" si="130"/>
        <v>0</v>
      </c>
      <c r="AZ286" s="3298">
        <f t="shared" si="131"/>
        <v>0</v>
      </c>
      <c r="BA286" s="3298">
        <f t="shared" si="132"/>
        <v>0</v>
      </c>
      <c r="BB286" s="3298">
        <f t="shared" si="133"/>
        <v>0</v>
      </c>
      <c r="BC286" s="3298">
        <f t="shared" si="134"/>
        <v>0</v>
      </c>
      <c r="BD286" s="3298">
        <f t="shared" si="135"/>
        <v>0</v>
      </c>
      <c r="BE286" s="3298">
        <f t="shared" si="136"/>
        <v>0</v>
      </c>
      <c r="BF286" s="3298">
        <f t="shared" si="137"/>
        <v>0</v>
      </c>
      <c r="BG286" s="3298">
        <f t="shared" si="138"/>
        <v>0</v>
      </c>
      <c r="BH286" s="3298">
        <f t="shared" si="139"/>
        <v>0</v>
      </c>
      <c r="BI286" s="3298">
        <f t="shared" si="140"/>
        <v>0</v>
      </c>
      <c r="BJ286" s="3298">
        <f t="shared" si="141"/>
        <v>0</v>
      </c>
      <c r="BK286" s="3298">
        <f t="shared" si="142"/>
        <v>0</v>
      </c>
      <c r="BL286" s="3298">
        <f t="shared" si="143"/>
        <v>0</v>
      </c>
      <c r="BM286" s="3298">
        <f t="shared" si="144"/>
        <v>0</v>
      </c>
      <c r="BN286" s="3298">
        <f t="shared" si="145"/>
        <v>0</v>
      </c>
      <c r="BO286" s="3298">
        <f t="shared" si="146"/>
        <v>0</v>
      </c>
      <c r="BP286" s="3298">
        <f t="shared" si="147"/>
        <v>0</v>
      </c>
      <c r="BQ286" s="3298">
        <f t="shared" si="148"/>
        <v>0</v>
      </c>
      <c r="BR286" s="3298">
        <f t="shared" si="149"/>
        <v>0</v>
      </c>
      <c r="BS286" s="3298">
        <f t="shared" si="150"/>
        <v>0</v>
      </c>
      <c r="BT286" s="3350">
        <f t="shared" si="151"/>
        <v>0</v>
      </c>
    </row>
    <row r="287" spans="1:72">
      <c r="A287" s="1407"/>
      <c r="B287" s="3296"/>
      <c r="C287" s="3296"/>
      <c r="D287" s="3297"/>
      <c r="E287" s="3298">
        <f t="shared" si="123"/>
        <v>0</v>
      </c>
      <c r="F287" s="3299"/>
      <c r="G287" s="3300">
        <f t="shared" si="124"/>
        <v>0</v>
      </c>
      <c r="H287" s="3301">
        <f t="shared" si="125"/>
        <v>0</v>
      </c>
      <c r="I287" s="3308"/>
      <c r="J287" s="3308"/>
      <c r="K287" s="3308"/>
      <c r="L287" s="3308"/>
      <c r="M287" s="3308"/>
      <c r="N287" s="3308"/>
      <c r="O287" s="3308"/>
      <c r="P287" s="3308"/>
      <c r="Q287" s="3308"/>
      <c r="R287" s="3308"/>
      <c r="S287" s="3308"/>
      <c r="T287" s="3308"/>
      <c r="U287" s="3308"/>
      <c r="V287" s="3308"/>
      <c r="W287" s="3308"/>
      <c r="X287" s="3308"/>
      <c r="Y287" s="3308"/>
      <c r="Z287" s="3308"/>
      <c r="AA287" s="3308"/>
      <c r="AB287" s="3308"/>
      <c r="AC287" s="3298">
        <f t="shared" si="126"/>
        <v>0</v>
      </c>
      <c r="AD287" s="3318"/>
      <c r="AE287" s="3318"/>
      <c r="AF287" s="3318"/>
      <c r="AG287" s="3318"/>
      <c r="AH287" s="3318"/>
      <c r="AI287" s="3318"/>
      <c r="AJ287" s="3318"/>
      <c r="AK287" s="3318"/>
      <c r="AL287" s="3318"/>
      <c r="AM287" s="3318"/>
      <c r="AN287" s="3318"/>
      <c r="AO287" s="3318"/>
      <c r="AP287" s="3318"/>
      <c r="AQ287" s="3318"/>
      <c r="AR287" s="3318"/>
      <c r="AS287" s="3318"/>
      <c r="AT287" s="3328"/>
      <c r="AU287" s="3329"/>
      <c r="AV287" s="963">
        <f t="shared" si="127"/>
        <v>0</v>
      </c>
      <c r="AW287" s="963">
        <f t="shared" si="128"/>
        <v>0</v>
      </c>
      <c r="AX287" s="963">
        <f t="shared" si="129"/>
        <v>0</v>
      </c>
      <c r="AY287" s="3343">
        <f t="shared" si="130"/>
        <v>0</v>
      </c>
      <c r="AZ287" s="3298">
        <f t="shared" si="131"/>
        <v>0</v>
      </c>
      <c r="BA287" s="3298">
        <f t="shared" si="132"/>
        <v>0</v>
      </c>
      <c r="BB287" s="3298">
        <f t="shared" si="133"/>
        <v>0</v>
      </c>
      <c r="BC287" s="3298">
        <f t="shared" si="134"/>
        <v>0</v>
      </c>
      <c r="BD287" s="3298">
        <f t="shared" si="135"/>
        <v>0</v>
      </c>
      <c r="BE287" s="3298">
        <f t="shared" si="136"/>
        <v>0</v>
      </c>
      <c r="BF287" s="3298">
        <f t="shared" si="137"/>
        <v>0</v>
      </c>
      <c r="BG287" s="3298">
        <f t="shared" si="138"/>
        <v>0</v>
      </c>
      <c r="BH287" s="3298">
        <f t="shared" si="139"/>
        <v>0</v>
      </c>
      <c r="BI287" s="3298">
        <f t="shared" si="140"/>
        <v>0</v>
      </c>
      <c r="BJ287" s="3298">
        <f t="shared" si="141"/>
        <v>0</v>
      </c>
      <c r="BK287" s="3298">
        <f t="shared" si="142"/>
        <v>0</v>
      </c>
      <c r="BL287" s="3298">
        <f t="shared" si="143"/>
        <v>0</v>
      </c>
      <c r="BM287" s="3298">
        <f t="shared" si="144"/>
        <v>0</v>
      </c>
      <c r="BN287" s="3298">
        <f t="shared" si="145"/>
        <v>0</v>
      </c>
      <c r="BO287" s="3298">
        <f t="shared" si="146"/>
        <v>0</v>
      </c>
      <c r="BP287" s="3298">
        <f t="shared" si="147"/>
        <v>0</v>
      </c>
      <c r="BQ287" s="3298">
        <f t="shared" si="148"/>
        <v>0</v>
      </c>
      <c r="BR287" s="3298">
        <f t="shared" si="149"/>
        <v>0</v>
      </c>
      <c r="BS287" s="3298">
        <f t="shared" si="150"/>
        <v>0</v>
      </c>
      <c r="BT287" s="3350">
        <f t="shared" si="151"/>
        <v>0</v>
      </c>
    </row>
    <row r="288" spans="1:72">
      <c r="A288" s="1407"/>
      <c r="B288" s="3296"/>
      <c r="C288" s="3296"/>
      <c r="D288" s="3297"/>
      <c r="E288" s="3298">
        <f t="shared" si="123"/>
        <v>0</v>
      </c>
      <c r="F288" s="3299"/>
      <c r="G288" s="3300">
        <f t="shared" si="124"/>
        <v>0</v>
      </c>
      <c r="H288" s="3301">
        <f t="shared" si="125"/>
        <v>0</v>
      </c>
      <c r="I288" s="3308"/>
      <c r="J288" s="3308"/>
      <c r="K288" s="3308"/>
      <c r="L288" s="3308"/>
      <c r="M288" s="3308"/>
      <c r="N288" s="3308"/>
      <c r="O288" s="3308"/>
      <c r="P288" s="3308"/>
      <c r="Q288" s="3308"/>
      <c r="R288" s="3308"/>
      <c r="S288" s="3308"/>
      <c r="T288" s="3308"/>
      <c r="U288" s="3308"/>
      <c r="V288" s="3308"/>
      <c r="W288" s="3308"/>
      <c r="X288" s="3308"/>
      <c r="Y288" s="3308"/>
      <c r="Z288" s="3308"/>
      <c r="AA288" s="3308"/>
      <c r="AB288" s="3308"/>
      <c r="AC288" s="3298">
        <f t="shared" si="126"/>
        <v>0</v>
      </c>
      <c r="AD288" s="3318"/>
      <c r="AE288" s="3318"/>
      <c r="AF288" s="3318"/>
      <c r="AG288" s="3318"/>
      <c r="AH288" s="3318"/>
      <c r="AI288" s="3318"/>
      <c r="AJ288" s="3318"/>
      <c r="AK288" s="3318"/>
      <c r="AL288" s="3318"/>
      <c r="AM288" s="3318"/>
      <c r="AN288" s="3318"/>
      <c r="AO288" s="3318"/>
      <c r="AP288" s="3318"/>
      <c r="AQ288" s="3318"/>
      <c r="AR288" s="3318"/>
      <c r="AS288" s="3318"/>
      <c r="AT288" s="3328"/>
      <c r="AU288" s="3329"/>
      <c r="AV288" s="963">
        <f t="shared" si="127"/>
        <v>0</v>
      </c>
      <c r="AW288" s="963">
        <f t="shared" si="128"/>
        <v>0</v>
      </c>
      <c r="AX288" s="963">
        <f t="shared" si="129"/>
        <v>0</v>
      </c>
      <c r="AY288" s="3343">
        <f t="shared" si="130"/>
        <v>0</v>
      </c>
      <c r="AZ288" s="3298">
        <f t="shared" si="131"/>
        <v>0</v>
      </c>
      <c r="BA288" s="3298">
        <f t="shared" si="132"/>
        <v>0</v>
      </c>
      <c r="BB288" s="3298">
        <f t="shared" si="133"/>
        <v>0</v>
      </c>
      <c r="BC288" s="3298">
        <f t="shared" si="134"/>
        <v>0</v>
      </c>
      <c r="BD288" s="3298">
        <f t="shared" si="135"/>
        <v>0</v>
      </c>
      <c r="BE288" s="3298">
        <f t="shared" si="136"/>
        <v>0</v>
      </c>
      <c r="BF288" s="3298">
        <f t="shared" si="137"/>
        <v>0</v>
      </c>
      <c r="BG288" s="3298">
        <f t="shared" si="138"/>
        <v>0</v>
      </c>
      <c r="BH288" s="3298">
        <f t="shared" si="139"/>
        <v>0</v>
      </c>
      <c r="BI288" s="3298">
        <f t="shared" si="140"/>
        <v>0</v>
      </c>
      <c r="BJ288" s="3298">
        <f t="shared" si="141"/>
        <v>0</v>
      </c>
      <c r="BK288" s="3298">
        <f t="shared" si="142"/>
        <v>0</v>
      </c>
      <c r="BL288" s="3298">
        <f t="shared" si="143"/>
        <v>0</v>
      </c>
      <c r="BM288" s="3298">
        <f t="shared" si="144"/>
        <v>0</v>
      </c>
      <c r="BN288" s="3298">
        <f t="shared" si="145"/>
        <v>0</v>
      </c>
      <c r="BO288" s="3298">
        <f t="shared" si="146"/>
        <v>0</v>
      </c>
      <c r="BP288" s="3298">
        <f t="shared" si="147"/>
        <v>0</v>
      </c>
      <c r="BQ288" s="3298">
        <f t="shared" si="148"/>
        <v>0</v>
      </c>
      <c r="BR288" s="3298">
        <f t="shared" si="149"/>
        <v>0</v>
      </c>
      <c r="BS288" s="3298">
        <f t="shared" si="150"/>
        <v>0</v>
      </c>
      <c r="BT288" s="3350">
        <f t="shared" si="151"/>
        <v>0</v>
      </c>
    </row>
    <row r="289" spans="1:72">
      <c r="A289" s="1407"/>
      <c r="B289" s="3296"/>
      <c r="C289" s="3296"/>
      <c r="D289" s="3297"/>
      <c r="E289" s="3298">
        <f t="shared" si="123"/>
        <v>0</v>
      </c>
      <c r="F289" s="3299"/>
      <c r="G289" s="3300">
        <f t="shared" si="124"/>
        <v>0</v>
      </c>
      <c r="H289" s="3301">
        <f t="shared" si="125"/>
        <v>0</v>
      </c>
      <c r="I289" s="3308"/>
      <c r="J289" s="3308"/>
      <c r="K289" s="3308"/>
      <c r="L289" s="3308"/>
      <c r="M289" s="3308"/>
      <c r="N289" s="3308"/>
      <c r="O289" s="3308"/>
      <c r="P289" s="3308"/>
      <c r="Q289" s="3308"/>
      <c r="R289" s="3308"/>
      <c r="S289" s="3308"/>
      <c r="T289" s="3308"/>
      <c r="U289" s="3308"/>
      <c r="V289" s="3308"/>
      <c r="W289" s="3308"/>
      <c r="X289" s="3308"/>
      <c r="Y289" s="3308"/>
      <c r="Z289" s="3308"/>
      <c r="AA289" s="3308"/>
      <c r="AB289" s="3308"/>
      <c r="AC289" s="3298">
        <f t="shared" si="126"/>
        <v>0</v>
      </c>
      <c r="AD289" s="3318"/>
      <c r="AE289" s="3318"/>
      <c r="AF289" s="3318"/>
      <c r="AG289" s="3318"/>
      <c r="AH289" s="3318"/>
      <c r="AI289" s="3318"/>
      <c r="AJ289" s="3318"/>
      <c r="AK289" s="3318"/>
      <c r="AL289" s="3318"/>
      <c r="AM289" s="3318"/>
      <c r="AN289" s="3318"/>
      <c r="AO289" s="3318"/>
      <c r="AP289" s="3318"/>
      <c r="AQ289" s="3318"/>
      <c r="AR289" s="3318"/>
      <c r="AS289" s="3318"/>
      <c r="AT289" s="3328"/>
      <c r="AU289" s="3329"/>
      <c r="AV289" s="963">
        <f t="shared" si="127"/>
        <v>0</v>
      </c>
      <c r="AW289" s="963">
        <f t="shared" si="128"/>
        <v>0</v>
      </c>
      <c r="AX289" s="963">
        <f t="shared" si="129"/>
        <v>0</v>
      </c>
      <c r="AY289" s="3343">
        <f t="shared" si="130"/>
        <v>0</v>
      </c>
      <c r="AZ289" s="3298">
        <f t="shared" si="131"/>
        <v>0</v>
      </c>
      <c r="BA289" s="3298">
        <f t="shared" si="132"/>
        <v>0</v>
      </c>
      <c r="BB289" s="3298">
        <f t="shared" si="133"/>
        <v>0</v>
      </c>
      <c r="BC289" s="3298">
        <f t="shared" si="134"/>
        <v>0</v>
      </c>
      <c r="BD289" s="3298">
        <f t="shared" si="135"/>
        <v>0</v>
      </c>
      <c r="BE289" s="3298">
        <f t="shared" si="136"/>
        <v>0</v>
      </c>
      <c r="BF289" s="3298">
        <f t="shared" si="137"/>
        <v>0</v>
      </c>
      <c r="BG289" s="3298">
        <f t="shared" si="138"/>
        <v>0</v>
      </c>
      <c r="BH289" s="3298">
        <f t="shared" si="139"/>
        <v>0</v>
      </c>
      <c r="BI289" s="3298">
        <f t="shared" si="140"/>
        <v>0</v>
      </c>
      <c r="BJ289" s="3298">
        <f t="shared" si="141"/>
        <v>0</v>
      </c>
      <c r="BK289" s="3298">
        <f t="shared" si="142"/>
        <v>0</v>
      </c>
      <c r="BL289" s="3298">
        <f t="shared" si="143"/>
        <v>0</v>
      </c>
      <c r="BM289" s="3298">
        <f t="shared" si="144"/>
        <v>0</v>
      </c>
      <c r="BN289" s="3298">
        <f t="shared" si="145"/>
        <v>0</v>
      </c>
      <c r="BO289" s="3298">
        <f t="shared" si="146"/>
        <v>0</v>
      </c>
      <c r="BP289" s="3298">
        <f t="shared" si="147"/>
        <v>0</v>
      </c>
      <c r="BQ289" s="3298">
        <f t="shared" si="148"/>
        <v>0</v>
      </c>
      <c r="BR289" s="3298">
        <f t="shared" si="149"/>
        <v>0</v>
      </c>
      <c r="BS289" s="3298">
        <f t="shared" si="150"/>
        <v>0</v>
      </c>
      <c r="BT289" s="3350">
        <f t="shared" si="151"/>
        <v>0</v>
      </c>
    </row>
    <row r="290" spans="1:72">
      <c r="A290" s="1407"/>
      <c r="B290" s="3296"/>
      <c r="C290" s="3296"/>
      <c r="D290" s="3297"/>
      <c r="E290" s="3298">
        <f t="shared" si="123"/>
        <v>0</v>
      </c>
      <c r="F290" s="3299"/>
      <c r="G290" s="3300">
        <f t="shared" si="124"/>
        <v>0</v>
      </c>
      <c r="H290" s="3301">
        <f t="shared" si="125"/>
        <v>0</v>
      </c>
      <c r="I290" s="3308"/>
      <c r="J290" s="3308"/>
      <c r="K290" s="3308"/>
      <c r="L290" s="3308"/>
      <c r="M290" s="3308"/>
      <c r="N290" s="3308"/>
      <c r="O290" s="3308"/>
      <c r="P290" s="3308"/>
      <c r="Q290" s="3308"/>
      <c r="R290" s="3308"/>
      <c r="S290" s="3308"/>
      <c r="T290" s="3308"/>
      <c r="U290" s="3308"/>
      <c r="V290" s="3308"/>
      <c r="W290" s="3308"/>
      <c r="X290" s="3308"/>
      <c r="Y290" s="3308"/>
      <c r="Z290" s="3308"/>
      <c r="AA290" s="3308"/>
      <c r="AB290" s="3308"/>
      <c r="AC290" s="3298">
        <f t="shared" si="126"/>
        <v>0</v>
      </c>
      <c r="AD290" s="3318"/>
      <c r="AE290" s="3318"/>
      <c r="AF290" s="3318"/>
      <c r="AG290" s="3318"/>
      <c r="AH290" s="3318"/>
      <c r="AI290" s="3318"/>
      <c r="AJ290" s="3318"/>
      <c r="AK290" s="3318"/>
      <c r="AL290" s="3318"/>
      <c r="AM290" s="3318"/>
      <c r="AN290" s="3318"/>
      <c r="AO290" s="3318"/>
      <c r="AP290" s="3318"/>
      <c r="AQ290" s="3318"/>
      <c r="AR290" s="3318"/>
      <c r="AS290" s="3318"/>
      <c r="AT290" s="3328"/>
      <c r="AU290" s="3329"/>
      <c r="AV290" s="963">
        <f t="shared" si="127"/>
        <v>0</v>
      </c>
      <c r="AW290" s="963">
        <f t="shared" si="128"/>
        <v>0</v>
      </c>
      <c r="AX290" s="963">
        <f t="shared" si="129"/>
        <v>0</v>
      </c>
      <c r="AY290" s="3343">
        <f t="shared" si="130"/>
        <v>0</v>
      </c>
      <c r="AZ290" s="3298">
        <f t="shared" si="131"/>
        <v>0</v>
      </c>
      <c r="BA290" s="3298">
        <f t="shared" si="132"/>
        <v>0</v>
      </c>
      <c r="BB290" s="3298">
        <f t="shared" si="133"/>
        <v>0</v>
      </c>
      <c r="BC290" s="3298">
        <f t="shared" si="134"/>
        <v>0</v>
      </c>
      <c r="BD290" s="3298">
        <f t="shared" si="135"/>
        <v>0</v>
      </c>
      <c r="BE290" s="3298">
        <f t="shared" si="136"/>
        <v>0</v>
      </c>
      <c r="BF290" s="3298">
        <f t="shared" si="137"/>
        <v>0</v>
      </c>
      <c r="BG290" s="3298">
        <f t="shared" si="138"/>
        <v>0</v>
      </c>
      <c r="BH290" s="3298">
        <f t="shared" si="139"/>
        <v>0</v>
      </c>
      <c r="BI290" s="3298">
        <f t="shared" si="140"/>
        <v>0</v>
      </c>
      <c r="BJ290" s="3298">
        <f t="shared" si="141"/>
        <v>0</v>
      </c>
      <c r="BK290" s="3298">
        <f t="shared" si="142"/>
        <v>0</v>
      </c>
      <c r="BL290" s="3298">
        <f t="shared" si="143"/>
        <v>0</v>
      </c>
      <c r="BM290" s="3298">
        <f t="shared" si="144"/>
        <v>0</v>
      </c>
      <c r="BN290" s="3298">
        <f t="shared" si="145"/>
        <v>0</v>
      </c>
      <c r="BO290" s="3298">
        <f t="shared" si="146"/>
        <v>0</v>
      </c>
      <c r="BP290" s="3298">
        <f t="shared" si="147"/>
        <v>0</v>
      </c>
      <c r="BQ290" s="3298">
        <f t="shared" si="148"/>
        <v>0</v>
      </c>
      <c r="BR290" s="3298">
        <f t="shared" si="149"/>
        <v>0</v>
      </c>
      <c r="BS290" s="3298">
        <f t="shared" si="150"/>
        <v>0</v>
      </c>
      <c r="BT290" s="3350">
        <f t="shared" si="151"/>
        <v>0</v>
      </c>
    </row>
    <row r="291" spans="1:72">
      <c r="A291" s="1407"/>
      <c r="B291" s="3296"/>
      <c r="C291" s="3296"/>
      <c r="D291" s="3297"/>
      <c r="E291" s="3298">
        <f t="shared" si="123"/>
        <v>0</v>
      </c>
      <c r="F291" s="3299"/>
      <c r="G291" s="3300">
        <f t="shared" si="124"/>
        <v>0</v>
      </c>
      <c r="H291" s="3301">
        <f t="shared" si="125"/>
        <v>0</v>
      </c>
      <c r="I291" s="3308"/>
      <c r="J291" s="3308"/>
      <c r="K291" s="3308"/>
      <c r="L291" s="3308"/>
      <c r="M291" s="3308"/>
      <c r="N291" s="3308"/>
      <c r="O291" s="3308"/>
      <c r="P291" s="3308"/>
      <c r="Q291" s="3308"/>
      <c r="R291" s="3308"/>
      <c r="S291" s="3308"/>
      <c r="T291" s="3308"/>
      <c r="U291" s="3308"/>
      <c r="V291" s="3308"/>
      <c r="W291" s="3308"/>
      <c r="X291" s="3308"/>
      <c r="Y291" s="3308"/>
      <c r="Z291" s="3308"/>
      <c r="AA291" s="3308"/>
      <c r="AB291" s="3308"/>
      <c r="AC291" s="3298">
        <f t="shared" si="126"/>
        <v>0</v>
      </c>
      <c r="AD291" s="3318"/>
      <c r="AE291" s="3318"/>
      <c r="AF291" s="3318"/>
      <c r="AG291" s="3318"/>
      <c r="AH291" s="3318"/>
      <c r="AI291" s="3318"/>
      <c r="AJ291" s="3318"/>
      <c r="AK291" s="3318"/>
      <c r="AL291" s="3318"/>
      <c r="AM291" s="3318"/>
      <c r="AN291" s="3318"/>
      <c r="AO291" s="3318"/>
      <c r="AP291" s="3318"/>
      <c r="AQ291" s="3318"/>
      <c r="AR291" s="3318"/>
      <c r="AS291" s="3318"/>
      <c r="AT291" s="3328"/>
      <c r="AU291" s="3329"/>
      <c r="AV291" s="963">
        <f t="shared" si="127"/>
        <v>0</v>
      </c>
      <c r="AW291" s="963">
        <f t="shared" si="128"/>
        <v>0</v>
      </c>
      <c r="AX291" s="963">
        <f t="shared" si="129"/>
        <v>0</v>
      </c>
      <c r="AY291" s="3343">
        <f t="shared" si="130"/>
        <v>0</v>
      </c>
      <c r="AZ291" s="3298">
        <f t="shared" si="131"/>
        <v>0</v>
      </c>
      <c r="BA291" s="3298">
        <f t="shared" si="132"/>
        <v>0</v>
      </c>
      <c r="BB291" s="3298">
        <f t="shared" si="133"/>
        <v>0</v>
      </c>
      <c r="BC291" s="3298">
        <f t="shared" si="134"/>
        <v>0</v>
      </c>
      <c r="BD291" s="3298">
        <f t="shared" si="135"/>
        <v>0</v>
      </c>
      <c r="BE291" s="3298">
        <f t="shared" si="136"/>
        <v>0</v>
      </c>
      <c r="BF291" s="3298">
        <f t="shared" si="137"/>
        <v>0</v>
      </c>
      <c r="BG291" s="3298">
        <f t="shared" si="138"/>
        <v>0</v>
      </c>
      <c r="BH291" s="3298">
        <f t="shared" si="139"/>
        <v>0</v>
      </c>
      <c r="BI291" s="3298">
        <f t="shared" si="140"/>
        <v>0</v>
      </c>
      <c r="BJ291" s="3298">
        <f t="shared" si="141"/>
        <v>0</v>
      </c>
      <c r="BK291" s="3298">
        <f t="shared" si="142"/>
        <v>0</v>
      </c>
      <c r="BL291" s="3298">
        <f t="shared" si="143"/>
        <v>0</v>
      </c>
      <c r="BM291" s="3298">
        <f t="shared" si="144"/>
        <v>0</v>
      </c>
      <c r="BN291" s="3298">
        <f t="shared" si="145"/>
        <v>0</v>
      </c>
      <c r="BO291" s="3298">
        <f t="shared" si="146"/>
        <v>0</v>
      </c>
      <c r="BP291" s="3298">
        <f t="shared" si="147"/>
        <v>0</v>
      </c>
      <c r="BQ291" s="3298">
        <f t="shared" si="148"/>
        <v>0</v>
      </c>
      <c r="BR291" s="3298">
        <f t="shared" si="149"/>
        <v>0</v>
      </c>
      <c r="BS291" s="3298">
        <f t="shared" si="150"/>
        <v>0</v>
      </c>
      <c r="BT291" s="3350">
        <f t="shared" si="151"/>
        <v>0</v>
      </c>
    </row>
    <row r="292" spans="1:72">
      <c r="A292" s="1407"/>
      <c r="B292" s="3296"/>
      <c r="C292" s="3296"/>
      <c r="D292" s="3297"/>
      <c r="E292" s="3298">
        <f t="shared" si="123"/>
        <v>0</v>
      </c>
      <c r="F292" s="3299"/>
      <c r="G292" s="3300">
        <f t="shared" si="124"/>
        <v>0</v>
      </c>
      <c r="H292" s="3301">
        <f t="shared" si="125"/>
        <v>0</v>
      </c>
      <c r="I292" s="3308"/>
      <c r="J292" s="3308"/>
      <c r="K292" s="3308"/>
      <c r="L292" s="3308"/>
      <c r="M292" s="3308"/>
      <c r="N292" s="3308"/>
      <c r="O292" s="3308"/>
      <c r="P292" s="3308"/>
      <c r="Q292" s="3308"/>
      <c r="R292" s="3308"/>
      <c r="S292" s="3308"/>
      <c r="T292" s="3308"/>
      <c r="U292" s="3308"/>
      <c r="V292" s="3308"/>
      <c r="W292" s="3308"/>
      <c r="X292" s="3308"/>
      <c r="Y292" s="3308"/>
      <c r="Z292" s="3308"/>
      <c r="AA292" s="3308"/>
      <c r="AB292" s="3308"/>
      <c r="AC292" s="3298">
        <f t="shared" si="126"/>
        <v>0</v>
      </c>
      <c r="AD292" s="3318"/>
      <c r="AE292" s="3318"/>
      <c r="AF292" s="3318"/>
      <c r="AG292" s="3318"/>
      <c r="AH292" s="3318"/>
      <c r="AI292" s="3318"/>
      <c r="AJ292" s="3318"/>
      <c r="AK292" s="3318"/>
      <c r="AL292" s="3318"/>
      <c r="AM292" s="3318"/>
      <c r="AN292" s="3318"/>
      <c r="AO292" s="3318"/>
      <c r="AP292" s="3318"/>
      <c r="AQ292" s="3318"/>
      <c r="AR292" s="3318"/>
      <c r="AS292" s="3318"/>
      <c r="AT292" s="3328"/>
      <c r="AU292" s="3329"/>
      <c r="AV292" s="963">
        <f t="shared" si="127"/>
        <v>0</v>
      </c>
      <c r="AW292" s="963">
        <f t="shared" si="128"/>
        <v>0</v>
      </c>
      <c r="AX292" s="963">
        <f t="shared" si="129"/>
        <v>0</v>
      </c>
      <c r="AY292" s="3343">
        <f t="shared" si="130"/>
        <v>0</v>
      </c>
      <c r="AZ292" s="3298">
        <f t="shared" si="131"/>
        <v>0</v>
      </c>
      <c r="BA292" s="3298">
        <f t="shared" si="132"/>
        <v>0</v>
      </c>
      <c r="BB292" s="3298">
        <f t="shared" si="133"/>
        <v>0</v>
      </c>
      <c r="BC292" s="3298">
        <f t="shared" si="134"/>
        <v>0</v>
      </c>
      <c r="BD292" s="3298">
        <f t="shared" si="135"/>
        <v>0</v>
      </c>
      <c r="BE292" s="3298">
        <f t="shared" si="136"/>
        <v>0</v>
      </c>
      <c r="BF292" s="3298">
        <f t="shared" si="137"/>
        <v>0</v>
      </c>
      <c r="BG292" s="3298">
        <f t="shared" si="138"/>
        <v>0</v>
      </c>
      <c r="BH292" s="3298">
        <f t="shared" si="139"/>
        <v>0</v>
      </c>
      <c r="BI292" s="3298">
        <f t="shared" si="140"/>
        <v>0</v>
      </c>
      <c r="BJ292" s="3298">
        <f t="shared" si="141"/>
        <v>0</v>
      </c>
      <c r="BK292" s="3298">
        <f t="shared" si="142"/>
        <v>0</v>
      </c>
      <c r="BL292" s="3298">
        <f t="shared" si="143"/>
        <v>0</v>
      </c>
      <c r="BM292" s="3298">
        <f t="shared" si="144"/>
        <v>0</v>
      </c>
      <c r="BN292" s="3298">
        <f t="shared" si="145"/>
        <v>0</v>
      </c>
      <c r="BO292" s="3298">
        <f t="shared" si="146"/>
        <v>0</v>
      </c>
      <c r="BP292" s="3298">
        <f t="shared" si="147"/>
        <v>0</v>
      </c>
      <c r="BQ292" s="3298">
        <f t="shared" si="148"/>
        <v>0</v>
      </c>
      <c r="BR292" s="3298">
        <f t="shared" si="149"/>
        <v>0</v>
      </c>
      <c r="BS292" s="3298">
        <f t="shared" si="150"/>
        <v>0</v>
      </c>
      <c r="BT292" s="3350">
        <f t="shared" si="151"/>
        <v>0</v>
      </c>
    </row>
    <row r="293" spans="1:72">
      <c r="A293" s="1407"/>
      <c r="B293" s="3296"/>
      <c r="C293" s="3296"/>
      <c r="D293" s="3297"/>
      <c r="E293" s="3298">
        <f t="shared" si="123"/>
        <v>0</v>
      </c>
      <c r="F293" s="3299"/>
      <c r="G293" s="3300">
        <f t="shared" si="124"/>
        <v>0</v>
      </c>
      <c r="H293" s="3301">
        <f t="shared" si="125"/>
        <v>0</v>
      </c>
      <c r="I293" s="3308"/>
      <c r="J293" s="3308"/>
      <c r="K293" s="3308"/>
      <c r="L293" s="3308"/>
      <c r="M293" s="3308"/>
      <c r="N293" s="3308"/>
      <c r="O293" s="3308"/>
      <c r="P293" s="3308"/>
      <c r="Q293" s="3308"/>
      <c r="R293" s="3308"/>
      <c r="S293" s="3308"/>
      <c r="T293" s="3308"/>
      <c r="U293" s="3308"/>
      <c r="V293" s="3308"/>
      <c r="W293" s="3308"/>
      <c r="X293" s="3308"/>
      <c r="Y293" s="3308"/>
      <c r="Z293" s="3308"/>
      <c r="AA293" s="3308"/>
      <c r="AB293" s="3308"/>
      <c r="AC293" s="3298">
        <f t="shared" si="126"/>
        <v>0</v>
      </c>
      <c r="AD293" s="3318"/>
      <c r="AE293" s="3318"/>
      <c r="AF293" s="3318"/>
      <c r="AG293" s="3318"/>
      <c r="AH293" s="3318"/>
      <c r="AI293" s="3318"/>
      <c r="AJ293" s="3318"/>
      <c r="AK293" s="3318"/>
      <c r="AL293" s="3318"/>
      <c r="AM293" s="3318"/>
      <c r="AN293" s="3318"/>
      <c r="AO293" s="3318"/>
      <c r="AP293" s="3318"/>
      <c r="AQ293" s="3318"/>
      <c r="AR293" s="3318"/>
      <c r="AS293" s="3318"/>
      <c r="AT293" s="3328"/>
      <c r="AU293" s="3329"/>
      <c r="AV293" s="963">
        <f t="shared" si="127"/>
        <v>0</v>
      </c>
      <c r="AW293" s="963">
        <f t="shared" si="128"/>
        <v>0</v>
      </c>
      <c r="AX293" s="963">
        <f t="shared" si="129"/>
        <v>0</v>
      </c>
      <c r="AY293" s="3343">
        <f t="shared" si="130"/>
        <v>0</v>
      </c>
      <c r="AZ293" s="3298">
        <f t="shared" si="131"/>
        <v>0</v>
      </c>
      <c r="BA293" s="3298">
        <f t="shared" si="132"/>
        <v>0</v>
      </c>
      <c r="BB293" s="3298">
        <f t="shared" si="133"/>
        <v>0</v>
      </c>
      <c r="BC293" s="3298">
        <f t="shared" si="134"/>
        <v>0</v>
      </c>
      <c r="BD293" s="3298">
        <f t="shared" si="135"/>
        <v>0</v>
      </c>
      <c r="BE293" s="3298">
        <f t="shared" si="136"/>
        <v>0</v>
      </c>
      <c r="BF293" s="3298">
        <f t="shared" si="137"/>
        <v>0</v>
      </c>
      <c r="BG293" s="3298">
        <f t="shared" si="138"/>
        <v>0</v>
      </c>
      <c r="BH293" s="3298">
        <f t="shared" si="139"/>
        <v>0</v>
      </c>
      <c r="BI293" s="3298">
        <f t="shared" si="140"/>
        <v>0</v>
      </c>
      <c r="BJ293" s="3298">
        <f t="shared" si="141"/>
        <v>0</v>
      </c>
      <c r="BK293" s="3298">
        <f t="shared" si="142"/>
        <v>0</v>
      </c>
      <c r="BL293" s="3298">
        <f t="shared" si="143"/>
        <v>0</v>
      </c>
      <c r="BM293" s="3298">
        <f t="shared" si="144"/>
        <v>0</v>
      </c>
      <c r="BN293" s="3298">
        <f t="shared" si="145"/>
        <v>0</v>
      </c>
      <c r="BO293" s="3298">
        <f t="shared" si="146"/>
        <v>0</v>
      </c>
      <c r="BP293" s="3298">
        <f t="shared" si="147"/>
        <v>0</v>
      </c>
      <c r="BQ293" s="3298">
        <f t="shared" si="148"/>
        <v>0</v>
      </c>
      <c r="BR293" s="3298">
        <f t="shared" si="149"/>
        <v>0</v>
      </c>
      <c r="BS293" s="3298">
        <f t="shared" si="150"/>
        <v>0</v>
      </c>
      <c r="BT293" s="3350">
        <f t="shared" si="151"/>
        <v>0</v>
      </c>
    </row>
    <row r="294" spans="1:72">
      <c r="A294" s="1407"/>
      <c r="B294" s="3296"/>
      <c r="C294" s="3296"/>
      <c r="D294" s="3297"/>
      <c r="E294" s="3298">
        <f t="shared" si="123"/>
        <v>0</v>
      </c>
      <c r="F294" s="3299"/>
      <c r="G294" s="3300">
        <f t="shared" si="124"/>
        <v>0</v>
      </c>
      <c r="H294" s="3301">
        <f t="shared" si="125"/>
        <v>0</v>
      </c>
      <c r="I294" s="3308"/>
      <c r="J294" s="3308"/>
      <c r="K294" s="3308"/>
      <c r="L294" s="3308"/>
      <c r="M294" s="3308"/>
      <c r="N294" s="3308"/>
      <c r="O294" s="3308"/>
      <c r="P294" s="3308"/>
      <c r="Q294" s="3308"/>
      <c r="R294" s="3308"/>
      <c r="S294" s="3308"/>
      <c r="T294" s="3308"/>
      <c r="U294" s="3308"/>
      <c r="V294" s="3308"/>
      <c r="W294" s="3308"/>
      <c r="X294" s="3308"/>
      <c r="Y294" s="3308"/>
      <c r="Z294" s="3308"/>
      <c r="AA294" s="3308"/>
      <c r="AB294" s="3308"/>
      <c r="AC294" s="3298">
        <f t="shared" si="126"/>
        <v>0</v>
      </c>
      <c r="AD294" s="3318"/>
      <c r="AE294" s="3318"/>
      <c r="AF294" s="3318"/>
      <c r="AG294" s="3318"/>
      <c r="AH294" s="3318"/>
      <c r="AI294" s="3318"/>
      <c r="AJ294" s="3318"/>
      <c r="AK294" s="3318"/>
      <c r="AL294" s="3318"/>
      <c r="AM294" s="3318"/>
      <c r="AN294" s="3318"/>
      <c r="AO294" s="3318"/>
      <c r="AP294" s="3318"/>
      <c r="AQ294" s="3318"/>
      <c r="AR294" s="3318"/>
      <c r="AS294" s="3318"/>
      <c r="AT294" s="3328"/>
      <c r="AU294" s="3329"/>
      <c r="AV294" s="963">
        <f t="shared" si="127"/>
        <v>0</v>
      </c>
      <c r="AW294" s="963">
        <f t="shared" si="128"/>
        <v>0</v>
      </c>
      <c r="AX294" s="963">
        <f t="shared" si="129"/>
        <v>0</v>
      </c>
      <c r="AY294" s="3343">
        <f t="shared" si="130"/>
        <v>0</v>
      </c>
      <c r="AZ294" s="3298">
        <f t="shared" si="131"/>
        <v>0</v>
      </c>
      <c r="BA294" s="3298">
        <f t="shared" si="132"/>
        <v>0</v>
      </c>
      <c r="BB294" s="3298">
        <f t="shared" si="133"/>
        <v>0</v>
      </c>
      <c r="BC294" s="3298">
        <f t="shared" si="134"/>
        <v>0</v>
      </c>
      <c r="BD294" s="3298">
        <f t="shared" si="135"/>
        <v>0</v>
      </c>
      <c r="BE294" s="3298">
        <f t="shared" si="136"/>
        <v>0</v>
      </c>
      <c r="BF294" s="3298">
        <f t="shared" si="137"/>
        <v>0</v>
      </c>
      <c r="BG294" s="3298">
        <f t="shared" si="138"/>
        <v>0</v>
      </c>
      <c r="BH294" s="3298">
        <f t="shared" si="139"/>
        <v>0</v>
      </c>
      <c r="BI294" s="3298">
        <f t="shared" si="140"/>
        <v>0</v>
      </c>
      <c r="BJ294" s="3298">
        <f t="shared" si="141"/>
        <v>0</v>
      </c>
      <c r="BK294" s="3298">
        <f t="shared" si="142"/>
        <v>0</v>
      </c>
      <c r="BL294" s="3298">
        <f t="shared" si="143"/>
        <v>0</v>
      </c>
      <c r="BM294" s="3298">
        <f t="shared" si="144"/>
        <v>0</v>
      </c>
      <c r="BN294" s="3298">
        <f t="shared" si="145"/>
        <v>0</v>
      </c>
      <c r="BO294" s="3298">
        <f t="shared" si="146"/>
        <v>0</v>
      </c>
      <c r="BP294" s="3298">
        <f t="shared" si="147"/>
        <v>0</v>
      </c>
      <c r="BQ294" s="3298">
        <f t="shared" si="148"/>
        <v>0</v>
      </c>
      <c r="BR294" s="3298">
        <f t="shared" si="149"/>
        <v>0</v>
      </c>
      <c r="BS294" s="3298">
        <f t="shared" si="150"/>
        <v>0</v>
      </c>
      <c r="BT294" s="3350">
        <f t="shared" si="151"/>
        <v>0</v>
      </c>
    </row>
    <row r="295" spans="1:72">
      <c r="A295" s="1407"/>
      <c r="B295" s="3296"/>
      <c r="C295" s="3296"/>
      <c r="D295" s="3297"/>
      <c r="E295" s="3298">
        <f t="shared" si="123"/>
        <v>0</v>
      </c>
      <c r="F295" s="3299"/>
      <c r="G295" s="3300">
        <f t="shared" si="124"/>
        <v>0</v>
      </c>
      <c r="H295" s="3301">
        <f t="shared" si="125"/>
        <v>0</v>
      </c>
      <c r="I295" s="3308"/>
      <c r="J295" s="3308"/>
      <c r="K295" s="3308"/>
      <c r="L295" s="3308"/>
      <c r="M295" s="3308"/>
      <c r="N295" s="3308"/>
      <c r="O295" s="3308"/>
      <c r="P295" s="3308"/>
      <c r="Q295" s="3308"/>
      <c r="R295" s="3308"/>
      <c r="S295" s="3308"/>
      <c r="T295" s="3308"/>
      <c r="U295" s="3308"/>
      <c r="V295" s="3308"/>
      <c r="W295" s="3308"/>
      <c r="X295" s="3308"/>
      <c r="Y295" s="3308"/>
      <c r="Z295" s="3308"/>
      <c r="AA295" s="3308"/>
      <c r="AB295" s="3308"/>
      <c r="AC295" s="3298">
        <f t="shared" si="126"/>
        <v>0</v>
      </c>
      <c r="AD295" s="3318"/>
      <c r="AE295" s="3318"/>
      <c r="AF295" s="3318"/>
      <c r="AG295" s="3318"/>
      <c r="AH295" s="3318"/>
      <c r="AI295" s="3318"/>
      <c r="AJ295" s="3318"/>
      <c r="AK295" s="3318"/>
      <c r="AL295" s="3318"/>
      <c r="AM295" s="3318"/>
      <c r="AN295" s="3318"/>
      <c r="AO295" s="3318"/>
      <c r="AP295" s="3318"/>
      <c r="AQ295" s="3318"/>
      <c r="AR295" s="3318"/>
      <c r="AS295" s="3318"/>
      <c r="AT295" s="3328"/>
      <c r="AU295" s="3329"/>
      <c r="AV295" s="963">
        <f t="shared" si="127"/>
        <v>0</v>
      </c>
      <c r="AW295" s="963">
        <f t="shared" si="128"/>
        <v>0</v>
      </c>
      <c r="AX295" s="963">
        <f t="shared" si="129"/>
        <v>0</v>
      </c>
      <c r="AY295" s="3343">
        <f t="shared" si="130"/>
        <v>0</v>
      </c>
      <c r="AZ295" s="3298">
        <f t="shared" si="131"/>
        <v>0</v>
      </c>
      <c r="BA295" s="3298">
        <f t="shared" si="132"/>
        <v>0</v>
      </c>
      <c r="BB295" s="3298">
        <f t="shared" si="133"/>
        <v>0</v>
      </c>
      <c r="BC295" s="3298">
        <f t="shared" si="134"/>
        <v>0</v>
      </c>
      <c r="BD295" s="3298">
        <f t="shared" si="135"/>
        <v>0</v>
      </c>
      <c r="BE295" s="3298">
        <f t="shared" si="136"/>
        <v>0</v>
      </c>
      <c r="BF295" s="3298">
        <f t="shared" si="137"/>
        <v>0</v>
      </c>
      <c r="BG295" s="3298">
        <f t="shared" si="138"/>
        <v>0</v>
      </c>
      <c r="BH295" s="3298">
        <f t="shared" si="139"/>
        <v>0</v>
      </c>
      <c r="BI295" s="3298">
        <f t="shared" si="140"/>
        <v>0</v>
      </c>
      <c r="BJ295" s="3298">
        <f t="shared" si="141"/>
        <v>0</v>
      </c>
      <c r="BK295" s="3298">
        <f t="shared" si="142"/>
        <v>0</v>
      </c>
      <c r="BL295" s="3298">
        <f t="shared" si="143"/>
        <v>0</v>
      </c>
      <c r="BM295" s="3298">
        <f t="shared" si="144"/>
        <v>0</v>
      </c>
      <c r="BN295" s="3298">
        <f t="shared" si="145"/>
        <v>0</v>
      </c>
      <c r="BO295" s="3298">
        <f t="shared" si="146"/>
        <v>0</v>
      </c>
      <c r="BP295" s="3298">
        <f t="shared" si="147"/>
        <v>0</v>
      </c>
      <c r="BQ295" s="3298">
        <f t="shared" si="148"/>
        <v>0</v>
      </c>
      <c r="BR295" s="3298">
        <f t="shared" si="149"/>
        <v>0</v>
      </c>
      <c r="BS295" s="3298">
        <f t="shared" si="150"/>
        <v>0</v>
      </c>
      <c r="BT295" s="3350">
        <f t="shared" si="151"/>
        <v>0</v>
      </c>
    </row>
    <row r="296" spans="1:72">
      <c r="A296" s="1407"/>
      <c r="B296" s="3296"/>
      <c r="C296" s="3296"/>
      <c r="D296" s="3297"/>
      <c r="E296" s="3298">
        <f t="shared" si="123"/>
        <v>0</v>
      </c>
      <c r="F296" s="3299"/>
      <c r="G296" s="3300">
        <f t="shared" si="124"/>
        <v>0</v>
      </c>
      <c r="H296" s="3301">
        <f t="shared" si="125"/>
        <v>0</v>
      </c>
      <c r="I296" s="3308"/>
      <c r="J296" s="3308"/>
      <c r="K296" s="3308"/>
      <c r="L296" s="3308"/>
      <c r="M296" s="3308"/>
      <c r="N296" s="3308"/>
      <c r="O296" s="3308"/>
      <c r="P296" s="3308"/>
      <c r="Q296" s="3308"/>
      <c r="R296" s="3308"/>
      <c r="S296" s="3308"/>
      <c r="T296" s="3308"/>
      <c r="U296" s="3308"/>
      <c r="V296" s="3308"/>
      <c r="W296" s="3308"/>
      <c r="X296" s="3308"/>
      <c r="Y296" s="3308"/>
      <c r="Z296" s="3308"/>
      <c r="AA296" s="3308"/>
      <c r="AB296" s="3308"/>
      <c r="AC296" s="3298">
        <f t="shared" si="126"/>
        <v>0</v>
      </c>
      <c r="AD296" s="3318"/>
      <c r="AE296" s="3318"/>
      <c r="AF296" s="3318"/>
      <c r="AG296" s="3318"/>
      <c r="AH296" s="3318"/>
      <c r="AI296" s="3318"/>
      <c r="AJ296" s="3318"/>
      <c r="AK296" s="3318"/>
      <c r="AL296" s="3318"/>
      <c r="AM296" s="3318"/>
      <c r="AN296" s="3318"/>
      <c r="AO296" s="3318"/>
      <c r="AP296" s="3318"/>
      <c r="AQ296" s="3318"/>
      <c r="AR296" s="3318"/>
      <c r="AS296" s="3318"/>
      <c r="AT296" s="3328"/>
      <c r="AU296" s="3329"/>
      <c r="AV296" s="963">
        <f t="shared" si="127"/>
        <v>0</v>
      </c>
      <c r="AW296" s="963">
        <f t="shared" si="128"/>
        <v>0</v>
      </c>
      <c r="AX296" s="963">
        <f t="shared" si="129"/>
        <v>0</v>
      </c>
      <c r="AY296" s="3343">
        <f t="shared" si="130"/>
        <v>0</v>
      </c>
      <c r="AZ296" s="3298">
        <f t="shared" si="131"/>
        <v>0</v>
      </c>
      <c r="BA296" s="3298">
        <f t="shared" si="132"/>
        <v>0</v>
      </c>
      <c r="BB296" s="3298">
        <f t="shared" si="133"/>
        <v>0</v>
      </c>
      <c r="BC296" s="3298">
        <f t="shared" si="134"/>
        <v>0</v>
      </c>
      <c r="BD296" s="3298">
        <f t="shared" si="135"/>
        <v>0</v>
      </c>
      <c r="BE296" s="3298">
        <f t="shared" si="136"/>
        <v>0</v>
      </c>
      <c r="BF296" s="3298">
        <f t="shared" si="137"/>
        <v>0</v>
      </c>
      <c r="BG296" s="3298">
        <f t="shared" si="138"/>
        <v>0</v>
      </c>
      <c r="BH296" s="3298">
        <f t="shared" si="139"/>
        <v>0</v>
      </c>
      <c r="BI296" s="3298">
        <f t="shared" si="140"/>
        <v>0</v>
      </c>
      <c r="BJ296" s="3298">
        <f t="shared" si="141"/>
        <v>0</v>
      </c>
      <c r="BK296" s="3298">
        <f t="shared" si="142"/>
        <v>0</v>
      </c>
      <c r="BL296" s="3298">
        <f t="shared" si="143"/>
        <v>0</v>
      </c>
      <c r="BM296" s="3298">
        <f t="shared" si="144"/>
        <v>0</v>
      </c>
      <c r="BN296" s="3298">
        <f t="shared" si="145"/>
        <v>0</v>
      </c>
      <c r="BO296" s="3298">
        <f t="shared" si="146"/>
        <v>0</v>
      </c>
      <c r="BP296" s="3298">
        <f t="shared" si="147"/>
        <v>0</v>
      </c>
      <c r="BQ296" s="3298">
        <f t="shared" si="148"/>
        <v>0</v>
      </c>
      <c r="BR296" s="3298">
        <f t="shared" si="149"/>
        <v>0</v>
      </c>
      <c r="BS296" s="3298">
        <f t="shared" si="150"/>
        <v>0</v>
      </c>
      <c r="BT296" s="3350">
        <f t="shared" si="151"/>
        <v>0</v>
      </c>
    </row>
    <row r="297" spans="1:72">
      <c r="A297" s="1407"/>
      <c r="B297" s="3296"/>
      <c r="C297" s="3296"/>
      <c r="D297" s="3297"/>
      <c r="E297" s="3298">
        <f t="shared" si="123"/>
        <v>0</v>
      </c>
      <c r="F297" s="3299"/>
      <c r="G297" s="3300">
        <f t="shared" si="124"/>
        <v>0</v>
      </c>
      <c r="H297" s="3301">
        <f t="shared" si="125"/>
        <v>0</v>
      </c>
      <c r="I297" s="3308"/>
      <c r="J297" s="3308"/>
      <c r="K297" s="3308"/>
      <c r="L297" s="3308"/>
      <c r="M297" s="3308"/>
      <c r="N297" s="3308"/>
      <c r="O297" s="3308"/>
      <c r="P297" s="3308"/>
      <c r="Q297" s="3308"/>
      <c r="R297" s="3308"/>
      <c r="S297" s="3308"/>
      <c r="T297" s="3308"/>
      <c r="U297" s="3308"/>
      <c r="V297" s="3308"/>
      <c r="W297" s="3308"/>
      <c r="X297" s="3308"/>
      <c r="Y297" s="3308"/>
      <c r="Z297" s="3308"/>
      <c r="AA297" s="3308"/>
      <c r="AB297" s="3308"/>
      <c r="AC297" s="3298">
        <f t="shared" si="126"/>
        <v>0</v>
      </c>
      <c r="AD297" s="3318"/>
      <c r="AE297" s="3318"/>
      <c r="AF297" s="3318"/>
      <c r="AG297" s="3318"/>
      <c r="AH297" s="3318"/>
      <c r="AI297" s="3318"/>
      <c r="AJ297" s="3318"/>
      <c r="AK297" s="3318"/>
      <c r="AL297" s="3318"/>
      <c r="AM297" s="3318"/>
      <c r="AN297" s="3318"/>
      <c r="AO297" s="3318"/>
      <c r="AP297" s="3318"/>
      <c r="AQ297" s="3318"/>
      <c r="AR297" s="3318"/>
      <c r="AS297" s="3318"/>
      <c r="AT297" s="3328"/>
      <c r="AU297" s="3329"/>
      <c r="AV297" s="963">
        <f t="shared" si="127"/>
        <v>0</v>
      </c>
      <c r="AW297" s="963">
        <f t="shared" si="128"/>
        <v>0</v>
      </c>
      <c r="AX297" s="963">
        <f t="shared" si="129"/>
        <v>0</v>
      </c>
      <c r="AY297" s="3343">
        <f t="shared" si="130"/>
        <v>0</v>
      </c>
      <c r="AZ297" s="3298">
        <f t="shared" si="131"/>
        <v>0</v>
      </c>
      <c r="BA297" s="3298">
        <f t="shared" si="132"/>
        <v>0</v>
      </c>
      <c r="BB297" s="3298">
        <f t="shared" si="133"/>
        <v>0</v>
      </c>
      <c r="BC297" s="3298">
        <f t="shared" si="134"/>
        <v>0</v>
      </c>
      <c r="BD297" s="3298">
        <f t="shared" si="135"/>
        <v>0</v>
      </c>
      <c r="BE297" s="3298">
        <f t="shared" si="136"/>
        <v>0</v>
      </c>
      <c r="BF297" s="3298">
        <f t="shared" si="137"/>
        <v>0</v>
      </c>
      <c r="BG297" s="3298">
        <f t="shared" si="138"/>
        <v>0</v>
      </c>
      <c r="BH297" s="3298">
        <f t="shared" si="139"/>
        <v>0</v>
      </c>
      <c r="BI297" s="3298">
        <f t="shared" si="140"/>
        <v>0</v>
      </c>
      <c r="BJ297" s="3298">
        <f t="shared" si="141"/>
        <v>0</v>
      </c>
      <c r="BK297" s="3298">
        <f t="shared" si="142"/>
        <v>0</v>
      </c>
      <c r="BL297" s="3298">
        <f t="shared" si="143"/>
        <v>0</v>
      </c>
      <c r="BM297" s="3298">
        <f t="shared" si="144"/>
        <v>0</v>
      </c>
      <c r="BN297" s="3298">
        <f t="shared" si="145"/>
        <v>0</v>
      </c>
      <c r="BO297" s="3298">
        <f t="shared" si="146"/>
        <v>0</v>
      </c>
      <c r="BP297" s="3298">
        <f t="shared" si="147"/>
        <v>0</v>
      </c>
      <c r="BQ297" s="3298">
        <f t="shared" si="148"/>
        <v>0</v>
      </c>
      <c r="BR297" s="3298">
        <f t="shared" si="149"/>
        <v>0</v>
      </c>
      <c r="BS297" s="3298">
        <f t="shared" si="150"/>
        <v>0</v>
      </c>
      <c r="BT297" s="3350">
        <f t="shared" si="151"/>
        <v>0</v>
      </c>
    </row>
    <row r="298" spans="1:72">
      <c r="A298" s="1407"/>
      <c r="B298" s="3296"/>
      <c r="C298" s="3296"/>
      <c r="D298" s="3297"/>
      <c r="E298" s="3298">
        <f t="shared" si="123"/>
        <v>0</v>
      </c>
      <c r="F298" s="3299"/>
      <c r="G298" s="3300">
        <f t="shared" si="124"/>
        <v>0</v>
      </c>
      <c r="H298" s="3301">
        <f t="shared" si="125"/>
        <v>0</v>
      </c>
      <c r="I298" s="3308"/>
      <c r="J298" s="3308"/>
      <c r="K298" s="3308"/>
      <c r="L298" s="3308"/>
      <c r="M298" s="3308"/>
      <c r="N298" s="3308"/>
      <c r="O298" s="3308"/>
      <c r="P298" s="3308"/>
      <c r="Q298" s="3308"/>
      <c r="R298" s="3308"/>
      <c r="S298" s="3308"/>
      <c r="T298" s="3308"/>
      <c r="U298" s="3308"/>
      <c r="V298" s="3308"/>
      <c r="W298" s="3308"/>
      <c r="X298" s="3308"/>
      <c r="Y298" s="3308"/>
      <c r="Z298" s="3308"/>
      <c r="AA298" s="3308"/>
      <c r="AB298" s="3308"/>
      <c r="AC298" s="3298">
        <f t="shared" si="126"/>
        <v>0</v>
      </c>
      <c r="AD298" s="3318"/>
      <c r="AE298" s="3318"/>
      <c r="AF298" s="3318"/>
      <c r="AG298" s="3318"/>
      <c r="AH298" s="3318"/>
      <c r="AI298" s="3318"/>
      <c r="AJ298" s="3318"/>
      <c r="AK298" s="3318"/>
      <c r="AL298" s="3318"/>
      <c r="AM298" s="3318"/>
      <c r="AN298" s="3318"/>
      <c r="AO298" s="3318"/>
      <c r="AP298" s="3318"/>
      <c r="AQ298" s="3318"/>
      <c r="AR298" s="3318"/>
      <c r="AS298" s="3318"/>
      <c r="AT298" s="3328"/>
      <c r="AU298" s="3329"/>
      <c r="AV298" s="963">
        <f t="shared" si="127"/>
        <v>0</v>
      </c>
      <c r="AW298" s="963">
        <f t="shared" si="128"/>
        <v>0</v>
      </c>
      <c r="AX298" s="963">
        <f t="shared" si="129"/>
        <v>0</v>
      </c>
      <c r="AY298" s="3343">
        <f t="shared" si="130"/>
        <v>0</v>
      </c>
      <c r="AZ298" s="3298">
        <f t="shared" si="131"/>
        <v>0</v>
      </c>
      <c r="BA298" s="3298">
        <f t="shared" si="132"/>
        <v>0</v>
      </c>
      <c r="BB298" s="3298">
        <f t="shared" si="133"/>
        <v>0</v>
      </c>
      <c r="BC298" s="3298">
        <f t="shared" si="134"/>
        <v>0</v>
      </c>
      <c r="BD298" s="3298">
        <f t="shared" si="135"/>
        <v>0</v>
      </c>
      <c r="BE298" s="3298">
        <f t="shared" si="136"/>
        <v>0</v>
      </c>
      <c r="BF298" s="3298">
        <f t="shared" si="137"/>
        <v>0</v>
      </c>
      <c r="BG298" s="3298">
        <f t="shared" si="138"/>
        <v>0</v>
      </c>
      <c r="BH298" s="3298">
        <f t="shared" si="139"/>
        <v>0</v>
      </c>
      <c r="BI298" s="3298">
        <f t="shared" si="140"/>
        <v>0</v>
      </c>
      <c r="BJ298" s="3298">
        <f t="shared" si="141"/>
        <v>0</v>
      </c>
      <c r="BK298" s="3298">
        <f t="shared" si="142"/>
        <v>0</v>
      </c>
      <c r="BL298" s="3298">
        <f t="shared" si="143"/>
        <v>0</v>
      </c>
      <c r="BM298" s="3298">
        <f t="shared" si="144"/>
        <v>0</v>
      </c>
      <c r="BN298" s="3298">
        <f t="shared" si="145"/>
        <v>0</v>
      </c>
      <c r="BO298" s="3298">
        <f t="shared" si="146"/>
        <v>0</v>
      </c>
      <c r="BP298" s="3298">
        <f t="shared" si="147"/>
        <v>0</v>
      </c>
      <c r="BQ298" s="3298">
        <f t="shared" si="148"/>
        <v>0</v>
      </c>
      <c r="BR298" s="3298">
        <f t="shared" si="149"/>
        <v>0</v>
      </c>
      <c r="BS298" s="3298">
        <f t="shared" si="150"/>
        <v>0</v>
      </c>
      <c r="BT298" s="3350">
        <f t="shared" si="151"/>
        <v>0</v>
      </c>
    </row>
    <row r="299" spans="1:72">
      <c r="A299" s="1407"/>
      <c r="B299" s="3296"/>
      <c r="C299" s="3296"/>
      <c r="D299" s="3297"/>
      <c r="E299" s="3298">
        <f t="shared" si="123"/>
        <v>0</v>
      </c>
      <c r="F299" s="3299"/>
      <c r="G299" s="3300">
        <f t="shared" si="124"/>
        <v>0</v>
      </c>
      <c r="H299" s="3301">
        <f t="shared" si="125"/>
        <v>0</v>
      </c>
      <c r="I299" s="3308"/>
      <c r="J299" s="3308"/>
      <c r="K299" s="3308"/>
      <c r="L299" s="3308"/>
      <c r="M299" s="3308"/>
      <c r="N299" s="3308"/>
      <c r="O299" s="3308"/>
      <c r="P299" s="3308"/>
      <c r="Q299" s="3308"/>
      <c r="R299" s="3308"/>
      <c r="S299" s="3308"/>
      <c r="T299" s="3308"/>
      <c r="U299" s="3308"/>
      <c r="V299" s="3308"/>
      <c r="W299" s="3308"/>
      <c r="X299" s="3308"/>
      <c r="Y299" s="3308"/>
      <c r="Z299" s="3308"/>
      <c r="AA299" s="3308"/>
      <c r="AB299" s="3308"/>
      <c r="AC299" s="3298">
        <f t="shared" si="126"/>
        <v>0</v>
      </c>
      <c r="AD299" s="3318"/>
      <c r="AE299" s="3318"/>
      <c r="AF299" s="3318"/>
      <c r="AG299" s="3318"/>
      <c r="AH299" s="3318"/>
      <c r="AI299" s="3318"/>
      <c r="AJ299" s="3318"/>
      <c r="AK299" s="3318"/>
      <c r="AL299" s="3318"/>
      <c r="AM299" s="3318"/>
      <c r="AN299" s="3318"/>
      <c r="AO299" s="3318"/>
      <c r="AP299" s="3318"/>
      <c r="AQ299" s="3318"/>
      <c r="AR299" s="3318"/>
      <c r="AS299" s="3318"/>
      <c r="AT299" s="3328"/>
      <c r="AU299" s="3329"/>
      <c r="AV299" s="963">
        <f t="shared" si="127"/>
        <v>0</v>
      </c>
      <c r="AW299" s="963">
        <f t="shared" si="128"/>
        <v>0</v>
      </c>
      <c r="AX299" s="963">
        <f t="shared" si="129"/>
        <v>0</v>
      </c>
      <c r="AY299" s="3343">
        <f t="shared" si="130"/>
        <v>0</v>
      </c>
      <c r="AZ299" s="3298">
        <f t="shared" si="131"/>
        <v>0</v>
      </c>
      <c r="BA299" s="3298">
        <f t="shared" si="132"/>
        <v>0</v>
      </c>
      <c r="BB299" s="3298">
        <f t="shared" si="133"/>
        <v>0</v>
      </c>
      <c r="BC299" s="3298">
        <f t="shared" si="134"/>
        <v>0</v>
      </c>
      <c r="BD299" s="3298">
        <f t="shared" si="135"/>
        <v>0</v>
      </c>
      <c r="BE299" s="3298">
        <f t="shared" si="136"/>
        <v>0</v>
      </c>
      <c r="BF299" s="3298">
        <f t="shared" si="137"/>
        <v>0</v>
      </c>
      <c r="BG299" s="3298">
        <f t="shared" si="138"/>
        <v>0</v>
      </c>
      <c r="BH299" s="3298">
        <f t="shared" si="139"/>
        <v>0</v>
      </c>
      <c r="BI299" s="3298">
        <f t="shared" si="140"/>
        <v>0</v>
      </c>
      <c r="BJ299" s="3298">
        <f t="shared" si="141"/>
        <v>0</v>
      </c>
      <c r="BK299" s="3298">
        <f t="shared" si="142"/>
        <v>0</v>
      </c>
      <c r="BL299" s="3298">
        <f t="shared" si="143"/>
        <v>0</v>
      </c>
      <c r="BM299" s="3298">
        <f t="shared" si="144"/>
        <v>0</v>
      </c>
      <c r="BN299" s="3298">
        <f t="shared" si="145"/>
        <v>0</v>
      </c>
      <c r="BO299" s="3298">
        <f t="shared" si="146"/>
        <v>0</v>
      </c>
      <c r="BP299" s="3298">
        <f t="shared" si="147"/>
        <v>0</v>
      </c>
      <c r="BQ299" s="3298">
        <f t="shared" si="148"/>
        <v>0</v>
      </c>
      <c r="BR299" s="3298">
        <f t="shared" si="149"/>
        <v>0</v>
      </c>
      <c r="BS299" s="3298">
        <f t="shared" si="150"/>
        <v>0</v>
      </c>
      <c r="BT299" s="3350">
        <f t="shared" si="151"/>
        <v>0</v>
      </c>
    </row>
    <row r="300" spans="1:72">
      <c r="A300" s="1407"/>
      <c r="B300" s="1407"/>
      <c r="C300" s="1407"/>
      <c r="D300" s="3297"/>
      <c r="E300" s="3298">
        <f t="shared" si="123"/>
        <v>0</v>
      </c>
      <c r="F300" s="3351"/>
      <c r="G300" s="3300">
        <f t="shared" ref="G300:G331" si="152">H300+AC300+AT300</f>
        <v>0</v>
      </c>
      <c r="H300" s="3301">
        <f t="shared" ref="H300:H331" si="153">SUMIF(I$12:AB$12,"总值",I300:AB300)</f>
        <v>0</v>
      </c>
      <c r="I300" s="3352"/>
      <c r="J300" s="3352"/>
      <c r="K300" s="3308"/>
      <c r="L300" s="3308"/>
      <c r="M300" s="3308"/>
      <c r="N300" s="3308"/>
      <c r="O300" s="3308"/>
      <c r="P300" s="3308"/>
      <c r="Q300" s="3308"/>
      <c r="R300" s="3308"/>
      <c r="S300" s="3308"/>
      <c r="T300" s="3308"/>
      <c r="U300" s="3308"/>
      <c r="V300" s="3308"/>
      <c r="W300" s="3308"/>
      <c r="X300" s="3308"/>
      <c r="Y300" s="3308"/>
      <c r="Z300" s="3308"/>
      <c r="AA300" s="3308"/>
      <c r="AB300" s="3308"/>
      <c r="AC300" s="3298">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53"/>
      <c r="AV300" s="963">
        <f t="shared" si="127"/>
        <v>0</v>
      </c>
      <c r="AW300" s="963">
        <f t="shared" si="128"/>
        <v>0</v>
      </c>
      <c r="AX300" s="963">
        <f t="shared" si="129"/>
        <v>0</v>
      </c>
      <c r="AY300" s="3343">
        <f t="shared" ref="AY300:AY331" si="155">ROUND($AY$6*AZ300/$AZ$5,2)</f>
        <v>0</v>
      </c>
      <c r="AZ300" s="3298">
        <f t="shared" ref="AZ300:AZ331" si="156">BA300+BL300</f>
        <v>0</v>
      </c>
      <c r="BA300" s="3298">
        <f t="shared" ref="BA300:BA331" si="157">SUM(BB300:BK300)</f>
        <v>0</v>
      </c>
      <c r="BB300" s="3298">
        <f t="shared" ref="BB300:BB331" si="158">IF($D300="是",I300-J300,0)</f>
        <v>0</v>
      </c>
      <c r="BC300" s="3298">
        <f t="shared" ref="BC300:BC331" si="159">IF($D300="是",K300-L300,0)</f>
        <v>0</v>
      </c>
      <c r="BD300" s="3298">
        <f t="shared" ref="BD300:BD331" si="160">IF($D300="是",M300-N300,0)</f>
        <v>0</v>
      </c>
      <c r="BE300" s="3298">
        <f t="shared" ref="BE300:BE331" si="161">IF($D300="是",O300-P300,0)</f>
        <v>0</v>
      </c>
      <c r="BF300" s="3298">
        <f t="shared" ref="BF300:BF331" si="162">IF($D300="是",Q300-R300,0)</f>
        <v>0</v>
      </c>
      <c r="BG300" s="3298">
        <f t="shared" ref="BG300:BG331" si="163">IF($D300="是",S300-T300,0)</f>
        <v>0</v>
      </c>
      <c r="BH300" s="3298">
        <f t="shared" ref="BH300:BH331" si="164">IF($D300="是",U300-V300,0)</f>
        <v>0</v>
      </c>
      <c r="BI300" s="3298">
        <f t="shared" ref="BI300:BI331" si="165">IF($D300="是",W300-X300,0)</f>
        <v>0</v>
      </c>
      <c r="BJ300" s="3298">
        <f t="shared" ref="BJ300:BJ331" si="166">IF($D300="是",Y300-Z300,0)</f>
        <v>0</v>
      </c>
      <c r="BK300" s="3298">
        <f t="shared" ref="BK300:BK331" si="167">IF($D300="是",AA300-AB300,0)</f>
        <v>0</v>
      </c>
      <c r="BL300" s="3298">
        <f t="shared" ref="BL300:BL331" si="168">SUM(BM300:BT300)</f>
        <v>0</v>
      </c>
      <c r="BM300" s="3298">
        <f t="shared" ref="BM300:BM331" si="169">IF($D300="是",AD300-AE300,0)</f>
        <v>0</v>
      </c>
      <c r="BN300" s="3298">
        <f t="shared" ref="BN300:BN331" si="170">IF($D300="是",AF300-AG300,0)</f>
        <v>0</v>
      </c>
      <c r="BO300" s="3298">
        <f t="shared" ref="BO300:BO331" si="171">IF($D300="是",AH300-AI300,0)</f>
        <v>0</v>
      </c>
      <c r="BP300" s="3298">
        <f t="shared" ref="BP300:BP331" si="172">IF($D300="是",AJ300-AK300,0)</f>
        <v>0</v>
      </c>
      <c r="BQ300" s="3298">
        <f t="shared" ref="BQ300:BQ331" si="173">IF($D300="是",AL300-AM300,0)</f>
        <v>0</v>
      </c>
      <c r="BR300" s="3298">
        <f t="shared" ref="BR300:BR331" si="174">IF($D300="是",AN300-AO300,0)</f>
        <v>0</v>
      </c>
      <c r="BS300" s="3298">
        <f t="shared" ref="BS300:BS331" si="175">IF($D300="是",AP300-AQ300,0)</f>
        <v>0</v>
      </c>
      <c r="BT300" s="3350">
        <f t="shared" ref="BT300:BT331" si="176">IF($D300="是",AR300-AS300,0)</f>
        <v>0</v>
      </c>
    </row>
    <row r="301" spans="1:72">
      <c r="A301" s="1407"/>
      <c r="B301" s="1407"/>
      <c r="C301" s="1407"/>
      <c r="D301" s="3297"/>
      <c r="E301" s="3298">
        <f t="shared" si="123"/>
        <v>0</v>
      </c>
      <c r="F301" s="3351"/>
      <c r="G301" s="3300">
        <f t="shared" si="152"/>
        <v>0</v>
      </c>
      <c r="H301" s="3301">
        <f t="shared" si="153"/>
        <v>0</v>
      </c>
      <c r="I301" s="3308"/>
      <c r="J301" s="3308"/>
      <c r="K301" s="3308"/>
      <c r="L301" s="3308"/>
      <c r="M301" s="3308"/>
      <c r="N301" s="3308"/>
      <c r="O301" s="3308"/>
      <c r="P301" s="3308"/>
      <c r="Q301" s="3308"/>
      <c r="R301" s="3308"/>
      <c r="S301" s="3308"/>
      <c r="T301" s="3308"/>
      <c r="U301" s="3308"/>
      <c r="V301" s="3308"/>
      <c r="W301" s="3308"/>
      <c r="X301" s="3308"/>
      <c r="Y301" s="3308"/>
      <c r="Z301" s="3308"/>
      <c r="AA301" s="3308"/>
      <c r="AB301" s="3308"/>
      <c r="AC301" s="3298">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53"/>
      <c r="AV301" s="963">
        <f t="shared" si="127"/>
        <v>0</v>
      </c>
      <c r="AW301" s="963">
        <f t="shared" si="128"/>
        <v>0</v>
      </c>
      <c r="AX301" s="963">
        <f t="shared" si="129"/>
        <v>0</v>
      </c>
      <c r="AY301" s="3343">
        <f t="shared" si="155"/>
        <v>0</v>
      </c>
      <c r="AZ301" s="3298">
        <f t="shared" si="156"/>
        <v>0</v>
      </c>
      <c r="BA301" s="3298">
        <f t="shared" si="157"/>
        <v>0</v>
      </c>
      <c r="BB301" s="3298">
        <f t="shared" si="158"/>
        <v>0</v>
      </c>
      <c r="BC301" s="3298">
        <f t="shared" si="159"/>
        <v>0</v>
      </c>
      <c r="BD301" s="3298">
        <f t="shared" si="160"/>
        <v>0</v>
      </c>
      <c r="BE301" s="3298">
        <f t="shared" si="161"/>
        <v>0</v>
      </c>
      <c r="BF301" s="3298">
        <f t="shared" si="162"/>
        <v>0</v>
      </c>
      <c r="BG301" s="3298">
        <f t="shared" si="163"/>
        <v>0</v>
      </c>
      <c r="BH301" s="3298">
        <f t="shared" si="164"/>
        <v>0</v>
      </c>
      <c r="BI301" s="3298">
        <f t="shared" si="165"/>
        <v>0</v>
      </c>
      <c r="BJ301" s="3298">
        <f t="shared" si="166"/>
        <v>0</v>
      </c>
      <c r="BK301" s="3298">
        <f t="shared" si="167"/>
        <v>0</v>
      </c>
      <c r="BL301" s="3298">
        <f t="shared" si="168"/>
        <v>0</v>
      </c>
      <c r="BM301" s="3298">
        <f t="shared" si="169"/>
        <v>0</v>
      </c>
      <c r="BN301" s="3298">
        <f t="shared" si="170"/>
        <v>0</v>
      </c>
      <c r="BO301" s="3298">
        <f t="shared" si="171"/>
        <v>0</v>
      </c>
      <c r="BP301" s="3298">
        <f t="shared" si="172"/>
        <v>0</v>
      </c>
      <c r="BQ301" s="3298">
        <f t="shared" si="173"/>
        <v>0</v>
      </c>
      <c r="BR301" s="3298">
        <f t="shared" si="174"/>
        <v>0</v>
      </c>
      <c r="BS301" s="3298">
        <f t="shared" si="175"/>
        <v>0</v>
      </c>
      <c r="BT301" s="3350">
        <f t="shared" si="176"/>
        <v>0</v>
      </c>
    </row>
    <row r="302" spans="1:72">
      <c r="A302" s="1407"/>
      <c r="B302" s="1407"/>
      <c r="C302" s="1407"/>
      <c r="D302" s="3297"/>
      <c r="E302" s="3298">
        <f t="shared" si="123"/>
        <v>0</v>
      </c>
      <c r="F302" s="3351"/>
      <c r="G302" s="3300">
        <f t="shared" si="152"/>
        <v>0</v>
      </c>
      <c r="H302" s="3301">
        <f t="shared" si="153"/>
        <v>0</v>
      </c>
      <c r="I302" s="3308"/>
      <c r="J302" s="3308"/>
      <c r="K302" s="3308"/>
      <c r="L302" s="3308"/>
      <c r="M302" s="3308"/>
      <c r="N302" s="3308"/>
      <c r="O302" s="3308"/>
      <c r="P302" s="3308"/>
      <c r="Q302" s="3308"/>
      <c r="R302" s="3308"/>
      <c r="S302" s="3308"/>
      <c r="T302" s="3308"/>
      <c r="U302" s="3308"/>
      <c r="V302" s="3308"/>
      <c r="W302" s="3308"/>
      <c r="X302" s="3308"/>
      <c r="Y302" s="3308"/>
      <c r="Z302" s="3308"/>
      <c r="AA302" s="3308"/>
      <c r="AB302" s="3308"/>
      <c r="AC302" s="3298">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53"/>
      <c r="AV302" s="963">
        <f t="shared" si="127"/>
        <v>0</v>
      </c>
      <c r="AW302" s="963">
        <f t="shared" si="128"/>
        <v>0</v>
      </c>
      <c r="AX302" s="963">
        <f t="shared" si="129"/>
        <v>0</v>
      </c>
      <c r="AY302" s="3343">
        <f t="shared" si="155"/>
        <v>0</v>
      </c>
      <c r="AZ302" s="3298">
        <f t="shared" si="156"/>
        <v>0</v>
      </c>
      <c r="BA302" s="3298">
        <f t="shared" si="157"/>
        <v>0</v>
      </c>
      <c r="BB302" s="3298">
        <f t="shared" si="158"/>
        <v>0</v>
      </c>
      <c r="BC302" s="3298">
        <f t="shared" si="159"/>
        <v>0</v>
      </c>
      <c r="BD302" s="3298">
        <f t="shared" si="160"/>
        <v>0</v>
      </c>
      <c r="BE302" s="3298">
        <f t="shared" si="161"/>
        <v>0</v>
      </c>
      <c r="BF302" s="3298">
        <f t="shared" si="162"/>
        <v>0</v>
      </c>
      <c r="BG302" s="3298">
        <f t="shared" si="163"/>
        <v>0</v>
      </c>
      <c r="BH302" s="3298">
        <f t="shared" si="164"/>
        <v>0</v>
      </c>
      <c r="BI302" s="3298">
        <f t="shared" si="165"/>
        <v>0</v>
      </c>
      <c r="BJ302" s="3298">
        <f t="shared" si="166"/>
        <v>0</v>
      </c>
      <c r="BK302" s="3298">
        <f t="shared" si="167"/>
        <v>0</v>
      </c>
      <c r="BL302" s="3298">
        <f t="shared" si="168"/>
        <v>0</v>
      </c>
      <c r="BM302" s="3298">
        <f t="shared" si="169"/>
        <v>0</v>
      </c>
      <c r="BN302" s="3298">
        <f t="shared" si="170"/>
        <v>0</v>
      </c>
      <c r="BO302" s="3298">
        <f t="shared" si="171"/>
        <v>0</v>
      </c>
      <c r="BP302" s="3298">
        <f t="shared" si="172"/>
        <v>0</v>
      </c>
      <c r="BQ302" s="3298">
        <f t="shared" si="173"/>
        <v>0</v>
      </c>
      <c r="BR302" s="3298">
        <f t="shared" si="174"/>
        <v>0</v>
      </c>
      <c r="BS302" s="3298">
        <f t="shared" si="175"/>
        <v>0</v>
      </c>
      <c r="BT302" s="3350">
        <f t="shared" si="176"/>
        <v>0</v>
      </c>
    </row>
    <row r="303" spans="1:72">
      <c r="A303" s="1407"/>
      <c r="B303" s="3296"/>
      <c r="C303" s="3296"/>
      <c r="D303" s="3297"/>
      <c r="E303" s="3298">
        <f t="shared" ref="E303:E334" si="177">IF($C$3="是",ROUND($A$3*G303/$B$3,2),ROUND($A$3*(G303-AT303)/$B$3,2))</f>
        <v>0</v>
      </c>
      <c r="F303" s="3299"/>
      <c r="G303" s="3300">
        <f t="shared" si="152"/>
        <v>0</v>
      </c>
      <c r="H303" s="3301">
        <f t="shared" si="153"/>
        <v>0</v>
      </c>
      <c r="I303" s="3308"/>
      <c r="J303" s="3308"/>
      <c r="K303" s="3308"/>
      <c r="L303" s="3308"/>
      <c r="M303" s="3308"/>
      <c r="N303" s="3308"/>
      <c r="O303" s="3308"/>
      <c r="P303" s="3308"/>
      <c r="Q303" s="3308"/>
      <c r="R303" s="3308"/>
      <c r="S303" s="3308"/>
      <c r="T303" s="3308"/>
      <c r="U303" s="3308"/>
      <c r="V303" s="3308"/>
      <c r="W303" s="3308"/>
      <c r="X303" s="3308"/>
      <c r="Y303" s="3308"/>
      <c r="Z303" s="3308"/>
      <c r="AA303" s="3308"/>
      <c r="AB303" s="3308"/>
      <c r="AC303" s="3298">
        <f t="shared" si="154"/>
        <v>0</v>
      </c>
      <c r="AD303" s="3318"/>
      <c r="AE303" s="3318"/>
      <c r="AF303" s="3318"/>
      <c r="AG303" s="3318"/>
      <c r="AH303" s="3318"/>
      <c r="AI303" s="3318"/>
      <c r="AJ303" s="3318"/>
      <c r="AK303" s="3318"/>
      <c r="AL303" s="3318"/>
      <c r="AM303" s="3318"/>
      <c r="AN303" s="3318"/>
      <c r="AO303" s="3318"/>
      <c r="AP303" s="3318"/>
      <c r="AQ303" s="3318"/>
      <c r="AR303" s="3318"/>
      <c r="AS303" s="3318"/>
      <c r="AT303" s="3328"/>
      <c r="AU303" s="3329"/>
      <c r="AV303" s="963">
        <f t="shared" ref="AV303:AV334" si="178">A303</f>
        <v>0</v>
      </c>
      <c r="AW303" s="963">
        <f t="shared" ref="AW303:AW334" si="179">B303</f>
        <v>0</v>
      </c>
      <c r="AX303" s="963">
        <f t="shared" ref="AX303:AX334" si="180">C303</f>
        <v>0</v>
      </c>
      <c r="AY303" s="3343">
        <f t="shared" si="155"/>
        <v>0</v>
      </c>
      <c r="AZ303" s="3298">
        <f t="shared" si="156"/>
        <v>0</v>
      </c>
      <c r="BA303" s="3298">
        <f t="shared" si="157"/>
        <v>0</v>
      </c>
      <c r="BB303" s="3298">
        <f t="shared" si="158"/>
        <v>0</v>
      </c>
      <c r="BC303" s="3298">
        <f t="shared" si="159"/>
        <v>0</v>
      </c>
      <c r="BD303" s="3298">
        <f t="shared" si="160"/>
        <v>0</v>
      </c>
      <c r="BE303" s="3298">
        <f t="shared" si="161"/>
        <v>0</v>
      </c>
      <c r="BF303" s="3298">
        <f t="shared" si="162"/>
        <v>0</v>
      </c>
      <c r="BG303" s="3298">
        <f t="shared" si="163"/>
        <v>0</v>
      </c>
      <c r="BH303" s="3298">
        <f t="shared" si="164"/>
        <v>0</v>
      </c>
      <c r="BI303" s="3298">
        <f t="shared" si="165"/>
        <v>0</v>
      </c>
      <c r="BJ303" s="3298">
        <f t="shared" si="166"/>
        <v>0</v>
      </c>
      <c r="BK303" s="3298">
        <f t="shared" si="167"/>
        <v>0</v>
      </c>
      <c r="BL303" s="3298">
        <f t="shared" si="168"/>
        <v>0</v>
      </c>
      <c r="BM303" s="3298">
        <f t="shared" si="169"/>
        <v>0</v>
      </c>
      <c r="BN303" s="3298">
        <f t="shared" si="170"/>
        <v>0</v>
      </c>
      <c r="BO303" s="3298">
        <f t="shared" si="171"/>
        <v>0</v>
      </c>
      <c r="BP303" s="3298">
        <f t="shared" si="172"/>
        <v>0</v>
      </c>
      <c r="BQ303" s="3298">
        <f t="shared" si="173"/>
        <v>0</v>
      </c>
      <c r="BR303" s="3298">
        <f t="shared" si="174"/>
        <v>0</v>
      </c>
      <c r="BS303" s="3298">
        <f t="shared" si="175"/>
        <v>0</v>
      </c>
      <c r="BT303" s="3350">
        <f t="shared" si="176"/>
        <v>0</v>
      </c>
    </row>
    <row r="304" spans="1:72">
      <c r="A304" s="1407"/>
      <c r="B304" s="3296"/>
      <c r="C304" s="3296"/>
      <c r="D304" s="3297"/>
      <c r="E304" s="3298">
        <f t="shared" si="177"/>
        <v>0</v>
      </c>
      <c r="F304" s="3299"/>
      <c r="G304" s="3300">
        <f t="shared" si="152"/>
        <v>0</v>
      </c>
      <c r="H304" s="3301">
        <f t="shared" si="153"/>
        <v>0</v>
      </c>
      <c r="I304" s="3308"/>
      <c r="J304" s="3308"/>
      <c r="K304" s="3308"/>
      <c r="L304" s="3308"/>
      <c r="M304" s="3308"/>
      <c r="N304" s="3308"/>
      <c r="O304" s="3308"/>
      <c r="P304" s="3308"/>
      <c r="Q304" s="3308"/>
      <c r="R304" s="3308"/>
      <c r="S304" s="3308"/>
      <c r="T304" s="3308"/>
      <c r="U304" s="3308"/>
      <c r="V304" s="3308"/>
      <c r="W304" s="3308"/>
      <c r="X304" s="3308"/>
      <c r="Y304" s="3308"/>
      <c r="Z304" s="3308"/>
      <c r="AA304" s="3308"/>
      <c r="AB304" s="3308"/>
      <c r="AC304" s="3298">
        <f t="shared" si="154"/>
        <v>0</v>
      </c>
      <c r="AD304" s="3318"/>
      <c r="AE304" s="3318"/>
      <c r="AF304" s="3318"/>
      <c r="AG304" s="3318"/>
      <c r="AH304" s="3318"/>
      <c r="AI304" s="3318"/>
      <c r="AJ304" s="3318"/>
      <c r="AK304" s="3318"/>
      <c r="AL304" s="3318"/>
      <c r="AM304" s="3318"/>
      <c r="AN304" s="3318"/>
      <c r="AO304" s="3318"/>
      <c r="AP304" s="3318"/>
      <c r="AQ304" s="3318"/>
      <c r="AR304" s="3318"/>
      <c r="AS304" s="3318"/>
      <c r="AT304" s="3328"/>
      <c r="AU304" s="3329"/>
      <c r="AV304" s="963">
        <f t="shared" si="178"/>
        <v>0</v>
      </c>
      <c r="AW304" s="963">
        <f t="shared" si="179"/>
        <v>0</v>
      </c>
      <c r="AX304" s="963">
        <f t="shared" si="180"/>
        <v>0</v>
      </c>
      <c r="AY304" s="3343">
        <f t="shared" si="155"/>
        <v>0</v>
      </c>
      <c r="AZ304" s="3298">
        <f t="shared" si="156"/>
        <v>0</v>
      </c>
      <c r="BA304" s="3298">
        <f t="shared" si="157"/>
        <v>0</v>
      </c>
      <c r="BB304" s="3298">
        <f t="shared" si="158"/>
        <v>0</v>
      </c>
      <c r="BC304" s="3298">
        <f t="shared" si="159"/>
        <v>0</v>
      </c>
      <c r="BD304" s="3298">
        <f t="shared" si="160"/>
        <v>0</v>
      </c>
      <c r="BE304" s="3298">
        <f t="shared" si="161"/>
        <v>0</v>
      </c>
      <c r="BF304" s="3298">
        <f t="shared" si="162"/>
        <v>0</v>
      </c>
      <c r="BG304" s="3298">
        <f t="shared" si="163"/>
        <v>0</v>
      </c>
      <c r="BH304" s="3298">
        <f t="shared" si="164"/>
        <v>0</v>
      </c>
      <c r="BI304" s="3298">
        <f t="shared" si="165"/>
        <v>0</v>
      </c>
      <c r="BJ304" s="3298">
        <f t="shared" si="166"/>
        <v>0</v>
      </c>
      <c r="BK304" s="3298">
        <f t="shared" si="167"/>
        <v>0</v>
      </c>
      <c r="BL304" s="3298">
        <f t="shared" si="168"/>
        <v>0</v>
      </c>
      <c r="BM304" s="3298">
        <f t="shared" si="169"/>
        <v>0</v>
      </c>
      <c r="BN304" s="3298">
        <f t="shared" si="170"/>
        <v>0</v>
      </c>
      <c r="BO304" s="3298">
        <f t="shared" si="171"/>
        <v>0</v>
      </c>
      <c r="BP304" s="3298">
        <f t="shared" si="172"/>
        <v>0</v>
      </c>
      <c r="BQ304" s="3298">
        <f t="shared" si="173"/>
        <v>0</v>
      </c>
      <c r="BR304" s="3298">
        <f t="shared" si="174"/>
        <v>0</v>
      </c>
      <c r="BS304" s="3298">
        <f t="shared" si="175"/>
        <v>0</v>
      </c>
      <c r="BT304" s="3350">
        <f t="shared" si="176"/>
        <v>0</v>
      </c>
    </row>
    <row r="305" spans="1:72">
      <c r="A305" s="1407"/>
      <c r="B305" s="3296"/>
      <c r="C305" s="3296"/>
      <c r="D305" s="3297"/>
      <c r="E305" s="3298">
        <f t="shared" si="177"/>
        <v>0</v>
      </c>
      <c r="F305" s="3299"/>
      <c r="G305" s="3300">
        <f t="shared" si="152"/>
        <v>0</v>
      </c>
      <c r="H305" s="3301">
        <f t="shared" si="153"/>
        <v>0</v>
      </c>
      <c r="I305" s="3308"/>
      <c r="J305" s="3308"/>
      <c r="K305" s="3308"/>
      <c r="L305" s="3308"/>
      <c r="M305" s="3308"/>
      <c r="N305" s="3308"/>
      <c r="O305" s="3308"/>
      <c r="P305" s="3308"/>
      <c r="Q305" s="3308"/>
      <c r="R305" s="3308"/>
      <c r="S305" s="3308"/>
      <c r="T305" s="3308"/>
      <c r="U305" s="3308"/>
      <c r="V305" s="3308"/>
      <c r="W305" s="3308"/>
      <c r="X305" s="3308"/>
      <c r="Y305" s="3308"/>
      <c r="Z305" s="3308"/>
      <c r="AA305" s="3308"/>
      <c r="AB305" s="3308"/>
      <c r="AC305" s="3298">
        <f t="shared" si="154"/>
        <v>0</v>
      </c>
      <c r="AD305" s="3318"/>
      <c r="AE305" s="3318"/>
      <c r="AF305" s="3318"/>
      <c r="AG305" s="3318"/>
      <c r="AH305" s="3318"/>
      <c r="AI305" s="3318"/>
      <c r="AJ305" s="3318"/>
      <c r="AK305" s="3318"/>
      <c r="AL305" s="3318"/>
      <c r="AM305" s="3318"/>
      <c r="AN305" s="3318"/>
      <c r="AO305" s="3318"/>
      <c r="AP305" s="3318"/>
      <c r="AQ305" s="3318"/>
      <c r="AR305" s="3318"/>
      <c r="AS305" s="3318"/>
      <c r="AT305" s="3328"/>
      <c r="AU305" s="3329"/>
      <c r="AV305" s="963">
        <f t="shared" si="178"/>
        <v>0</v>
      </c>
      <c r="AW305" s="963">
        <f t="shared" si="179"/>
        <v>0</v>
      </c>
      <c r="AX305" s="963">
        <f t="shared" si="180"/>
        <v>0</v>
      </c>
      <c r="AY305" s="3343">
        <f t="shared" si="155"/>
        <v>0</v>
      </c>
      <c r="AZ305" s="3298">
        <f t="shared" si="156"/>
        <v>0</v>
      </c>
      <c r="BA305" s="3298">
        <f t="shared" si="157"/>
        <v>0</v>
      </c>
      <c r="BB305" s="3298">
        <f t="shared" si="158"/>
        <v>0</v>
      </c>
      <c r="BC305" s="3298">
        <f t="shared" si="159"/>
        <v>0</v>
      </c>
      <c r="BD305" s="3298">
        <f t="shared" si="160"/>
        <v>0</v>
      </c>
      <c r="BE305" s="3298">
        <f t="shared" si="161"/>
        <v>0</v>
      </c>
      <c r="BF305" s="3298">
        <f t="shared" si="162"/>
        <v>0</v>
      </c>
      <c r="BG305" s="3298">
        <f t="shared" si="163"/>
        <v>0</v>
      </c>
      <c r="BH305" s="3298">
        <f t="shared" si="164"/>
        <v>0</v>
      </c>
      <c r="BI305" s="3298">
        <f t="shared" si="165"/>
        <v>0</v>
      </c>
      <c r="BJ305" s="3298">
        <f t="shared" si="166"/>
        <v>0</v>
      </c>
      <c r="BK305" s="3298">
        <f t="shared" si="167"/>
        <v>0</v>
      </c>
      <c r="BL305" s="3298">
        <f t="shared" si="168"/>
        <v>0</v>
      </c>
      <c r="BM305" s="3298">
        <f t="shared" si="169"/>
        <v>0</v>
      </c>
      <c r="BN305" s="3298">
        <f t="shared" si="170"/>
        <v>0</v>
      </c>
      <c r="BO305" s="3298">
        <f t="shared" si="171"/>
        <v>0</v>
      </c>
      <c r="BP305" s="3298">
        <f t="shared" si="172"/>
        <v>0</v>
      </c>
      <c r="BQ305" s="3298">
        <f t="shared" si="173"/>
        <v>0</v>
      </c>
      <c r="BR305" s="3298">
        <f t="shared" si="174"/>
        <v>0</v>
      </c>
      <c r="BS305" s="3298">
        <f t="shared" si="175"/>
        <v>0</v>
      </c>
      <c r="BT305" s="3350">
        <f t="shared" si="176"/>
        <v>0</v>
      </c>
    </row>
    <row r="306" spans="1:72">
      <c r="A306" s="1407"/>
      <c r="B306" s="3296"/>
      <c r="C306" s="3296"/>
      <c r="D306" s="3297"/>
      <c r="E306" s="3298">
        <f t="shared" si="177"/>
        <v>0</v>
      </c>
      <c r="F306" s="3299"/>
      <c r="G306" s="3300">
        <f t="shared" si="152"/>
        <v>0</v>
      </c>
      <c r="H306" s="3301">
        <f t="shared" si="153"/>
        <v>0</v>
      </c>
      <c r="I306" s="3308"/>
      <c r="J306" s="3308"/>
      <c r="K306" s="3308"/>
      <c r="L306" s="3308"/>
      <c r="M306" s="3308"/>
      <c r="N306" s="3308"/>
      <c r="O306" s="3308"/>
      <c r="P306" s="3308"/>
      <c r="Q306" s="3308"/>
      <c r="R306" s="3308"/>
      <c r="S306" s="3308"/>
      <c r="T306" s="3308"/>
      <c r="U306" s="3308"/>
      <c r="V306" s="3308"/>
      <c r="W306" s="3308"/>
      <c r="X306" s="3308"/>
      <c r="Y306" s="3308"/>
      <c r="Z306" s="3308"/>
      <c r="AA306" s="3308"/>
      <c r="AB306" s="3308"/>
      <c r="AC306" s="3298">
        <f t="shared" si="154"/>
        <v>0</v>
      </c>
      <c r="AD306" s="3318"/>
      <c r="AE306" s="3318"/>
      <c r="AF306" s="3318"/>
      <c r="AG306" s="3318"/>
      <c r="AH306" s="3318"/>
      <c r="AI306" s="3318"/>
      <c r="AJ306" s="3318"/>
      <c r="AK306" s="3318"/>
      <c r="AL306" s="3318"/>
      <c r="AM306" s="3318"/>
      <c r="AN306" s="3318"/>
      <c r="AO306" s="3318"/>
      <c r="AP306" s="3318"/>
      <c r="AQ306" s="3318"/>
      <c r="AR306" s="3318"/>
      <c r="AS306" s="3318"/>
      <c r="AT306" s="3328"/>
      <c r="AU306" s="3329"/>
      <c r="AV306" s="963">
        <f t="shared" si="178"/>
        <v>0</v>
      </c>
      <c r="AW306" s="963">
        <f t="shared" si="179"/>
        <v>0</v>
      </c>
      <c r="AX306" s="963">
        <f t="shared" si="180"/>
        <v>0</v>
      </c>
      <c r="AY306" s="3343">
        <f t="shared" si="155"/>
        <v>0</v>
      </c>
      <c r="AZ306" s="3298">
        <f t="shared" si="156"/>
        <v>0</v>
      </c>
      <c r="BA306" s="3298">
        <f t="shared" si="157"/>
        <v>0</v>
      </c>
      <c r="BB306" s="3298">
        <f t="shared" si="158"/>
        <v>0</v>
      </c>
      <c r="BC306" s="3298">
        <f t="shared" si="159"/>
        <v>0</v>
      </c>
      <c r="BD306" s="3298">
        <f t="shared" si="160"/>
        <v>0</v>
      </c>
      <c r="BE306" s="3298">
        <f t="shared" si="161"/>
        <v>0</v>
      </c>
      <c r="BF306" s="3298">
        <f t="shared" si="162"/>
        <v>0</v>
      </c>
      <c r="BG306" s="3298">
        <f t="shared" si="163"/>
        <v>0</v>
      </c>
      <c r="BH306" s="3298">
        <f t="shared" si="164"/>
        <v>0</v>
      </c>
      <c r="BI306" s="3298">
        <f t="shared" si="165"/>
        <v>0</v>
      </c>
      <c r="BJ306" s="3298">
        <f t="shared" si="166"/>
        <v>0</v>
      </c>
      <c r="BK306" s="3298">
        <f t="shared" si="167"/>
        <v>0</v>
      </c>
      <c r="BL306" s="3298">
        <f t="shared" si="168"/>
        <v>0</v>
      </c>
      <c r="BM306" s="3298">
        <f t="shared" si="169"/>
        <v>0</v>
      </c>
      <c r="BN306" s="3298">
        <f t="shared" si="170"/>
        <v>0</v>
      </c>
      <c r="BO306" s="3298">
        <f t="shared" si="171"/>
        <v>0</v>
      </c>
      <c r="BP306" s="3298">
        <f t="shared" si="172"/>
        <v>0</v>
      </c>
      <c r="BQ306" s="3298">
        <f t="shared" si="173"/>
        <v>0</v>
      </c>
      <c r="BR306" s="3298">
        <f t="shared" si="174"/>
        <v>0</v>
      </c>
      <c r="BS306" s="3298">
        <f t="shared" si="175"/>
        <v>0</v>
      </c>
      <c r="BT306" s="3350">
        <f t="shared" si="176"/>
        <v>0</v>
      </c>
    </row>
    <row r="307" spans="1:72">
      <c r="A307" s="1407"/>
      <c r="B307" s="3296"/>
      <c r="C307" s="3296"/>
      <c r="D307" s="3297"/>
      <c r="E307" s="3298">
        <f t="shared" si="177"/>
        <v>0</v>
      </c>
      <c r="F307" s="3299"/>
      <c r="G307" s="3300">
        <f t="shared" si="152"/>
        <v>0</v>
      </c>
      <c r="H307" s="3301">
        <f t="shared" si="153"/>
        <v>0</v>
      </c>
      <c r="I307" s="3308"/>
      <c r="J307" s="3308"/>
      <c r="K307" s="3308"/>
      <c r="L307" s="3308"/>
      <c r="M307" s="3308"/>
      <c r="N307" s="3308"/>
      <c r="O307" s="3308"/>
      <c r="P307" s="3308"/>
      <c r="Q307" s="3308"/>
      <c r="R307" s="3308"/>
      <c r="S307" s="3308"/>
      <c r="T307" s="3308"/>
      <c r="U307" s="3308"/>
      <c r="V307" s="3308"/>
      <c r="W307" s="3308"/>
      <c r="X307" s="3308"/>
      <c r="Y307" s="3308"/>
      <c r="Z307" s="3308"/>
      <c r="AA307" s="3308"/>
      <c r="AB307" s="3308"/>
      <c r="AC307" s="3298">
        <f t="shared" si="154"/>
        <v>0</v>
      </c>
      <c r="AD307" s="3318"/>
      <c r="AE307" s="3318"/>
      <c r="AF307" s="3318"/>
      <c r="AG307" s="3318"/>
      <c r="AH307" s="3318"/>
      <c r="AI307" s="3318"/>
      <c r="AJ307" s="3318"/>
      <c r="AK307" s="3318"/>
      <c r="AL307" s="3318"/>
      <c r="AM307" s="3318"/>
      <c r="AN307" s="3318"/>
      <c r="AO307" s="3318"/>
      <c r="AP307" s="3318"/>
      <c r="AQ307" s="3318"/>
      <c r="AR307" s="3318"/>
      <c r="AS307" s="3318"/>
      <c r="AT307" s="3328"/>
      <c r="AU307" s="3329"/>
      <c r="AV307" s="963">
        <f t="shared" si="178"/>
        <v>0</v>
      </c>
      <c r="AW307" s="963">
        <f t="shared" si="179"/>
        <v>0</v>
      </c>
      <c r="AX307" s="963">
        <f t="shared" si="180"/>
        <v>0</v>
      </c>
      <c r="AY307" s="3343">
        <f t="shared" si="155"/>
        <v>0</v>
      </c>
      <c r="AZ307" s="3298">
        <f t="shared" si="156"/>
        <v>0</v>
      </c>
      <c r="BA307" s="3298">
        <f t="shared" si="157"/>
        <v>0</v>
      </c>
      <c r="BB307" s="3298">
        <f t="shared" si="158"/>
        <v>0</v>
      </c>
      <c r="BC307" s="3298">
        <f t="shared" si="159"/>
        <v>0</v>
      </c>
      <c r="BD307" s="3298">
        <f t="shared" si="160"/>
        <v>0</v>
      </c>
      <c r="BE307" s="3298">
        <f t="shared" si="161"/>
        <v>0</v>
      </c>
      <c r="BF307" s="3298">
        <f t="shared" si="162"/>
        <v>0</v>
      </c>
      <c r="BG307" s="3298">
        <f t="shared" si="163"/>
        <v>0</v>
      </c>
      <c r="BH307" s="3298">
        <f t="shared" si="164"/>
        <v>0</v>
      </c>
      <c r="BI307" s="3298">
        <f t="shared" si="165"/>
        <v>0</v>
      </c>
      <c r="BJ307" s="3298">
        <f t="shared" si="166"/>
        <v>0</v>
      </c>
      <c r="BK307" s="3298">
        <f t="shared" si="167"/>
        <v>0</v>
      </c>
      <c r="BL307" s="3298">
        <f t="shared" si="168"/>
        <v>0</v>
      </c>
      <c r="BM307" s="3298">
        <f t="shared" si="169"/>
        <v>0</v>
      </c>
      <c r="BN307" s="3298">
        <f t="shared" si="170"/>
        <v>0</v>
      </c>
      <c r="BO307" s="3298">
        <f t="shared" si="171"/>
        <v>0</v>
      </c>
      <c r="BP307" s="3298">
        <f t="shared" si="172"/>
        <v>0</v>
      </c>
      <c r="BQ307" s="3298">
        <f t="shared" si="173"/>
        <v>0</v>
      </c>
      <c r="BR307" s="3298">
        <f t="shared" si="174"/>
        <v>0</v>
      </c>
      <c r="BS307" s="3298">
        <f t="shared" si="175"/>
        <v>0</v>
      </c>
      <c r="BT307" s="3350">
        <f t="shared" si="176"/>
        <v>0</v>
      </c>
    </row>
    <row r="308" spans="1:72">
      <c r="A308" s="1407"/>
      <c r="B308" s="3296"/>
      <c r="C308" s="3296"/>
      <c r="D308" s="3297"/>
      <c r="E308" s="3298">
        <f t="shared" si="177"/>
        <v>0</v>
      </c>
      <c r="F308" s="3299"/>
      <c r="G308" s="3300">
        <f t="shared" si="152"/>
        <v>0</v>
      </c>
      <c r="H308" s="3301">
        <f t="shared" si="153"/>
        <v>0</v>
      </c>
      <c r="I308" s="3308"/>
      <c r="J308" s="3308"/>
      <c r="K308" s="3308"/>
      <c r="L308" s="3308"/>
      <c r="M308" s="3308"/>
      <c r="N308" s="3308"/>
      <c r="O308" s="3308"/>
      <c r="P308" s="3308"/>
      <c r="Q308" s="3308"/>
      <c r="R308" s="3308"/>
      <c r="S308" s="3308"/>
      <c r="T308" s="3308"/>
      <c r="U308" s="3308"/>
      <c r="V308" s="3308"/>
      <c r="W308" s="3308"/>
      <c r="X308" s="3308"/>
      <c r="Y308" s="3308"/>
      <c r="Z308" s="3308"/>
      <c r="AA308" s="3308"/>
      <c r="AB308" s="3308"/>
      <c r="AC308" s="3298">
        <f t="shared" si="154"/>
        <v>0</v>
      </c>
      <c r="AD308" s="3318"/>
      <c r="AE308" s="3318"/>
      <c r="AF308" s="3318"/>
      <c r="AG308" s="3318"/>
      <c r="AH308" s="3318"/>
      <c r="AI308" s="3318"/>
      <c r="AJ308" s="3318"/>
      <c r="AK308" s="3318"/>
      <c r="AL308" s="3318"/>
      <c r="AM308" s="3318"/>
      <c r="AN308" s="3318"/>
      <c r="AO308" s="3318"/>
      <c r="AP308" s="3318"/>
      <c r="AQ308" s="3318"/>
      <c r="AR308" s="3318"/>
      <c r="AS308" s="3318"/>
      <c r="AT308" s="3328"/>
      <c r="AU308" s="3329"/>
      <c r="AV308" s="963">
        <f t="shared" si="178"/>
        <v>0</v>
      </c>
      <c r="AW308" s="963">
        <f t="shared" si="179"/>
        <v>0</v>
      </c>
      <c r="AX308" s="963">
        <f t="shared" si="180"/>
        <v>0</v>
      </c>
      <c r="AY308" s="3343">
        <f t="shared" si="155"/>
        <v>0</v>
      </c>
      <c r="AZ308" s="3298">
        <f t="shared" si="156"/>
        <v>0</v>
      </c>
      <c r="BA308" s="3298">
        <f t="shared" si="157"/>
        <v>0</v>
      </c>
      <c r="BB308" s="3298">
        <f t="shared" si="158"/>
        <v>0</v>
      </c>
      <c r="BC308" s="3298">
        <f t="shared" si="159"/>
        <v>0</v>
      </c>
      <c r="BD308" s="3298">
        <f t="shared" si="160"/>
        <v>0</v>
      </c>
      <c r="BE308" s="3298">
        <f t="shared" si="161"/>
        <v>0</v>
      </c>
      <c r="BF308" s="3298">
        <f t="shared" si="162"/>
        <v>0</v>
      </c>
      <c r="BG308" s="3298">
        <f t="shared" si="163"/>
        <v>0</v>
      </c>
      <c r="BH308" s="3298">
        <f t="shared" si="164"/>
        <v>0</v>
      </c>
      <c r="BI308" s="3298">
        <f t="shared" si="165"/>
        <v>0</v>
      </c>
      <c r="BJ308" s="3298">
        <f t="shared" si="166"/>
        <v>0</v>
      </c>
      <c r="BK308" s="3298">
        <f t="shared" si="167"/>
        <v>0</v>
      </c>
      <c r="BL308" s="3298">
        <f t="shared" si="168"/>
        <v>0</v>
      </c>
      <c r="BM308" s="3298">
        <f t="shared" si="169"/>
        <v>0</v>
      </c>
      <c r="BN308" s="3298">
        <f t="shared" si="170"/>
        <v>0</v>
      </c>
      <c r="BO308" s="3298">
        <f t="shared" si="171"/>
        <v>0</v>
      </c>
      <c r="BP308" s="3298">
        <f t="shared" si="172"/>
        <v>0</v>
      </c>
      <c r="BQ308" s="3298">
        <f t="shared" si="173"/>
        <v>0</v>
      </c>
      <c r="BR308" s="3298">
        <f t="shared" si="174"/>
        <v>0</v>
      </c>
      <c r="BS308" s="3298">
        <f t="shared" si="175"/>
        <v>0</v>
      </c>
      <c r="BT308" s="3350">
        <f t="shared" si="176"/>
        <v>0</v>
      </c>
    </row>
    <row r="309" spans="1:72">
      <c r="A309" s="1407"/>
      <c r="B309" s="3296"/>
      <c r="C309" s="3296"/>
      <c r="D309" s="3297"/>
      <c r="E309" s="3298">
        <f t="shared" si="177"/>
        <v>0</v>
      </c>
      <c r="F309" s="3299"/>
      <c r="G309" s="3300">
        <f t="shared" si="152"/>
        <v>0</v>
      </c>
      <c r="H309" s="3301">
        <f t="shared" si="153"/>
        <v>0</v>
      </c>
      <c r="I309" s="3308"/>
      <c r="J309" s="3308"/>
      <c r="K309" s="3308"/>
      <c r="L309" s="3308"/>
      <c r="M309" s="3308"/>
      <c r="N309" s="3308"/>
      <c r="O309" s="3308"/>
      <c r="P309" s="3308"/>
      <c r="Q309" s="3308"/>
      <c r="R309" s="3308"/>
      <c r="S309" s="3308"/>
      <c r="T309" s="3308"/>
      <c r="U309" s="3308"/>
      <c r="V309" s="3308"/>
      <c r="W309" s="3308"/>
      <c r="X309" s="3308"/>
      <c r="Y309" s="3308"/>
      <c r="Z309" s="3308"/>
      <c r="AA309" s="3308"/>
      <c r="AB309" s="3308"/>
      <c r="AC309" s="3298">
        <f t="shared" si="154"/>
        <v>0</v>
      </c>
      <c r="AD309" s="3318"/>
      <c r="AE309" s="3318"/>
      <c r="AF309" s="3318"/>
      <c r="AG309" s="3318"/>
      <c r="AH309" s="3318"/>
      <c r="AI309" s="3318"/>
      <c r="AJ309" s="3318"/>
      <c r="AK309" s="3318"/>
      <c r="AL309" s="3318"/>
      <c r="AM309" s="3318"/>
      <c r="AN309" s="3318"/>
      <c r="AO309" s="3318"/>
      <c r="AP309" s="3318"/>
      <c r="AQ309" s="3318"/>
      <c r="AR309" s="3318"/>
      <c r="AS309" s="3318"/>
      <c r="AT309" s="3328"/>
      <c r="AU309" s="3329"/>
      <c r="AV309" s="963">
        <f t="shared" si="178"/>
        <v>0</v>
      </c>
      <c r="AW309" s="963">
        <f t="shared" si="179"/>
        <v>0</v>
      </c>
      <c r="AX309" s="963">
        <f t="shared" si="180"/>
        <v>0</v>
      </c>
      <c r="AY309" s="3343">
        <f t="shared" si="155"/>
        <v>0</v>
      </c>
      <c r="AZ309" s="3298">
        <f t="shared" si="156"/>
        <v>0</v>
      </c>
      <c r="BA309" s="3298">
        <f t="shared" si="157"/>
        <v>0</v>
      </c>
      <c r="BB309" s="3298">
        <f t="shared" si="158"/>
        <v>0</v>
      </c>
      <c r="BC309" s="3298">
        <f t="shared" si="159"/>
        <v>0</v>
      </c>
      <c r="BD309" s="3298">
        <f t="shared" si="160"/>
        <v>0</v>
      </c>
      <c r="BE309" s="3298">
        <f t="shared" si="161"/>
        <v>0</v>
      </c>
      <c r="BF309" s="3298">
        <f t="shared" si="162"/>
        <v>0</v>
      </c>
      <c r="BG309" s="3298">
        <f t="shared" si="163"/>
        <v>0</v>
      </c>
      <c r="BH309" s="3298">
        <f t="shared" si="164"/>
        <v>0</v>
      </c>
      <c r="BI309" s="3298">
        <f t="shared" si="165"/>
        <v>0</v>
      </c>
      <c r="BJ309" s="3298">
        <f t="shared" si="166"/>
        <v>0</v>
      </c>
      <c r="BK309" s="3298">
        <f t="shared" si="167"/>
        <v>0</v>
      </c>
      <c r="BL309" s="3298">
        <f t="shared" si="168"/>
        <v>0</v>
      </c>
      <c r="BM309" s="3298">
        <f t="shared" si="169"/>
        <v>0</v>
      </c>
      <c r="BN309" s="3298">
        <f t="shared" si="170"/>
        <v>0</v>
      </c>
      <c r="BO309" s="3298">
        <f t="shared" si="171"/>
        <v>0</v>
      </c>
      <c r="BP309" s="3298">
        <f t="shared" si="172"/>
        <v>0</v>
      </c>
      <c r="BQ309" s="3298">
        <f t="shared" si="173"/>
        <v>0</v>
      </c>
      <c r="BR309" s="3298">
        <f t="shared" si="174"/>
        <v>0</v>
      </c>
      <c r="BS309" s="3298">
        <f t="shared" si="175"/>
        <v>0</v>
      </c>
      <c r="BT309" s="3350">
        <f t="shared" si="176"/>
        <v>0</v>
      </c>
    </row>
    <row r="310" spans="1:72">
      <c r="A310" s="1407"/>
      <c r="B310" s="3296"/>
      <c r="C310" s="3296"/>
      <c r="D310" s="3297"/>
      <c r="E310" s="3298">
        <f t="shared" si="177"/>
        <v>0</v>
      </c>
      <c r="F310" s="3299"/>
      <c r="G310" s="3300">
        <f t="shared" si="152"/>
        <v>0</v>
      </c>
      <c r="H310" s="3301">
        <f t="shared" si="153"/>
        <v>0</v>
      </c>
      <c r="I310" s="3308"/>
      <c r="J310" s="3308"/>
      <c r="K310" s="3308"/>
      <c r="L310" s="3308"/>
      <c r="M310" s="3308"/>
      <c r="N310" s="3308"/>
      <c r="O310" s="3308"/>
      <c r="P310" s="3308"/>
      <c r="Q310" s="3308"/>
      <c r="R310" s="3308"/>
      <c r="S310" s="3308"/>
      <c r="T310" s="3308"/>
      <c r="U310" s="3308"/>
      <c r="V310" s="3308"/>
      <c r="W310" s="3308"/>
      <c r="X310" s="3308"/>
      <c r="Y310" s="3308"/>
      <c r="Z310" s="3308"/>
      <c r="AA310" s="3308"/>
      <c r="AB310" s="3308"/>
      <c r="AC310" s="3298">
        <f t="shared" si="154"/>
        <v>0</v>
      </c>
      <c r="AD310" s="3318"/>
      <c r="AE310" s="3318"/>
      <c r="AF310" s="3318"/>
      <c r="AG310" s="3318"/>
      <c r="AH310" s="3318"/>
      <c r="AI310" s="3318"/>
      <c r="AJ310" s="3318"/>
      <c r="AK310" s="3318"/>
      <c r="AL310" s="3318"/>
      <c r="AM310" s="3318"/>
      <c r="AN310" s="3318"/>
      <c r="AO310" s="3318"/>
      <c r="AP310" s="3318"/>
      <c r="AQ310" s="3318"/>
      <c r="AR310" s="3318"/>
      <c r="AS310" s="3318"/>
      <c r="AT310" s="3328"/>
      <c r="AU310" s="3329"/>
      <c r="AV310" s="963">
        <f t="shared" si="178"/>
        <v>0</v>
      </c>
      <c r="AW310" s="963">
        <f t="shared" si="179"/>
        <v>0</v>
      </c>
      <c r="AX310" s="963">
        <f t="shared" si="180"/>
        <v>0</v>
      </c>
      <c r="AY310" s="3343">
        <f t="shared" si="155"/>
        <v>0</v>
      </c>
      <c r="AZ310" s="3298">
        <f t="shared" si="156"/>
        <v>0</v>
      </c>
      <c r="BA310" s="3298">
        <f t="shared" si="157"/>
        <v>0</v>
      </c>
      <c r="BB310" s="3298">
        <f t="shared" si="158"/>
        <v>0</v>
      </c>
      <c r="BC310" s="3298">
        <f t="shared" si="159"/>
        <v>0</v>
      </c>
      <c r="BD310" s="3298">
        <f t="shared" si="160"/>
        <v>0</v>
      </c>
      <c r="BE310" s="3298">
        <f t="shared" si="161"/>
        <v>0</v>
      </c>
      <c r="BF310" s="3298">
        <f t="shared" si="162"/>
        <v>0</v>
      </c>
      <c r="BG310" s="3298">
        <f t="shared" si="163"/>
        <v>0</v>
      </c>
      <c r="BH310" s="3298">
        <f t="shared" si="164"/>
        <v>0</v>
      </c>
      <c r="BI310" s="3298">
        <f t="shared" si="165"/>
        <v>0</v>
      </c>
      <c r="BJ310" s="3298">
        <f t="shared" si="166"/>
        <v>0</v>
      </c>
      <c r="BK310" s="3298">
        <f t="shared" si="167"/>
        <v>0</v>
      </c>
      <c r="BL310" s="3298">
        <f t="shared" si="168"/>
        <v>0</v>
      </c>
      <c r="BM310" s="3298">
        <f t="shared" si="169"/>
        <v>0</v>
      </c>
      <c r="BN310" s="3298">
        <f t="shared" si="170"/>
        <v>0</v>
      </c>
      <c r="BO310" s="3298">
        <f t="shared" si="171"/>
        <v>0</v>
      </c>
      <c r="BP310" s="3298">
        <f t="shared" si="172"/>
        <v>0</v>
      </c>
      <c r="BQ310" s="3298">
        <f t="shared" si="173"/>
        <v>0</v>
      </c>
      <c r="BR310" s="3298">
        <f t="shared" si="174"/>
        <v>0</v>
      </c>
      <c r="BS310" s="3298">
        <f t="shared" si="175"/>
        <v>0</v>
      </c>
      <c r="BT310" s="3350">
        <f t="shared" si="176"/>
        <v>0</v>
      </c>
    </row>
    <row r="311" spans="1:72">
      <c r="A311" s="1407"/>
      <c r="B311" s="3296"/>
      <c r="C311" s="3296"/>
      <c r="D311" s="3297"/>
      <c r="E311" s="3298">
        <f t="shared" si="177"/>
        <v>0</v>
      </c>
      <c r="F311" s="3299"/>
      <c r="G311" s="3300">
        <f t="shared" si="152"/>
        <v>0</v>
      </c>
      <c r="H311" s="3301">
        <f t="shared" si="153"/>
        <v>0</v>
      </c>
      <c r="I311" s="3308"/>
      <c r="J311" s="3308"/>
      <c r="K311" s="3308"/>
      <c r="L311" s="3308"/>
      <c r="M311" s="3308"/>
      <c r="N311" s="3308"/>
      <c r="O311" s="3308"/>
      <c r="P311" s="3308"/>
      <c r="Q311" s="3308"/>
      <c r="R311" s="3308"/>
      <c r="S311" s="3308"/>
      <c r="T311" s="3308"/>
      <c r="U311" s="3308"/>
      <c r="V311" s="3308"/>
      <c r="W311" s="3308"/>
      <c r="X311" s="3308"/>
      <c r="Y311" s="3308"/>
      <c r="Z311" s="3308"/>
      <c r="AA311" s="3308"/>
      <c r="AB311" s="3308"/>
      <c r="AC311" s="3298">
        <f t="shared" si="154"/>
        <v>0</v>
      </c>
      <c r="AD311" s="3318"/>
      <c r="AE311" s="3318"/>
      <c r="AF311" s="3318"/>
      <c r="AG311" s="3318"/>
      <c r="AH311" s="3318"/>
      <c r="AI311" s="3318"/>
      <c r="AJ311" s="3318"/>
      <c r="AK311" s="3318"/>
      <c r="AL311" s="3318"/>
      <c r="AM311" s="3318"/>
      <c r="AN311" s="3318"/>
      <c r="AO311" s="3318"/>
      <c r="AP311" s="3318"/>
      <c r="AQ311" s="3318"/>
      <c r="AR311" s="3318"/>
      <c r="AS311" s="3318"/>
      <c r="AT311" s="3328"/>
      <c r="AU311" s="3329"/>
      <c r="AV311" s="963">
        <f t="shared" si="178"/>
        <v>0</v>
      </c>
      <c r="AW311" s="963">
        <f t="shared" si="179"/>
        <v>0</v>
      </c>
      <c r="AX311" s="963">
        <f t="shared" si="180"/>
        <v>0</v>
      </c>
      <c r="AY311" s="3343">
        <f t="shared" si="155"/>
        <v>0</v>
      </c>
      <c r="AZ311" s="3298">
        <f t="shared" si="156"/>
        <v>0</v>
      </c>
      <c r="BA311" s="3298">
        <f t="shared" si="157"/>
        <v>0</v>
      </c>
      <c r="BB311" s="3298">
        <f t="shared" si="158"/>
        <v>0</v>
      </c>
      <c r="BC311" s="3298">
        <f t="shared" si="159"/>
        <v>0</v>
      </c>
      <c r="BD311" s="3298">
        <f t="shared" si="160"/>
        <v>0</v>
      </c>
      <c r="BE311" s="3298">
        <f t="shared" si="161"/>
        <v>0</v>
      </c>
      <c r="BF311" s="3298">
        <f t="shared" si="162"/>
        <v>0</v>
      </c>
      <c r="BG311" s="3298">
        <f t="shared" si="163"/>
        <v>0</v>
      </c>
      <c r="BH311" s="3298">
        <f t="shared" si="164"/>
        <v>0</v>
      </c>
      <c r="BI311" s="3298">
        <f t="shared" si="165"/>
        <v>0</v>
      </c>
      <c r="BJ311" s="3298">
        <f t="shared" si="166"/>
        <v>0</v>
      </c>
      <c r="BK311" s="3298">
        <f t="shared" si="167"/>
        <v>0</v>
      </c>
      <c r="BL311" s="3298">
        <f t="shared" si="168"/>
        <v>0</v>
      </c>
      <c r="BM311" s="3298">
        <f t="shared" si="169"/>
        <v>0</v>
      </c>
      <c r="BN311" s="3298">
        <f t="shared" si="170"/>
        <v>0</v>
      </c>
      <c r="BO311" s="3298">
        <f t="shared" si="171"/>
        <v>0</v>
      </c>
      <c r="BP311" s="3298">
        <f t="shared" si="172"/>
        <v>0</v>
      </c>
      <c r="BQ311" s="3298">
        <f t="shared" si="173"/>
        <v>0</v>
      </c>
      <c r="BR311" s="3298">
        <f t="shared" si="174"/>
        <v>0</v>
      </c>
      <c r="BS311" s="3298">
        <f t="shared" si="175"/>
        <v>0</v>
      </c>
      <c r="BT311" s="3350">
        <f t="shared" si="176"/>
        <v>0</v>
      </c>
    </row>
    <row r="312" spans="1:72">
      <c r="A312" s="1407"/>
      <c r="B312" s="3296"/>
      <c r="C312" s="3296"/>
      <c r="D312" s="3297"/>
      <c r="E312" s="3298">
        <f t="shared" si="177"/>
        <v>0</v>
      </c>
      <c r="F312" s="3299"/>
      <c r="G312" s="3300">
        <f t="shared" si="152"/>
        <v>0</v>
      </c>
      <c r="H312" s="3301">
        <f t="shared" si="153"/>
        <v>0</v>
      </c>
      <c r="I312" s="3308"/>
      <c r="J312" s="3308"/>
      <c r="K312" s="3308"/>
      <c r="L312" s="3308"/>
      <c r="M312" s="3308"/>
      <c r="N312" s="3308"/>
      <c r="O312" s="3308"/>
      <c r="P312" s="3308"/>
      <c r="Q312" s="3308"/>
      <c r="R312" s="3308"/>
      <c r="S312" s="3308"/>
      <c r="T312" s="3308"/>
      <c r="U312" s="3308"/>
      <c r="V312" s="3308"/>
      <c r="W312" s="3308"/>
      <c r="X312" s="3308"/>
      <c r="Y312" s="3308"/>
      <c r="Z312" s="3308"/>
      <c r="AA312" s="3308"/>
      <c r="AB312" s="3308"/>
      <c r="AC312" s="3298">
        <f t="shared" si="154"/>
        <v>0</v>
      </c>
      <c r="AD312" s="3318"/>
      <c r="AE312" s="3318"/>
      <c r="AF312" s="3318"/>
      <c r="AG312" s="3318"/>
      <c r="AH312" s="3318"/>
      <c r="AI312" s="3318"/>
      <c r="AJ312" s="3318"/>
      <c r="AK312" s="3318"/>
      <c r="AL312" s="3318"/>
      <c r="AM312" s="3318"/>
      <c r="AN312" s="3318"/>
      <c r="AO312" s="3318"/>
      <c r="AP312" s="3318"/>
      <c r="AQ312" s="3318"/>
      <c r="AR312" s="3318"/>
      <c r="AS312" s="3318"/>
      <c r="AT312" s="3328"/>
      <c r="AU312" s="3329"/>
      <c r="AV312" s="963">
        <f t="shared" si="178"/>
        <v>0</v>
      </c>
      <c r="AW312" s="963">
        <f t="shared" si="179"/>
        <v>0</v>
      </c>
      <c r="AX312" s="963">
        <f t="shared" si="180"/>
        <v>0</v>
      </c>
      <c r="AY312" s="3343">
        <f t="shared" si="155"/>
        <v>0</v>
      </c>
      <c r="AZ312" s="3298">
        <f t="shared" si="156"/>
        <v>0</v>
      </c>
      <c r="BA312" s="3298">
        <f t="shared" si="157"/>
        <v>0</v>
      </c>
      <c r="BB312" s="3298">
        <f t="shared" si="158"/>
        <v>0</v>
      </c>
      <c r="BC312" s="3298">
        <f t="shared" si="159"/>
        <v>0</v>
      </c>
      <c r="BD312" s="3298">
        <f t="shared" si="160"/>
        <v>0</v>
      </c>
      <c r="BE312" s="3298">
        <f t="shared" si="161"/>
        <v>0</v>
      </c>
      <c r="BF312" s="3298">
        <f t="shared" si="162"/>
        <v>0</v>
      </c>
      <c r="BG312" s="3298">
        <f t="shared" si="163"/>
        <v>0</v>
      </c>
      <c r="BH312" s="3298">
        <f t="shared" si="164"/>
        <v>0</v>
      </c>
      <c r="BI312" s="3298">
        <f t="shared" si="165"/>
        <v>0</v>
      </c>
      <c r="BJ312" s="3298">
        <f t="shared" si="166"/>
        <v>0</v>
      </c>
      <c r="BK312" s="3298">
        <f t="shared" si="167"/>
        <v>0</v>
      </c>
      <c r="BL312" s="3298">
        <f t="shared" si="168"/>
        <v>0</v>
      </c>
      <c r="BM312" s="3298">
        <f t="shared" si="169"/>
        <v>0</v>
      </c>
      <c r="BN312" s="3298">
        <f t="shared" si="170"/>
        <v>0</v>
      </c>
      <c r="BO312" s="3298">
        <f t="shared" si="171"/>
        <v>0</v>
      </c>
      <c r="BP312" s="3298">
        <f t="shared" si="172"/>
        <v>0</v>
      </c>
      <c r="BQ312" s="3298">
        <f t="shared" si="173"/>
        <v>0</v>
      </c>
      <c r="BR312" s="3298">
        <f t="shared" si="174"/>
        <v>0</v>
      </c>
      <c r="BS312" s="3298">
        <f t="shared" si="175"/>
        <v>0</v>
      </c>
      <c r="BT312" s="3350">
        <f t="shared" si="176"/>
        <v>0</v>
      </c>
    </row>
    <row r="313" spans="1:72">
      <c r="A313" s="1407"/>
      <c r="B313" s="3296"/>
      <c r="C313" s="3296"/>
      <c r="D313" s="3297"/>
      <c r="E313" s="3298">
        <f t="shared" si="177"/>
        <v>0</v>
      </c>
      <c r="F313" s="3299"/>
      <c r="G313" s="3300">
        <f t="shared" si="152"/>
        <v>0</v>
      </c>
      <c r="H313" s="3301">
        <f t="shared" si="153"/>
        <v>0</v>
      </c>
      <c r="I313" s="3308"/>
      <c r="J313" s="3308"/>
      <c r="K313" s="3308"/>
      <c r="L313" s="3308"/>
      <c r="M313" s="3308"/>
      <c r="N313" s="3308"/>
      <c r="O313" s="3308"/>
      <c r="P313" s="3308"/>
      <c r="Q313" s="3308"/>
      <c r="R313" s="3308"/>
      <c r="S313" s="3308"/>
      <c r="T313" s="3308"/>
      <c r="U313" s="3308"/>
      <c r="V313" s="3308"/>
      <c r="W313" s="3308"/>
      <c r="X313" s="3308"/>
      <c r="Y313" s="3308"/>
      <c r="Z313" s="3308"/>
      <c r="AA313" s="3308"/>
      <c r="AB313" s="3308"/>
      <c r="AC313" s="3298">
        <f t="shared" si="154"/>
        <v>0</v>
      </c>
      <c r="AD313" s="3318"/>
      <c r="AE313" s="3318"/>
      <c r="AF313" s="3318"/>
      <c r="AG313" s="3318"/>
      <c r="AH313" s="3318"/>
      <c r="AI313" s="3318"/>
      <c r="AJ313" s="3318"/>
      <c r="AK313" s="3318"/>
      <c r="AL313" s="3318"/>
      <c r="AM313" s="3318"/>
      <c r="AN313" s="3318"/>
      <c r="AO313" s="3318"/>
      <c r="AP313" s="3318"/>
      <c r="AQ313" s="3318"/>
      <c r="AR313" s="3318"/>
      <c r="AS313" s="3318"/>
      <c r="AT313" s="3328"/>
      <c r="AU313" s="3329"/>
      <c r="AV313" s="963">
        <f t="shared" si="178"/>
        <v>0</v>
      </c>
      <c r="AW313" s="963">
        <f t="shared" si="179"/>
        <v>0</v>
      </c>
      <c r="AX313" s="963">
        <f t="shared" si="180"/>
        <v>0</v>
      </c>
      <c r="AY313" s="3343">
        <f t="shared" si="155"/>
        <v>0</v>
      </c>
      <c r="AZ313" s="3298">
        <f t="shared" si="156"/>
        <v>0</v>
      </c>
      <c r="BA313" s="3298">
        <f t="shared" si="157"/>
        <v>0</v>
      </c>
      <c r="BB313" s="3298">
        <f t="shared" si="158"/>
        <v>0</v>
      </c>
      <c r="BC313" s="3298">
        <f t="shared" si="159"/>
        <v>0</v>
      </c>
      <c r="BD313" s="3298">
        <f t="shared" si="160"/>
        <v>0</v>
      </c>
      <c r="BE313" s="3298">
        <f t="shared" si="161"/>
        <v>0</v>
      </c>
      <c r="BF313" s="3298">
        <f t="shared" si="162"/>
        <v>0</v>
      </c>
      <c r="BG313" s="3298">
        <f t="shared" si="163"/>
        <v>0</v>
      </c>
      <c r="BH313" s="3298">
        <f t="shared" si="164"/>
        <v>0</v>
      </c>
      <c r="BI313" s="3298">
        <f t="shared" si="165"/>
        <v>0</v>
      </c>
      <c r="BJ313" s="3298">
        <f t="shared" si="166"/>
        <v>0</v>
      </c>
      <c r="BK313" s="3298">
        <f t="shared" si="167"/>
        <v>0</v>
      </c>
      <c r="BL313" s="3298">
        <f t="shared" si="168"/>
        <v>0</v>
      </c>
      <c r="BM313" s="3298">
        <f t="shared" si="169"/>
        <v>0</v>
      </c>
      <c r="BN313" s="3298">
        <f t="shared" si="170"/>
        <v>0</v>
      </c>
      <c r="BO313" s="3298">
        <f t="shared" si="171"/>
        <v>0</v>
      </c>
      <c r="BP313" s="3298">
        <f t="shared" si="172"/>
        <v>0</v>
      </c>
      <c r="BQ313" s="3298">
        <f t="shared" si="173"/>
        <v>0</v>
      </c>
      <c r="BR313" s="3298">
        <f t="shared" si="174"/>
        <v>0</v>
      </c>
      <c r="BS313" s="3298">
        <f t="shared" si="175"/>
        <v>0</v>
      </c>
      <c r="BT313" s="3350">
        <f t="shared" si="176"/>
        <v>0</v>
      </c>
    </row>
    <row r="314" spans="1:72">
      <c r="A314" s="1407"/>
      <c r="B314" s="3296"/>
      <c r="C314" s="3296"/>
      <c r="D314" s="3297"/>
      <c r="E314" s="3298">
        <f t="shared" si="177"/>
        <v>0</v>
      </c>
      <c r="F314" s="3299"/>
      <c r="G314" s="3300">
        <f t="shared" si="152"/>
        <v>0</v>
      </c>
      <c r="H314" s="3301">
        <f t="shared" si="153"/>
        <v>0</v>
      </c>
      <c r="I314" s="3308"/>
      <c r="J314" s="3308"/>
      <c r="K314" s="3308"/>
      <c r="L314" s="3308"/>
      <c r="M314" s="3308"/>
      <c r="N314" s="3308"/>
      <c r="O314" s="3308"/>
      <c r="P314" s="3308"/>
      <c r="Q314" s="3308"/>
      <c r="R314" s="3308"/>
      <c r="S314" s="3308"/>
      <c r="T314" s="3308"/>
      <c r="U314" s="3308"/>
      <c r="V314" s="3308"/>
      <c r="W314" s="3308"/>
      <c r="X314" s="3308"/>
      <c r="Y314" s="3308"/>
      <c r="Z314" s="3308"/>
      <c r="AA314" s="3308"/>
      <c r="AB314" s="3308"/>
      <c r="AC314" s="3298">
        <f t="shared" si="154"/>
        <v>0</v>
      </c>
      <c r="AD314" s="3318"/>
      <c r="AE314" s="3318"/>
      <c r="AF314" s="3318"/>
      <c r="AG314" s="3318"/>
      <c r="AH314" s="3318"/>
      <c r="AI314" s="3318"/>
      <c r="AJ314" s="3318"/>
      <c r="AK314" s="3318"/>
      <c r="AL314" s="3318"/>
      <c r="AM314" s="3318"/>
      <c r="AN314" s="3318"/>
      <c r="AO314" s="3318"/>
      <c r="AP314" s="3318"/>
      <c r="AQ314" s="3318"/>
      <c r="AR314" s="3318"/>
      <c r="AS314" s="3318"/>
      <c r="AT314" s="3328"/>
      <c r="AU314" s="3329"/>
      <c r="AV314" s="963">
        <f t="shared" si="178"/>
        <v>0</v>
      </c>
      <c r="AW314" s="963">
        <f t="shared" si="179"/>
        <v>0</v>
      </c>
      <c r="AX314" s="963">
        <f t="shared" si="180"/>
        <v>0</v>
      </c>
      <c r="AY314" s="3343">
        <f t="shared" si="155"/>
        <v>0</v>
      </c>
      <c r="AZ314" s="3298">
        <f t="shared" si="156"/>
        <v>0</v>
      </c>
      <c r="BA314" s="3298">
        <f t="shared" si="157"/>
        <v>0</v>
      </c>
      <c r="BB314" s="3298">
        <f t="shared" si="158"/>
        <v>0</v>
      </c>
      <c r="BC314" s="3298">
        <f t="shared" si="159"/>
        <v>0</v>
      </c>
      <c r="BD314" s="3298">
        <f t="shared" si="160"/>
        <v>0</v>
      </c>
      <c r="BE314" s="3298">
        <f t="shared" si="161"/>
        <v>0</v>
      </c>
      <c r="BF314" s="3298">
        <f t="shared" si="162"/>
        <v>0</v>
      </c>
      <c r="BG314" s="3298">
        <f t="shared" si="163"/>
        <v>0</v>
      </c>
      <c r="BH314" s="3298">
        <f t="shared" si="164"/>
        <v>0</v>
      </c>
      <c r="BI314" s="3298">
        <f t="shared" si="165"/>
        <v>0</v>
      </c>
      <c r="BJ314" s="3298">
        <f t="shared" si="166"/>
        <v>0</v>
      </c>
      <c r="BK314" s="3298">
        <f t="shared" si="167"/>
        <v>0</v>
      </c>
      <c r="BL314" s="3298">
        <f t="shared" si="168"/>
        <v>0</v>
      </c>
      <c r="BM314" s="3298">
        <f t="shared" si="169"/>
        <v>0</v>
      </c>
      <c r="BN314" s="3298">
        <f t="shared" si="170"/>
        <v>0</v>
      </c>
      <c r="BO314" s="3298">
        <f t="shared" si="171"/>
        <v>0</v>
      </c>
      <c r="BP314" s="3298">
        <f t="shared" si="172"/>
        <v>0</v>
      </c>
      <c r="BQ314" s="3298">
        <f t="shared" si="173"/>
        <v>0</v>
      </c>
      <c r="BR314" s="3298">
        <f t="shared" si="174"/>
        <v>0</v>
      </c>
      <c r="BS314" s="3298">
        <f t="shared" si="175"/>
        <v>0</v>
      </c>
      <c r="BT314" s="3350">
        <f t="shared" si="176"/>
        <v>0</v>
      </c>
    </row>
    <row r="315" spans="1:72">
      <c r="A315" s="1407"/>
      <c r="B315" s="3296"/>
      <c r="C315" s="3296"/>
      <c r="D315" s="3297"/>
      <c r="E315" s="3298">
        <f t="shared" si="177"/>
        <v>0</v>
      </c>
      <c r="F315" s="3299"/>
      <c r="G315" s="3300">
        <f t="shared" si="152"/>
        <v>0</v>
      </c>
      <c r="H315" s="3301">
        <f t="shared" si="153"/>
        <v>0</v>
      </c>
      <c r="I315" s="3308"/>
      <c r="J315" s="3308"/>
      <c r="K315" s="3308"/>
      <c r="L315" s="3308"/>
      <c r="M315" s="3308"/>
      <c r="N315" s="3308"/>
      <c r="O315" s="3308"/>
      <c r="P315" s="3308"/>
      <c r="Q315" s="3308"/>
      <c r="R315" s="3308"/>
      <c r="S315" s="3308"/>
      <c r="T315" s="3308"/>
      <c r="U315" s="3308"/>
      <c r="V315" s="3308"/>
      <c r="W315" s="3308"/>
      <c r="X315" s="3308"/>
      <c r="Y315" s="3308"/>
      <c r="Z315" s="3308"/>
      <c r="AA315" s="3308"/>
      <c r="AB315" s="3308"/>
      <c r="AC315" s="3298">
        <f t="shared" si="154"/>
        <v>0</v>
      </c>
      <c r="AD315" s="3318"/>
      <c r="AE315" s="3318"/>
      <c r="AF315" s="3318"/>
      <c r="AG315" s="3318"/>
      <c r="AH315" s="3318"/>
      <c r="AI315" s="3318"/>
      <c r="AJ315" s="3318"/>
      <c r="AK315" s="3318"/>
      <c r="AL315" s="3318"/>
      <c r="AM315" s="3318"/>
      <c r="AN315" s="3318"/>
      <c r="AO315" s="3318"/>
      <c r="AP315" s="3318"/>
      <c r="AQ315" s="3318"/>
      <c r="AR315" s="3318"/>
      <c r="AS315" s="3318"/>
      <c r="AT315" s="3328"/>
      <c r="AU315" s="3329"/>
      <c r="AV315" s="963">
        <f t="shared" si="178"/>
        <v>0</v>
      </c>
      <c r="AW315" s="963">
        <f t="shared" si="179"/>
        <v>0</v>
      </c>
      <c r="AX315" s="963">
        <f t="shared" si="180"/>
        <v>0</v>
      </c>
      <c r="AY315" s="3343">
        <f t="shared" si="155"/>
        <v>0</v>
      </c>
      <c r="AZ315" s="3298">
        <f t="shared" si="156"/>
        <v>0</v>
      </c>
      <c r="BA315" s="3298">
        <f t="shared" si="157"/>
        <v>0</v>
      </c>
      <c r="BB315" s="3298">
        <f t="shared" si="158"/>
        <v>0</v>
      </c>
      <c r="BC315" s="3298">
        <f t="shared" si="159"/>
        <v>0</v>
      </c>
      <c r="BD315" s="3298">
        <f t="shared" si="160"/>
        <v>0</v>
      </c>
      <c r="BE315" s="3298">
        <f t="shared" si="161"/>
        <v>0</v>
      </c>
      <c r="BF315" s="3298">
        <f t="shared" si="162"/>
        <v>0</v>
      </c>
      <c r="BG315" s="3298">
        <f t="shared" si="163"/>
        <v>0</v>
      </c>
      <c r="BH315" s="3298">
        <f t="shared" si="164"/>
        <v>0</v>
      </c>
      <c r="BI315" s="3298">
        <f t="shared" si="165"/>
        <v>0</v>
      </c>
      <c r="BJ315" s="3298">
        <f t="shared" si="166"/>
        <v>0</v>
      </c>
      <c r="BK315" s="3298">
        <f t="shared" si="167"/>
        <v>0</v>
      </c>
      <c r="BL315" s="3298">
        <f t="shared" si="168"/>
        <v>0</v>
      </c>
      <c r="BM315" s="3298">
        <f t="shared" si="169"/>
        <v>0</v>
      </c>
      <c r="BN315" s="3298">
        <f t="shared" si="170"/>
        <v>0</v>
      </c>
      <c r="BO315" s="3298">
        <f t="shared" si="171"/>
        <v>0</v>
      </c>
      <c r="BP315" s="3298">
        <f t="shared" si="172"/>
        <v>0</v>
      </c>
      <c r="BQ315" s="3298">
        <f t="shared" si="173"/>
        <v>0</v>
      </c>
      <c r="BR315" s="3298">
        <f t="shared" si="174"/>
        <v>0</v>
      </c>
      <c r="BS315" s="3298">
        <f t="shared" si="175"/>
        <v>0</v>
      </c>
      <c r="BT315" s="3350">
        <f t="shared" si="176"/>
        <v>0</v>
      </c>
    </row>
    <row r="316" spans="1:72">
      <c r="A316" s="1407"/>
      <c r="B316" s="3296"/>
      <c r="C316" s="3296"/>
      <c r="D316" s="3297"/>
      <c r="E316" s="3298">
        <f t="shared" si="177"/>
        <v>0</v>
      </c>
      <c r="F316" s="3299"/>
      <c r="G316" s="3300">
        <f t="shared" si="152"/>
        <v>0</v>
      </c>
      <c r="H316" s="3301">
        <f t="shared" si="153"/>
        <v>0</v>
      </c>
      <c r="I316" s="3308"/>
      <c r="J316" s="3308"/>
      <c r="K316" s="3308"/>
      <c r="L316" s="3308"/>
      <c r="M316" s="3308"/>
      <c r="N316" s="3308"/>
      <c r="O316" s="3308"/>
      <c r="P316" s="3308"/>
      <c r="Q316" s="3308"/>
      <c r="R316" s="3308"/>
      <c r="S316" s="3308"/>
      <c r="T316" s="3308"/>
      <c r="U316" s="3308"/>
      <c r="V316" s="3308"/>
      <c r="W316" s="3308"/>
      <c r="X316" s="3308"/>
      <c r="Y316" s="3308"/>
      <c r="Z316" s="3308"/>
      <c r="AA316" s="3308"/>
      <c r="AB316" s="3308"/>
      <c r="AC316" s="3298">
        <f t="shared" si="154"/>
        <v>0</v>
      </c>
      <c r="AD316" s="3318"/>
      <c r="AE316" s="3318"/>
      <c r="AF316" s="3318"/>
      <c r="AG316" s="3318"/>
      <c r="AH316" s="3318"/>
      <c r="AI316" s="3318"/>
      <c r="AJ316" s="3318"/>
      <c r="AK316" s="3318"/>
      <c r="AL316" s="3318"/>
      <c r="AM316" s="3318"/>
      <c r="AN316" s="3318"/>
      <c r="AO316" s="3318"/>
      <c r="AP316" s="3318"/>
      <c r="AQ316" s="3318"/>
      <c r="AR316" s="3318"/>
      <c r="AS316" s="3318"/>
      <c r="AT316" s="3328"/>
      <c r="AU316" s="3329"/>
      <c r="AV316" s="963">
        <f t="shared" si="178"/>
        <v>0</v>
      </c>
      <c r="AW316" s="963">
        <f t="shared" si="179"/>
        <v>0</v>
      </c>
      <c r="AX316" s="963">
        <f t="shared" si="180"/>
        <v>0</v>
      </c>
      <c r="AY316" s="3343">
        <f t="shared" si="155"/>
        <v>0</v>
      </c>
      <c r="AZ316" s="3298">
        <f t="shared" si="156"/>
        <v>0</v>
      </c>
      <c r="BA316" s="3298">
        <f t="shared" si="157"/>
        <v>0</v>
      </c>
      <c r="BB316" s="3298">
        <f t="shared" si="158"/>
        <v>0</v>
      </c>
      <c r="BC316" s="3298">
        <f t="shared" si="159"/>
        <v>0</v>
      </c>
      <c r="BD316" s="3298">
        <f t="shared" si="160"/>
        <v>0</v>
      </c>
      <c r="BE316" s="3298">
        <f t="shared" si="161"/>
        <v>0</v>
      </c>
      <c r="BF316" s="3298">
        <f t="shared" si="162"/>
        <v>0</v>
      </c>
      <c r="BG316" s="3298">
        <f t="shared" si="163"/>
        <v>0</v>
      </c>
      <c r="BH316" s="3298">
        <f t="shared" si="164"/>
        <v>0</v>
      </c>
      <c r="BI316" s="3298">
        <f t="shared" si="165"/>
        <v>0</v>
      </c>
      <c r="BJ316" s="3298">
        <f t="shared" si="166"/>
        <v>0</v>
      </c>
      <c r="BK316" s="3298">
        <f t="shared" si="167"/>
        <v>0</v>
      </c>
      <c r="BL316" s="3298">
        <f t="shared" si="168"/>
        <v>0</v>
      </c>
      <c r="BM316" s="3298">
        <f t="shared" si="169"/>
        <v>0</v>
      </c>
      <c r="BN316" s="3298">
        <f t="shared" si="170"/>
        <v>0</v>
      </c>
      <c r="BO316" s="3298">
        <f t="shared" si="171"/>
        <v>0</v>
      </c>
      <c r="BP316" s="3298">
        <f t="shared" si="172"/>
        <v>0</v>
      </c>
      <c r="BQ316" s="3298">
        <f t="shared" si="173"/>
        <v>0</v>
      </c>
      <c r="BR316" s="3298">
        <f t="shared" si="174"/>
        <v>0</v>
      </c>
      <c r="BS316" s="3298">
        <f t="shared" si="175"/>
        <v>0</v>
      </c>
      <c r="BT316" s="3350">
        <f t="shared" si="176"/>
        <v>0</v>
      </c>
    </row>
    <row r="317" spans="1:72">
      <c r="A317" s="1407"/>
      <c r="B317" s="3296"/>
      <c r="C317" s="3296"/>
      <c r="D317" s="3297"/>
      <c r="E317" s="3298">
        <f t="shared" si="177"/>
        <v>0</v>
      </c>
      <c r="F317" s="3299"/>
      <c r="G317" s="3300">
        <f t="shared" si="152"/>
        <v>0</v>
      </c>
      <c r="H317" s="3301">
        <f t="shared" si="153"/>
        <v>0</v>
      </c>
      <c r="I317" s="3308"/>
      <c r="J317" s="3308"/>
      <c r="K317" s="3308"/>
      <c r="L317" s="3308"/>
      <c r="M317" s="3308"/>
      <c r="N317" s="3308"/>
      <c r="O317" s="3308"/>
      <c r="P317" s="3308"/>
      <c r="Q317" s="3308"/>
      <c r="R317" s="3308"/>
      <c r="S317" s="3308"/>
      <c r="T317" s="3308"/>
      <c r="U317" s="3308"/>
      <c r="V317" s="3308"/>
      <c r="W317" s="3308"/>
      <c r="X317" s="3308"/>
      <c r="Y317" s="3308"/>
      <c r="Z317" s="3308"/>
      <c r="AA317" s="3308"/>
      <c r="AB317" s="3308"/>
      <c r="AC317" s="3298">
        <f t="shared" si="154"/>
        <v>0</v>
      </c>
      <c r="AD317" s="3318"/>
      <c r="AE317" s="3318"/>
      <c r="AF317" s="3318"/>
      <c r="AG317" s="3318"/>
      <c r="AH317" s="3318"/>
      <c r="AI317" s="3318"/>
      <c r="AJ317" s="3318"/>
      <c r="AK317" s="3318"/>
      <c r="AL317" s="3318"/>
      <c r="AM317" s="3318"/>
      <c r="AN317" s="3318"/>
      <c r="AO317" s="3318"/>
      <c r="AP317" s="3318"/>
      <c r="AQ317" s="3318"/>
      <c r="AR317" s="3318"/>
      <c r="AS317" s="3318"/>
      <c r="AT317" s="3328"/>
      <c r="AU317" s="3329"/>
      <c r="AV317" s="963">
        <f t="shared" si="178"/>
        <v>0</v>
      </c>
      <c r="AW317" s="963">
        <f t="shared" si="179"/>
        <v>0</v>
      </c>
      <c r="AX317" s="963">
        <f t="shared" si="180"/>
        <v>0</v>
      </c>
      <c r="AY317" s="3343">
        <f t="shared" si="155"/>
        <v>0</v>
      </c>
      <c r="AZ317" s="3298">
        <f t="shared" si="156"/>
        <v>0</v>
      </c>
      <c r="BA317" s="3298">
        <f t="shared" si="157"/>
        <v>0</v>
      </c>
      <c r="BB317" s="3298">
        <f t="shared" si="158"/>
        <v>0</v>
      </c>
      <c r="BC317" s="3298">
        <f t="shared" si="159"/>
        <v>0</v>
      </c>
      <c r="BD317" s="3298">
        <f t="shared" si="160"/>
        <v>0</v>
      </c>
      <c r="BE317" s="3298">
        <f t="shared" si="161"/>
        <v>0</v>
      </c>
      <c r="BF317" s="3298">
        <f t="shared" si="162"/>
        <v>0</v>
      </c>
      <c r="BG317" s="3298">
        <f t="shared" si="163"/>
        <v>0</v>
      </c>
      <c r="BH317" s="3298">
        <f t="shared" si="164"/>
        <v>0</v>
      </c>
      <c r="BI317" s="3298">
        <f t="shared" si="165"/>
        <v>0</v>
      </c>
      <c r="BJ317" s="3298">
        <f t="shared" si="166"/>
        <v>0</v>
      </c>
      <c r="BK317" s="3298">
        <f t="shared" si="167"/>
        <v>0</v>
      </c>
      <c r="BL317" s="3298">
        <f t="shared" si="168"/>
        <v>0</v>
      </c>
      <c r="BM317" s="3298">
        <f t="shared" si="169"/>
        <v>0</v>
      </c>
      <c r="BN317" s="3298">
        <f t="shared" si="170"/>
        <v>0</v>
      </c>
      <c r="BO317" s="3298">
        <f t="shared" si="171"/>
        <v>0</v>
      </c>
      <c r="BP317" s="3298">
        <f t="shared" si="172"/>
        <v>0</v>
      </c>
      <c r="BQ317" s="3298">
        <f t="shared" si="173"/>
        <v>0</v>
      </c>
      <c r="BR317" s="3298">
        <f t="shared" si="174"/>
        <v>0</v>
      </c>
      <c r="BS317" s="3298">
        <f t="shared" si="175"/>
        <v>0</v>
      </c>
      <c r="BT317" s="3350">
        <f t="shared" si="176"/>
        <v>0</v>
      </c>
    </row>
    <row r="318" spans="1:72">
      <c r="A318" s="1407"/>
      <c r="B318" s="3296"/>
      <c r="C318" s="3296"/>
      <c r="D318" s="3297"/>
      <c r="E318" s="3298">
        <f t="shared" si="177"/>
        <v>0</v>
      </c>
      <c r="F318" s="3299"/>
      <c r="G318" s="3300">
        <f t="shared" si="152"/>
        <v>0</v>
      </c>
      <c r="H318" s="3301">
        <f t="shared" si="153"/>
        <v>0</v>
      </c>
      <c r="I318" s="3308"/>
      <c r="J318" s="3308"/>
      <c r="K318" s="3308"/>
      <c r="L318" s="3308"/>
      <c r="M318" s="3308"/>
      <c r="N318" s="3308"/>
      <c r="O318" s="3308"/>
      <c r="P318" s="3308"/>
      <c r="Q318" s="3308"/>
      <c r="R318" s="3308"/>
      <c r="S318" s="3308"/>
      <c r="T318" s="3308"/>
      <c r="U318" s="3308"/>
      <c r="V318" s="3308"/>
      <c r="W318" s="3308"/>
      <c r="X318" s="3308"/>
      <c r="Y318" s="3308"/>
      <c r="Z318" s="3308"/>
      <c r="AA318" s="3308"/>
      <c r="AB318" s="3308"/>
      <c r="AC318" s="3298">
        <f t="shared" si="154"/>
        <v>0</v>
      </c>
      <c r="AD318" s="3318"/>
      <c r="AE318" s="3318"/>
      <c r="AF318" s="3318"/>
      <c r="AG318" s="3318"/>
      <c r="AH318" s="3318"/>
      <c r="AI318" s="3318"/>
      <c r="AJ318" s="3318"/>
      <c r="AK318" s="3318"/>
      <c r="AL318" s="3318"/>
      <c r="AM318" s="3318"/>
      <c r="AN318" s="3318"/>
      <c r="AO318" s="3318"/>
      <c r="AP318" s="3318"/>
      <c r="AQ318" s="3318"/>
      <c r="AR318" s="3318"/>
      <c r="AS318" s="3318"/>
      <c r="AT318" s="3328"/>
      <c r="AU318" s="3329"/>
      <c r="AV318" s="963">
        <f t="shared" si="178"/>
        <v>0</v>
      </c>
      <c r="AW318" s="963">
        <f t="shared" si="179"/>
        <v>0</v>
      </c>
      <c r="AX318" s="963">
        <f t="shared" si="180"/>
        <v>0</v>
      </c>
      <c r="AY318" s="3343">
        <f t="shared" si="155"/>
        <v>0</v>
      </c>
      <c r="AZ318" s="3298">
        <f t="shared" si="156"/>
        <v>0</v>
      </c>
      <c r="BA318" s="3298">
        <f t="shared" si="157"/>
        <v>0</v>
      </c>
      <c r="BB318" s="3298">
        <f t="shared" si="158"/>
        <v>0</v>
      </c>
      <c r="BC318" s="3298">
        <f t="shared" si="159"/>
        <v>0</v>
      </c>
      <c r="BD318" s="3298">
        <f t="shared" si="160"/>
        <v>0</v>
      </c>
      <c r="BE318" s="3298">
        <f t="shared" si="161"/>
        <v>0</v>
      </c>
      <c r="BF318" s="3298">
        <f t="shared" si="162"/>
        <v>0</v>
      </c>
      <c r="BG318" s="3298">
        <f t="shared" si="163"/>
        <v>0</v>
      </c>
      <c r="BH318" s="3298">
        <f t="shared" si="164"/>
        <v>0</v>
      </c>
      <c r="BI318" s="3298">
        <f t="shared" si="165"/>
        <v>0</v>
      </c>
      <c r="BJ318" s="3298">
        <f t="shared" si="166"/>
        <v>0</v>
      </c>
      <c r="BK318" s="3298">
        <f t="shared" si="167"/>
        <v>0</v>
      </c>
      <c r="BL318" s="3298">
        <f t="shared" si="168"/>
        <v>0</v>
      </c>
      <c r="BM318" s="3298">
        <f t="shared" si="169"/>
        <v>0</v>
      </c>
      <c r="BN318" s="3298">
        <f t="shared" si="170"/>
        <v>0</v>
      </c>
      <c r="BO318" s="3298">
        <f t="shared" si="171"/>
        <v>0</v>
      </c>
      <c r="BP318" s="3298">
        <f t="shared" si="172"/>
        <v>0</v>
      </c>
      <c r="BQ318" s="3298">
        <f t="shared" si="173"/>
        <v>0</v>
      </c>
      <c r="BR318" s="3298">
        <f t="shared" si="174"/>
        <v>0</v>
      </c>
      <c r="BS318" s="3298">
        <f t="shared" si="175"/>
        <v>0</v>
      </c>
      <c r="BT318" s="3350">
        <f t="shared" si="176"/>
        <v>0</v>
      </c>
    </row>
    <row r="319" spans="1:72">
      <c r="A319" s="1407"/>
      <c r="B319" s="3296"/>
      <c r="C319" s="3296"/>
      <c r="D319" s="3297"/>
      <c r="E319" s="3298">
        <f t="shared" si="177"/>
        <v>0</v>
      </c>
      <c r="F319" s="3299"/>
      <c r="G319" s="3300">
        <f t="shared" si="152"/>
        <v>0</v>
      </c>
      <c r="H319" s="3301">
        <f t="shared" si="153"/>
        <v>0</v>
      </c>
      <c r="I319" s="3308"/>
      <c r="J319" s="3308"/>
      <c r="K319" s="3308"/>
      <c r="L319" s="3308"/>
      <c r="M319" s="3308"/>
      <c r="N319" s="3308"/>
      <c r="O319" s="3308"/>
      <c r="P319" s="3308"/>
      <c r="Q319" s="3308"/>
      <c r="R319" s="3308"/>
      <c r="S319" s="3308"/>
      <c r="T319" s="3308"/>
      <c r="U319" s="3308"/>
      <c r="V319" s="3308"/>
      <c r="W319" s="3308"/>
      <c r="X319" s="3308"/>
      <c r="Y319" s="3308"/>
      <c r="Z319" s="3308"/>
      <c r="AA319" s="3308"/>
      <c r="AB319" s="3308"/>
      <c r="AC319" s="3298">
        <f t="shared" si="154"/>
        <v>0</v>
      </c>
      <c r="AD319" s="3318"/>
      <c r="AE319" s="3318"/>
      <c r="AF319" s="3318"/>
      <c r="AG319" s="3318"/>
      <c r="AH319" s="3318"/>
      <c r="AI319" s="3318"/>
      <c r="AJ319" s="3318"/>
      <c r="AK319" s="3318"/>
      <c r="AL319" s="3318"/>
      <c r="AM319" s="3318"/>
      <c r="AN319" s="3318"/>
      <c r="AO319" s="3318"/>
      <c r="AP319" s="3318"/>
      <c r="AQ319" s="3318"/>
      <c r="AR319" s="3318"/>
      <c r="AS319" s="3318"/>
      <c r="AT319" s="3328"/>
      <c r="AU319" s="3329"/>
      <c r="AV319" s="963">
        <f t="shared" si="178"/>
        <v>0</v>
      </c>
      <c r="AW319" s="963">
        <f t="shared" si="179"/>
        <v>0</v>
      </c>
      <c r="AX319" s="963">
        <f t="shared" si="180"/>
        <v>0</v>
      </c>
      <c r="AY319" s="3343">
        <f t="shared" si="155"/>
        <v>0</v>
      </c>
      <c r="AZ319" s="3298">
        <f t="shared" si="156"/>
        <v>0</v>
      </c>
      <c r="BA319" s="3298">
        <f t="shared" si="157"/>
        <v>0</v>
      </c>
      <c r="BB319" s="3298">
        <f t="shared" si="158"/>
        <v>0</v>
      </c>
      <c r="BC319" s="3298">
        <f t="shared" si="159"/>
        <v>0</v>
      </c>
      <c r="BD319" s="3298">
        <f t="shared" si="160"/>
        <v>0</v>
      </c>
      <c r="BE319" s="3298">
        <f t="shared" si="161"/>
        <v>0</v>
      </c>
      <c r="BF319" s="3298">
        <f t="shared" si="162"/>
        <v>0</v>
      </c>
      <c r="BG319" s="3298">
        <f t="shared" si="163"/>
        <v>0</v>
      </c>
      <c r="BH319" s="3298">
        <f t="shared" si="164"/>
        <v>0</v>
      </c>
      <c r="BI319" s="3298">
        <f t="shared" si="165"/>
        <v>0</v>
      </c>
      <c r="BJ319" s="3298">
        <f t="shared" si="166"/>
        <v>0</v>
      </c>
      <c r="BK319" s="3298">
        <f t="shared" si="167"/>
        <v>0</v>
      </c>
      <c r="BL319" s="3298">
        <f t="shared" si="168"/>
        <v>0</v>
      </c>
      <c r="BM319" s="3298">
        <f t="shared" si="169"/>
        <v>0</v>
      </c>
      <c r="BN319" s="3298">
        <f t="shared" si="170"/>
        <v>0</v>
      </c>
      <c r="BO319" s="3298">
        <f t="shared" si="171"/>
        <v>0</v>
      </c>
      <c r="BP319" s="3298">
        <f t="shared" si="172"/>
        <v>0</v>
      </c>
      <c r="BQ319" s="3298">
        <f t="shared" si="173"/>
        <v>0</v>
      </c>
      <c r="BR319" s="3298">
        <f t="shared" si="174"/>
        <v>0</v>
      </c>
      <c r="BS319" s="3298">
        <f t="shared" si="175"/>
        <v>0</v>
      </c>
      <c r="BT319" s="3350">
        <f t="shared" si="176"/>
        <v>0</v>
      </c>
    </row>
    <row r="320" spans="1:72">
      <c r="A320" s="1407"/>
      <c r="B320" s="3296"/>
      <c r="C320" s="3296"/>
      <c r="D320" s="3297"/>
      <c r="E320" s="3298">
        <f t="shared" si="177"/>
        <v>0</v>
      </c>
      <c r="F320" s="3299"/>
      <c r="G320" s="3300">
        <f t="shared" si="152"/>
        <v>0</v>
      </c>
      <c r="H320" s="3301">
        <f t="shared" si="153"/>
        <v>0</v>
      </c>
      <c r="I320" s="3308"/>
      <c r="J320" s="3308"/>
      <c r="K320" s="3308"/>
      <c r="L320" s="3308"/>
      <c r="M320" s="3308"/>
      <c r="N320" s="3308"/>
      <c r="O320" s="3308"/>
      <c r="P320" s="3308"/>
      <c r="Q320" s="3308"/>
      <c r="R320" s="3308"/>
      <c r="S320" s="3308"/>
      <c r="T320" s="3308"/>
      <c r="U320" s="3308"/>
      <c r="V320" s="3308"/>
      <c r="W320" s="3308"/>
      <c r="X320" s="3308"/>
      <c r="Y320" s="3308"/>
      <c r="Z320" s="3308"/>
      <c r="AA320" s="3308"/>
      <c r="AB320" s="3308"/>
      <c r="AC320" s="3298">
        <f t="shared" si="154"/>
        <v>0</v>
      </c>
      <c r="AD320" s="3318"/>
      <c r="AE320" s="3318"/>
      <c r="AF320" s="3318"/>
      <c r="AG320" s="3318"/>
      <c r="AH320" s="3318"/>
      <c r="AI320" s="3318"/>
      <c r="AJ320" s="3318"/>
      <c r="AK320" s="3318"/>
      <c r="AL320" s="3318"/>
      <c r="AM320" s="3318"/>
      <c r="AN320" s="3318"/>
      <c r="AO320" s="3318"/>
      <c r="AP320" s="3318"/>
      <c r="AQ320" s="3318"/>
      <c r="AR320" s="3318"/>
      <c r="AS320" s="3318"/>
      <c r="AT320" s="3328"/>
      <c r="AU320" s="3329"/>
      <c r="AV320" s="963">
        <f t="shared" si="178"/>
        <v>0</v>
      </c>
      <c r="AW320" s="963">
        <f t="shared" si="179"/>
        <v>0</v>
      </c>
      <c r="AX320" s="963">
        <f t="shared" si="180"/>
        <v>0</v>
      </c>
      <c r="AY320" s="3343">
        <f t="shared" si="155"/>
        <v>0</v>
      </c>
      <c r="AZ320" s="3298">
        <f t="shared" si="156"/>
        <v>0</v>
      </c>
      <c r="BA320" s="3298">
        <f t="shared" si="157"/>
        <v>0</v>
      </c>
      <c r="BB320" s="3298">
        <f t="shared" si="158"/>
        <v>0</v>
      </c>
      <c r="BC320" s="3298">
        <f t="shared" si="159"/>
        <v>0</v>
      </c>
      <c r="BD320" s="3298">
        <f t="shared" si="160"/>
        <v>0</v>
      </c>
      <c r="BE320" s="3298">
        <f t="shared" si="161"/>
        <v>0</v>
      </c>
      <c r="BF320" s="3298">
        <f t="shared" si="162"/>
        <v>0</v>
      </c>
      <c r="BG320" s="3298">
        <f t="shared" si="163"/>
        <v>0</v>
      </c>
      <c r="BH320" s="3298">
        <f t="shared" si="164"/>
        <v>0</v>
      </c>
      <c r="BI320" s="3298">
        <f t="shared" si="165"/>
        <v>0</v>
      </c>
      <c r="BJ320" s="3298">
        <f t="shared" si="166"/>
        <v>0</v>
      </c>
      <c r="BK320" s="3298">
        <f t="shared" si="167"/>
        <v>0</v>
      </c>
      <c r="BL320" s="3298">
        <f t="shared" si="168"/>
        <v>0</v>
      </c>
      <c r="BM320" s="3298">
        <f t="shared" si="169"/>
        <v>0</v>
      </c>
      <c r="BN320" s="3298">
        <f t="shared" si="170"/>
        <v>0</v>
      </c>
      <c r="BO320" s="3298">
        <f t="shared" si="171"/>
        <v>0</v>
      </c>
      <c r="BP320" s="3298">
        <f t="shared" si="172"/>
        <v>0</v>
      </c>
      <c r="BQ320" s="3298">
        <f t="shared" si="173"/>
        <v>0</v>
      </c>
      <c r="BR320" s="3298">
        <f t="shared" si="174"/>
        <v>0</v>
      </c>
      <c r="BS320" s="3298">
        <f t="shared" si="175"/>
        <v>0</v>
      </c>
      <c r="BT320" s="3350">
        <f t="shared" si="176"/>
        <v>0</v>
      </c>
    </row>
    <row r="321" spans="1:72">
      <c r="A321" s="1407"/>
      <c r="B321" s="3296"/>
      <c r="C321" s="3296"/>
      <c r="D321" s="3297"/>
      <c r="E321" s="3298">
        <f t="shared" si="177"/>
        <v>0</v>
      </c>
      <c r="F321" s="3299"/>
      <c r="G321" s="3300">
        <f t="shared" si="152"/>
        <v>0</v>
      </c>
      <c r="H321" s="3301">
        <f t="shared" si="153"/>
        <v>0</v>
      </c>
      <c r="I321" s="3308"/>
      <c r="J321" s="3308"/>
      <c r="K321" s="3308"/>
      <c r="L321" s="3308"/>
      <c r="M321" s="3308"/>
      <c r="N321" s="3308"/>
      <c r="O321" s="3308"/>
      <c r="P321" s="3308"/>
      <c r="Q321" s="3308"/>
      <c r="R321" s="3308"/>
      <c r="S321" s="3308"/>
      <c r="T321" s="3308"/>
      <c r="U321" s="3308"/>
      <c r="V321" s="3308"/>
      <c r="W321" s="3308"/>
      <c r="X321" s="3308"/>
      <c r="Y321" s="3308"/>
      <c r="Z321" s="3308"/>
      <c r="AA321" s="3308"/>
      <c r="AB321" s="3308"/>
      <c r="AC321" s="3298">
        <f t="shared" si="154"/>
        <v>0</v>
      </c>
      <c r="AD321" s="3318"/>
      <c r="AE321" s="3318"/>
      <c r="AF321" s="3318"/>
      <c r="AG321" s="3318"/>
      <c r="AH321" s="3318"/>
      <c r="AI321" s="3318"/>
      <c r="AJ321" s="3318"/>
      <c r="AK321" s="3318"/>
      <c r="AL321" s="3318"/>
      <c r="AM321" s="3318"/>
      <c r="AN321" s="3318"/>
      <c r="AO321" s="3318"/>
      <c r="AP321" s="3318"/>
      <c r="AQ321" s="3318"/>
      <c r="AR321" s="3318"/>
      <c r="AS321" s="3318"/>
      <c r="AT321" s="3328"/>
      <c r="AU321" s="3329"/>
      <c r="AV321" s="963">
        <f t="shared" si="178"/>
        <v>0</v>
      </c>
      <c r="AW321" s="963">
        <f t="shared" si="179"/>
        <v>0</v>
      </c>
      <c r="AX321" s="963">
        <f t="shared" si="180"/>
        <v>0</v>
      </c>
      <c r="AY321" s="3343">
        <f t="shared" si="155"/>
        <v>0</v>
      </c>
      <c r="AZ321" s="3298">
        <f t="shared" si="156"/>
        <v>0</v>
      </c>
      <c r="BA321" s="3298">
        <f t="shared" si="157"/>
        <v>0</v>
      </c>
      <c r="BB321" s="3298">
        <f t="shared" si="158"/>
        <v>0</v>
      </c>
      <c r="BC321" s="3298">
        <f t="shared" si="159"/>
        <v>0</v>
      </c>
      <c r="BD321" s="3298">
        <f t="shared" si="160"/>
        <v>0</v>
      </c>
      <c r="BE321" s="3298">
        <f t="shared" si="161"/>
        <v>0</v>
      </c>
      <c r="BF321" s="3298">
        <f t="shared" si="162"/>
        <v>0</v>
      </c>
      <c r="BG321" s="3298">
        <f t="shared" si="163"/>
        <v>0</v>
      </c>
      <c r="BH321" s="3298">
        <f t="shared" si="164"/>
        <v>0</v>
      </c>
      <c r="BI321" s="3298">
        <f t="shared" si="165"/>
        <v>0</v>
      </c>
      <c r="BJ321" s="3298">
        <f t="shared" si="166"/>
        <v>0</v>
      </c>
      <c r="BK321" s="3298">
        <f t="shared" si="167"/>
        <v>0</v>
      </c>
      <c r="BL321" s="3298">
        <f t="shared" si="168"/>
        <v>0</v>
      </c>
      <c r="BM321" s="3298">
        <f t="shared" si="169"/>
        <v>0</v>
      </c>
      <c r="BN321" s="3298">
        <f t="shared" si="170"/>
        <v>0</v>
      </c>
      <c r="BO321" s="3298">
        <f t="shared" si="171"/>
        <v>0</v>
      </c>
      <c r="BP321" s="3298">
        <f t="shared" si="172"/>
        <v>0</v>
      </c>
      <c r="BQ321" s="3298">
        <f t="shared" si="173"/>
        <v>0</v>
      </c>
      <c r="BR321" s="3298">
        <f t="shared" si="174"/>
        <v>0</v>
      </c>
      <c r="BS321" s="3298">
        <f t="shared" si="175"/>
        <v>0</v>
      </c>
      <c r="BT321" s="3350">
        <f t="shared" si="176"/>
        <v>0</v>
      </c>
    </row>
    <row r="322" spans="1:72">
      <c r="A322" s="1407"/>
      <c r="B322" s="3296"/>
      <c r="C322" s="3296"/>
      <c r="D322" s="3297"/>
      <c r="E322" s="3298">
        <f t="shared" si="177"/>
        <v>0</v>
      </c>
      <c r="F322" s="3299"/>
      <c r="G322" s="3300">
        <f t="shared" si="152"/>
        <v>0</v>
      </c>
      <c r="H322" s="3301">
        <f t="shared" si="153"/>
        <v>0</v>
      </c>
      <c r="I322" s="3308"/>
      <c r="J322" s="3308"/>
      <c r="K322" s="3308"/>
      <c r="L322" s="3308"/>
      <c r="M322" s="3308"/>
      <c r="N322" s="3308"/>
      <c r="O322" s="3308"/>
      <c r="P322" s="3308"/>
      <c r="Q322" s="3308"/>
      <c r="R322" s="3308"/>
      <c r="S322" s="3308"/>
      <c r="T322" s="3308"/>
      <c r="U322" s="3308"/>
      <c r="V322" s="3308"/>
      <c r="W322" s="3308"/>
      <c r="X322" s="3308"/>
      <c r="Y322" s="3308"/>
      <c r="Z322" s="3308"/>
      <c r="AA322" s="3308"/>
      <c r="AB322" s="3308"/>
      <c r="AC322" s="3298">
        <f t="shared" si="154"/>
        <v>0</v>
      </c>
      <c r="AD322" s="3318"/>
      <c r="AE322" s="3318"/>
      <c r="AF322" s="3318"/>
      <c r="AG322" s="3318"/>
      <c r="AH322" s="3318"/>
      <c r="AI322" s="3318"/>
      <c r="AJ322" s="3318"/>
      <c r="AK322" s="3318"/>
      <c r="AL322" s="3318"/>
      <c r="AM322" s="3318"/>
      <c r="AN322" s="3318"/>
      <c r="AO322" s="3318"/>
      <c r="AP322" s="3318"/>
      <c r="AQ322" s="3318"/>
      <c r="AR322" s="3318"/>
      <c r="AS322" s="3318"/>
      <c r="AT322" s="3328"/>
      <c r="AU322" s="3329"/>
      <c r="AV322" s="963">
        <f t="shared" si="178"/>
        <v>0</v>
      </c>
      <c r="AW322" s="963">
        <f t="shared" si="179"/>
        <v>0</v>
      </c>
      <c r="AX322" s="963">
        <f t="shared" si="180"/>
        <v>0</v>
      </c>
      <c r="AY322" s="3343">
        <f t="shared" si="155"/>
        <v>0</v>
      </c>
      <c r="AZ322" s="3298">
        <f t="shared" si="156"/>
        <v>0</v>
      </c>
      <c r="BA322" s="3298">
        <f t="shared" si="157"/>
        <v>0</v>
      </c>
      <c r="BB322" s="3298">
        <f t="shared" si="158"/>
        <v>0</v>
      </c>
      <c r="BC322" s="3298">
        <f t="shared" si="159"/>
        <v>0</v>
      </c>
      <c r="BD322" s="3298">
        <f t="shared" si="160"/>
        <v>0</v>
      </c>
      <c r="BE322" s="3298">
        <f t="shared" si="161"/>
        <v>0</v>
      </c>
      <c r="BF322" s="3298">
        <f t="shared" si="162"/>
        <v>0</v>
      </c>
      <c r="BG322" s="3298">
        <f t="shared" si="163"/>
        <v>0</v>
      </c>
      <c r="BH322" s="3298">
        <f t="shared" si="164"/>
        <v>0</v>
      </c>
      <c r="BI322" s="3298">
        <f t="shared" si="165"/>
        <v>0</v>
      </c>
      <c r="BJ322" s="3298">
        <f t="shared" si="166"/>
        <v>0</v>
      </c>
      <c r="BK322" s="3298">
        <f t="shared" si="167"/>
        <v>0</v>
      </c>
      <c r="BL322" s="3298">
        <f t="shared" si="168"/>
        <v>0</v>
      </c>
      <c r="BM322" s="3298">
        <f t="shared" si="169"/>
        <v>0</v>
      </c>
      <c r="BN322" s="3298">
        <f t="shared" si="170"/>
        <v>0</v>
      </c>
      <c r="BO322" s="3298">
        <f t="shared" si="171"/>
        <v>0</v>
      </c>
      <c r="BP322" s="3298">
        <f t="shared" si="172"/>
        <v>0</v>
      </c>
      <c r="BQ322" s="3298">
        <f t="shared" si="173"/>
        <v>0</v>
      </c>
      <c r="BR322" s="3298">
        <f t="shared" si="174"/>
        <v>0</v>
      </c>
      <c r="BS322" s="3298">
        <f t="shared" si="175"/>
        <v>0</v>
      </c>
      <c r="BT322" s="3350">
        <f t="shared" si="176"/>
        <v>0</v>
      </c>
    </row>
    <row r="323" spans="1:72">
      <c r="A323" s="1407"/>
      <c r="B323" s="3296"/>
      <c r="C323" s="3296"/>
      <c r="D323" s="3297"/>
      <c r="E323" s="3298">
        <f t="shared" si="177"/>
        <v>0</v>
      </c>
      <c r="F323" s="3299"/>
      <c r="G323" s="3300">
        <f t="shared" si="152"/>
        <v>0</v>
      </c>
      <c r="H323" s="3301">
        <f t="shared" si="153"/>
        <v>0</v>
      </c>
      <c r="I323" s="3308"/>
      <c r="J323" s="3308"/>
      <c r="K323" s="3308"/>
      <c r="L323" s="3308"/>
      <c r="M323" s="3308"/>
      <c r="N323" s="3308"/>
      <c r="O323" s="3308"/>
      <c r="P323" s="3308"/>
      <c r="Q323" s="3308"/>
      <c r="R323" s="3308"/>
      <c r="S323" s="3308"/>
      <c r="T323" s="3308"/>
      <c r="U323" s="3308"/>
      <c r="V323" s="3308"/>
      <c r="W323" s="3308"/>
      <c r="X323" s="3308"/>
      <c r="Y323" s="3308"/>
      <c r="Z323" s="3308"/>
      <c r="AA323" s="3308"/>
      <c r="AB323" s="3308"/>
      <c r="AC323" s="3298">
        <f t="shared" si="154"/>
        <v>0</v>
      </c>
      <c r="AD323" s="3318"/>
      <c r="AE323" s="3318"/>
      <c r="AF323" s="3318"/>
      <c r="AG323" s="3318"/>
      <c r="AH323" s="3318"/>
      <c r="AI323" s="3318"/>
      <c r="AJ323" s="3318"/>
      <c r="AK323" s="3318"/>
      <c r="AL323" s="3318"/>
      <c r="AM323" s="3318"/>
      <c r="AN323" s="3318"/>
      <c r="AO323" s="3318"/>
      <c r="AP323" s="3318"/>
      <c r="AQ323" s="3318"/>
      <c r="AR323" s="3318"/>
      <c r="AS323" s="3318"/>
      <c r="AT323" s="3328"/>
      <c r="AU323" s="3329"/>
      <c r="AV323" s="963">
        <f t="shared" si="178"/>
        <v>0</v>
      </c>
      <c r="AW323" s="963">
        <f t="shared" si="179"/>
        <v>0</v>
      </c>
      <c r="AX323" s="963">
        <f t="shared" si="180"/>
        <v>0</v>
      </c>
      <c r="AY323" s="3343">
        <f t="shared" si="155"/>
        <v>0</v>
      </c>
      <c r="AZ323" s="3298">
        <f t="shared" si="156"/>
        <v>0</v>
      </c>
      <c r="BA323" s="3298">
        <f t="shared" si="157"/>
        <v>0</v>
      </c>
      <c r="BB323" s="3298">
        <f t="shared" si="158"/>
        <v>0</v>
      </c>
      <c r="BC323" s="3298">
        <f t="shared" si="159"/>
        <v>0</v>
      </c>
      <c r="BD323" s="3298">
        <f t="shared" si="160"/>
        <v>0</v>
      </c>
      <c r="BE323" s="3298">
        <f t="shared" si="161"/>
        <v>0</v>
      </c>
      <c r="BF323" s="3298">
        <f t="shared" si="162"/>
        <v>0</v>
      </c>
      <c r="BG323" s="3298">
        <f t="shared" si="163"/>
        <v>0</v>
      </c>
      <c r="BH323" s="3298">
        <f t="shared" si="164"/>
        <v>0</v>
      </c>
      <c r="BI323" s="3298">
        <f t="shared" si="165"/>
        <v>0</v>
      </c>
      <c r="BJ323" s="3298">
        <f t="shared" si="166"/>
        <v>0</v>
      </c>
      <c r="BK323" s="3298">
        <f t="shared" si="167"/>
        <v>0</v>
      </c>
      <c r="BL323" s="3298">
        <f t="shared" si="168"/>
        <v>0</v>
      </c>
      <c r="BM323" s="3298">
        <f t="shared" si="169"/>
        <v>0</v>
      </c>
      <c r="BN323" s="3298">
        <f t="shared" si="170"/>
        <v>0</v>
      </c>
      <c r="BO323" s="3298">
        <f t="shared" si="171"/>
        <v>0</v>
      </c>
      <c r="BP323" s="3298">
        <f t="shared" si="172"/>
        <v>0</v>
      </c>
      <c r="BQ323" s="3298">
        <f t="shared" si="173"/>
        <v>0</v>
      </c>
      <c r="BR323" s="3298">
        <f t="shared" si="174"/>
        <v>0</v>
      </c>
      <c r="BS323" s="3298">
        <f t="shared" si="175"/>
        <v>0</v>
      </c>
      <c r="BT323" s="3350">
        <f t="shared" si="176"/>
        <v>0</v>
      </c>
    </row>
    <row r="324" spans="1:72">
      <c r="A324" s="1407"/>
      <c r="B324" s="3296"/>
      <c r="C324" s="3296"/>
      <c r="D324" s="3297"/>
      <c r="E324" s="3298">
        <f t="shared" si="177"/>
        <v>0</v>
      </c>
      <c r="F324" s="3299"/>
      <c r="G324" s="3300">
        <f t="shared" si="152"/>
        <v>0</v>
      </c>
      <c r="H324" s="3301">
        <f t="shared" si="153"/>
        <v>0</v>
      </c>
      <c r="I324" s="3308"/>
      <c r="J324" s="3308"/>
      <c r="K324" s="3308"/>
      <c r="L324" s="3308"/>
      <c r="M324" s="3308"/>
      <c r="N324" s="3308"/>
      <c r="O324" s="3308"/>
      <c r="P324" s="3308"/>
      <c r="Q324" s="3308"/>
      <c r="R324" s="3308"/>
      <c r="S324" s="3308"/>
      <c r="T324" s="3308"/>
      <c r="U324" s="3308"/>
      <c r="V324" s="3308"/>
      <c r="W324" s="3308"/>
      <c r="X324" s="3308"/>
      <c r="Y324" s="3308"/>
      <c r="Z324" s="3308"/>
      <c r="AA324" s="3308"/>
      <c r="AB324" s="3308"/>
      <c r="AC324" s="3298">
        <f t="shared" si="154"/>
        <v>0</v>
      </c>
      <c r="AD324" s="3318"/>
      <c r="AE324" s="3318"/>
      <c r="AF324" s="3318"/>
      <c r="AG324" s="3318"/>
      <c r="AH324" s="3318"/>
      <c r="AI324" s="3318"/>
      <c r="AJ324" s="3318"/>
      <c r="AK324" s="3318"/>
      <c r="AL324" s="3318"/>
      <c r="AM324" s="3318"/>
      <c r="AN324" s="3318"/>
      <c r="AO324" s="3318"/>
      <c r="AP324" s="3318"/>
      <c r="AQ324" s="3318"/>
      <c r="AR324" s="3318"/>
      <c r="AS324" s="3318"/>
      <c r="AT324" s="3328"/>
      <c r="AU324" s="3329"/>
      <c r="AV324" s="963">
        <f t="shared" si="178"/>
        <v>0</v>
      </c>
      <c r="AW324" s="963">
        <f t="shared" si="179"/>
        <v>0</v>
      </c>
      <c r="AX324" s="963">
        <f t="shared" si="180"/>
        <v>0</v>
      </c>
      <c r="AY324" s="3343">
        <f t="shared" si="155"/>
        <v>0</v>
      </c>
      <c r="AZ324" s="3298">
        <f t="shared" si="156"/>
        <v>0</v>
      </c>
      <c r="BA324" s="3298">
        <f t="shared" si="157"/>
        <v>0</v>
      </c>
      <c r="BB324" s="3298">
        <f t="shared" si="158"/>
        <v>0</v>
      </c>
      <c r="BC324" s="3298">
        <f t="shared" si="159"/>
        <v>0</v>
      </c>
      <c r="BD324" s="3298">
        <f t="shared" si="160"/>
        <v>0</v>
      </c>
      <c r="BE324" s="3298">
        <f t="shared" si="161"/>
        <v>0</v>
      </c>
      <c r="BF324" s="3298">
        <f t="shared" si="162"/>
        <v>0</v>
      </c>
      <c r="BG324" s="3298">
        <f t="shared" si="163"/>
        <v>0</v>
      </c>
      <c r="BH324" s="3298">
        <f t="shared" si="164"/>
        <v>0</v>
      </c>
      <c r="BI324" s="3298">
        <f t="shared" si="165"/>
        <v>0</v>
      </c>
      <c r="BJ324" s="3298">
        <f t="shared" si="166"/>
        <v>0</v>
      </c>
      <c r="BK324" s="3298">
        <f t="shared" si="167"/>
        <v>0</v>
      </c>
      <c r="BL324" s="3298">
        <f t="shared" si="168"/>
        <v>0</v>
      </c>
      <c r="BM324" s="3298">
        <f t="shared" si="169"/>
        <v>0</v>
      </c>
      <c r="BN324" s="3298">
        <f t="shared" si="170"/>
        <v>0</v>
      </c>
      <c r="BO324" s="3298">
        <f t="shared" si="171"/>
        <v>0</v>
      </c>
      <c r="BP324" s="3298">
        <f t="shared" si="172"/>
        <v>0</v>
      </c>
      <c r="BQ324" s="3298">
        <f t="shared" si="173"/>
        <v>0</v>
      </c>
      <c r="BR324" s="3298">
        <f t="shared" si="174"/>
        <v>0</v>
      </c>
      <c r="BS324" s="3298">
        <f t="shared" si="175"/>
        <v>0</v>
      </c>
      <c r="BT324" s="3350">
        <f t="shared" si="176"/>
        <v>0</v>
      </c>
    </row>
    <row r="325" spans="1:72">
      <c r="A325" s="1407"/>
      <c r="B325" s="3296"/>
      <c r="C325" s="3296"/>
      <c r="D325" s="3297"/>
      <c r="E325" s="3298">
        <f t="shared" si="177"/>
        <v>0</v>
      </c>
      <c r="F325" s="3299"/>
      <c r="G325" s="3300">
        <f t="shared" si="152"/>
        <v>0</v>
      </c>
      <c r="H325" s="3301">
        <f t="shared" si="153"/>
        <v>0</v>
      </c>
      <c r="I325" s="3308"/>
      <c r="J325" s="3308"/>
      <c r="K325" s="3308"/>
      <c r="L325" s="3308"/>
      <c r="M325" s="3308"/>
      <c r="N325" s="3308"/>
      <c r="O325" s="3308"/>
      <c r="P325" s="3308"/>
      <c r="Q325" s="3308"/>
      <c r="R325" s="3308"/>
      <c r="S325" s="3308"/>
      <c r="T325" s="3308"/>
      <c r="U325" s="3308"/>
      <c r="V325" s="3308"/>
      <c r="W325" s="3308"/>
      <c r="X325" s="3308"/>
      <c r="Y325" s="3308"/>
      <c r="Z325" s="3308"/>
      <c r="AA325" s="3308"/>
      <c r="AB325" s="3308"/>
      <c r="AC325" s="3298">
        <f t="shared" si="154"/>
        <v>0</v>
      </c>
      <c r="AD325" s="3318"/>
      <c r="AE325" s="3318"/>
      <c r="AF325" s="3318"/>
      <c r="AG325" s="3318"/>
      <c r="AH325" s="3318"/>
      <c r="AI325" s="3318"/>
      <c r="AJ325" s="3318"/>
      <c r="AK325" s="3318"/>
      <c r="AL325" s="3318"/>
      <c r="AM325" s="3318"/>
      <c r="AN325" s="3318"/>
      <c r="AO325" s="3318"/>
      <c r="AP325" s="3318"/>
      <c r="AQ325" s="3318"/>
      <c r="AR325" s="3318"/>
      <c r="AS325" s="3318"/>
      <c r="AT325" s="3328"/>
      <c r="AU325" s="3329"/>
      <c r="AV325" s="963">
        <f t="shared" si="178"/>
        <v>0</v>
      </c>
      <c r="AW325" s="963">
        <f t="shared" si="179"/>
        <v>0</v>
      </c>
      <c r="AX325" s="963">
        <f t="shared" si="180"/>
        <v>0</v>
      </c>
      <c r="AY325" s="3343">
        <f t="shared" si="155"/>
        <v>0</v>
      </c>
      <c r="AZ325" s="3298">
        <f t="shared" si="156"/>
        <v>0</v>
      </c>
      <c r="BA325" s="3298">
        <f t="shared" si="157"/>
        <v>0</v>
      </c>
      <c r="BB325" s="3298">
        <f t="shared" si="158"/>
        <v>0</v>
      </c>
      <c r="BC325" s="3298">
        <f t="shared" si="159"/>
        <v>0</v>
      </c>
      <c r="BD325" s="3298">
        <f t="shared" si="160"/>
        <v>0</v>
      </c>
      <c r="BE325" s="3298">
        <f t="shared" si="161"/>
        <v>0</v>
      </c>
      <c r="BF325" s="3298">
        <f t="shared" si="162"/>
        <v>0</v>
      </c>
      <c r="BG325" s="3298">
        <f t="shared" si="163"/>
        <v>0</v>
      </c>
      <c r="BH325" s="3298">
        <f t="shared" si="164"/>
        <v>0</v>
      </c>
      <c r="BI325" s="3298">
        <f t="shared" si="165"/>
        <v>0</v>
      </c>
      <c r="BJ325" s="3298">
        <f t="shared" si="166"/>
        <v>0</v>
      </c>
      <c r="BK325" s="3298">
        <f t="shared" si="167"/>
        <v>0</v>
      </c>
      <c r="BL325" s="3298">
        <f t="shared" si="168"/>
        <v>0</v>
      </c>
      <c r="BM325" s="3298">
        <f t="shared" si="169"/>
        <v>0</v>
      </c>
      <c r="BN325" s="3298">
        <f t="shared" si="170"/>
        <v>0</v>
      </c>
      <c r="BO325" s="3298">
        <f t="shared" si="171"/>
        <v>0</v>
      </c>
      <c r="BP325" s="3298">
        <f t="shared" si="172"/>
        <v>0</v>
      </c>
      <c r="BQ325" s="3298">
        <f t="shared" si="173"/>
        <v>0</v>
      </c>
      <c r="BR325" s="3298">
        <f t="shared" si="174"/>
        <v>0</v>
      </c>
      <c r="BS325" s="3298">
        <f t="shared" si="175"/>
        <v>0</v>
      </c>
      <c r="BT325" s="3350">
        <f t="shared" si="176"/>
        <v>0</v>
      </c>
    </row>
    <row r="326" spans="1:72">
      <c r="A326" s="1407"/>
      <c r="B326" s="3296"/>
      <c r="C326" s="3296"/>
      <c r="D326" s="3297"/>
      <c r="E326" s="3298">
        <f t="shared" si="177"/>
        <v>0</v>
      </c>
      <c r="F326" s="3299"/>
      <c r="G326" s="3300">
        <f t="shared" si="152"/>
        <v>0</v>
      </c>
      <c r="H326" s="3301">
        <f t="shared" si="153"/>
        <v>0</v>
      </c>
      <c r="I326" s="3308"/>
      <c r="J326" s="3308"/>
      <c r="K326" s="3308"/>
      <c r="L326" s="3308"/>
      <c r="M326" s="3308"/>
      <c r="N326" s="3308"/>
      <c r="O326" s="3308"/>
      <c r="P326" s="3308"/>
      <c r="Q326" s="3308"/>
      <c r="R326" s="3308"/>
      <c r="S326" s="3308"/>
      <c r="T326" s="3308"/>
      <c r="U326" s="3308"/>
      <c r="V326" s="3308"/>
      <c r="W326" s="3308"/>
      <c r="X326" s="3308"/>
      <c r="Y326" s="3308"/>
      <c r="Z326" s="3308"/>
      <c r="AA326" s="3308"/>
      <c r="AB326" s="3308"/>
      <c r="AC326" s="3298">
        <f t="shared" si="154"/>
        <v>0</v>
      </c>
      <c r="AD326" s="3318"/>
      <c r="AE326" s="3318"/>
      <c r="AF326" s="3318"/>
      <c r="AG326" s="3318"/>
      <c r="AH326" s="3318"/>
      <c r="AI326" s="3318"/>
      <c r="AJ326" s="3318"/>
      <c r="AK326" s="3318"/>
      <c r="AL326" s="3318"/>
      <c r="AM326" s="3318"/>
      <c r="AN326" s="3318"/>
      <c r="AO326" s="3318"/>
      <c r="AP326" s="3318"/>
      <c r="AQ326" s="3318"/>
      <c r="AR326" s="3318"/>
      <c r="AS326" s="3318"/>
      <c r="AT326" s="3328"/>
      <c r="AU326" s="3329"/>
      <c r="AV326" s="963">
        <f t="shared" si="178"/>
        <v>0</v>
      </c>
      <c r="AW326" s="963">
        <f t="shared" si="179"/>
        <v>0</v>
      </c>
      <c r="AX326" s="963">
        <f t="shared" si="180"/>
        <v>0</v>
      </c>
      <c r="AY326" s="3343">
        <f t="shared" si="155"/>
        <v>0</v>
      </c>
      <c r="AZ326" s="3298">
        <f t="shared" si="156"/>
        <v>0</v>
      </c>
      <c r="BA326" s="3298">
        <f t="shared" si="157"/>
        <v>0</v>
      </c>
      <c r="BB326" s="3298">
        <f t="shared" si="158"/>
        <v>0</v>
      </c>
      <c r="BC326" s="3298">
        <f t="shared" si="159"/>
        <v>0</v>
      </c>
      <c r="BD326" s="3298">
        <f t="shared" si="160"/>
        <v>0</v>
      </c>
      <c r="BE326" s="3298">
        <f t="shared" si="161"/>
        <v>0</v>
      </c>
      <c r="BF326" s="3298">
        <f t="shared" si="162"/>
        <v>0</v>
      </c>
      <c r="BG326" s="3298">
        <f t="shared" si="163"/>
        <v>0</v>
      </c>
      <c r="BH326" s="3298">
        <f t="shared" si="164"/>
        <v>0</v>
      </c>
      <c r="BI326" s="3298">
        <f t="shared" si="165"/>
        <v>0</v>
      </c>
      <c r="BJ326" s="3298">
        <f t="shared" si="166"/>
        <v>0</v>
      </c>
      <c r="BK326" s="3298">
        <f t="shared" si="167"/>
        <v>0</v>
      </c>
      <c r="BL326" s="3298">
        <f t="shared" si="168"/>
        <v>0</v>
      </c>
      <c r="BM326" s="3298">
        <f t="shared" si="169"/>
        <v>0</v>
      </c>
      <c r="BN326" s="3298">
        <f t="shared" si="170"/>
        <v>0</v>
      </c>
      <c r="BO326" s="3298">
        <f t="shared" si="171"/>
        <v>0</v>
      </c>
      <c r="BP326" s="3298">
        <f t="shared" si="172"/>
        <v>0</v>
      </c>
      <c r="BQ326" s="3298">
        <f t="shared" si="173"/>
        <v>0</v>
      </c>
      <c r="BR326" s="3298">
        <f t="shared" si="174"/>
        <v>0</v>
      </c>
      <c r="BS326" s="3298">
        <f t="shared" si="175"/>
        <v>0</v>
      </c>
      <c r="BT326" s="3350">
        <f t="shared" si="176"/>
        <v>0</v>
      </c>
    </row>
    <row r="327" spans="1:72">
      <c r="A327" s="1407"/>
      <c r="B327" s="3296"/>
      <c r="C327" s="3296"/>
      <c r="D327" s="3297"/>
      <c r="E327" s="3298">
        <f t="shared" si="177"/>
        <v>0</v>
      </c>
      <c r="F327" s="3299"/>
      <c r="G327" s="3300">
        <f t="shared" si="152"/>
        <v>0</v>
      </c>
      <c r="H327" s="3301">
        <f t="shared" si="153"/>
        <v>0</v>
      </c>
      <c r="I327" s="3308"/>
      <c r="J327" s="3308"/>
      <c r="K327" s="3308"/>
      <c r="L327" s="3308"/>
      <c r="M327" s="3308"/>
      <c r="N327" s="3308"/>
      <c r="O327" s="3308"/>
      <c r="P327" s="3308"/>
      <c r="Q327" s="3308"/>
      <c r="R327" s="3308"/>
      <c r="S327" s="3308"/>
      <c r="T327" s="3308"/>
      <c r="U327" s="3308"/>
      <c r="V327" s="3308"/>
      <c r="W327" s="3308"/>
      <c r="X327" s="3308"/>
      <c r="Y327" s="3308"/>
      <c r="Z327" s="3308"/>
      <c r="AA327" s="3308"/>
      <c r="AB327" s="3308"/>
      <c r="AC327" s="3298">
        <f t="shared" si="154"/>
        <v>0</v>
      </c>
      <c r="AD327" s="3318"/>
      <c r="AE327" s="3318"/>
      <c r="AF327" s="3318"/>
      <c r="AG327" s="3318"/>
      <c r="AH327" s="3318"/>
      <c r="AI327" s="3318"/>
      <c r="AJ327" s="3318"/>
      <c r="AK327" s="3318"/>
      <c r="AL327" s="3318"/>
      <c r="AM327" s="3318"/>
      <c r="AN327" s="3318"/>
      <c r="AO327" s="3318"/>
      <c r="AP327" s="3318"/>
      <c r="AQ327" s="3318"/>
      <c r="AR327" s="3318"/>
      <c r="AS327" s="3318"/>
      <c r="AT327" s="3328"/>
      <c r="AU327" s="3329"/>
      <c r="AV327" s="963">
        <f t="shared" si="178"/>
        <v>0</v>
      </c>
      <c r="AW327" s="963">
        <f t="shared" si="179"/>
        <v>0</v>
      </c>
      <c r="AX327" s="963">
        <f t="shared" si="180"/>
        <v>0</v>
      </c>
      <c r="AY327" s="3343">
        <f t="shared" si="155"/>
        <v>0</v>
      </c>
      <c r="AZ327" s="3298">
        <f t="shared" si="156"/>
        <v>0</v>
      </c>
      <c r="BA327" s="3298">
        <f t="shared" si="157"/>
        <v>0</v>
      </c>
      <c r="BB327" s="3298">
        <f t="shared" si="158"/>
        <v>0</v>
      </c>
      <c r="BC327" s="3298">
        <f t="shared" si="159"/>
        <v>0</v>
      </c>
      <c r="BD327" s="3298">
        <f t="shared" si="160"/>
        <v>0</v>
      </c>
      <c r="BE327" s="3298">
        <f t="shared" si="161"/>
        <v>0</v>
      </c>
      <c r="BF327" s="3298">
        <f t="shared" si="162"/>
        <v>0</v>
      </c>
      <c r="BG327" s="3298">
        <f t="shared" si="163"/>
        <v>0</v>
      </c>
      <c r="BH327" s="3298">
        <f t="shared" si="164"/>
        <v>0</v>
      </c>
      <c r="BI327" s="3298">
        <f t="shared" si="165"/>
        <v>0</v>
      </c>
      <c r="BJ327" s="3298">
        <f t="shared" si="166"/>
        <v>0</v>
      </c>
      <c r="BK327" s="3298">
        <f t="shared" si="167"/>
        <v>0</v>
      </c>
      <c r="BL327" s="3298">
        <f t="shared" si="168"/>
        <v>0</v>
      </c>
      <c r="BM327" s="3298">
        <f t="shared" si="169"/>
        <v>0</v>
      </c>
      <c r="BN327" s="3298">
        <f t="shared" si="170"/>
        <v>0</v>
      </c>
      <c r="BO327" s="3298">
        <f t="shared" si="171"/>
        <v>0</v>
      </c>
      <c r="BP327" s="3298">
        <f t="shared" si="172"/>
        <v>0</v>
      </c>
      <c r="BQ327" s="3298">
        <f t="shared" si="173"/>
        <v>0</v>
      </c>
      <c r="BR327" s="3298">
        <f t="shared" si="174"/>
        <v>0</v>
      </c>
      <c r="BS327" s="3298">
        <f t="shared" si="175"/>
        <v>0</v>
      </c>
      <c r="BT327" s="3350">
        <f t="shared" si="176"/>
        <v>0</v>
      </c>
    </row>
    <row r="328" spans="1:72">
      <c r="A328" s="1407"/>
      <c r="B328" s="3296"/>
      <c r="C328" s="3296"/>
      <c r="D328" s="3297"/>
      <c r="E328" s="3298">
        <f t="shared" si="177"/>
        <v>0</v>
      </c>
      <c r="F328" s="3299"/>
      <c r="G328" s="3300">
        <f t="shared" si="152"/>
        <v>0</v>
      </c>
      <c r="H328" s="3301">
        <f t="shared" si="153"/>
        <v>0</v>
      </c>
      <c r="I328" s="3308"/>
      <c r="J328" s="3308"/>
      <c r="K328" s="3308"/>
      <c r="L328" s="3308"/>
      <c r="M328" s="3308"/>
      <c r="N328" s="3308"/>
      <c r="O328" s="3308"/>
      <c r="P328" s="3308"/>
      <c r="Q328" s="3308"/>
      <c r="R328" s="3308"/>
      <c r="S328" s="3308"/>
      <c r="T328" s="3308"/>
      <c r="U328" s="3308"/>
      <c r="V328" s="3308"/>
      <c r="W328" s="3308"/>
      <c r="X328" s="3308"/>
      <c r="Y328" s="3308"/>
      <c r="Z328" s="3308"/>
      <c r="AA328" s="3308"/>
      <c r="AB328" s="3308"/>
      <c r="AC328" s="3298">
        <f t="shared" si="154"/>
        <v>0</v>
      </c>
      <c r="AD328" s="3318"/>
      <c r="AE328" s="3318"/>
      <c r="AF328" s="3318"/>
      <c r="AG328" s="3318"/>
      <c r="AH328" s="3318"/>
      <c r="AI328" s="3318"/>
      <c r="AJ328" s="3318"/>
      <c r="AK328" s="3318"/>
      <c r="AL328" s="3318"/>
      <c r="AM328" s="3318"/>
      <c r="AN328" s="3318"/>
      <c r="AO328" s="3318"/>
      <c r="AP328" s="3318"/>
      <c r="AQ328" s="3318"/>
      <c r="AR328" s="3318"/>
      <c r="AS328" s="3318"/>
      <c r="AT328" s="3328"/>
      <c r="AU328" s="3329"/>
      <c r="AV328" s="963">
        <f t="shared" si="178"/>
        <v>0</v>
      </c>
      <c r="AW328" s="963">
        <f t="shared" si="179"/>
        <v>0</v>
      </c>
      <c r="AX328" s="963">
        <f t="shared" si="180"/>
        <v>0</v>
      </c>
      <c r="AY328" s="3343">
        <f t="shared" si="155"/>
        <v>0</v>
      </c>
      <c r="AZ328" s="3298">
        <f t="shared" si="156"/>
        <v>0</v>
      </c>
      <c r="BA328" s="3298">
        <f t="shared" si="157"/>
        <v>0</v>
      </c>
      <c r="BB328" s="3298">
        <f t="shared" si="158"/>
        <v>0</v>
      </c>
      <c r="BC328" s="3298">
        <f t="shared" si="159"/>
        <v>0</v>
      </c>
      <c r="BD328" s="3298">
        <f t="shared" si="160"/>
        <v>0</v>
      </c>
      <c r="BE328" s="3298">
        <f t="shared" si="161"/>
        <v>0</v>
      </c>
      <c r="BF328" s="3298">
        <f t="shared" si="162"/>
        <v>0</v>
      </c>
      <c r="BG328" s="3298">
        <f t="shared" si="163"/>
        <v>0</v>
      </c>
      <c r="BH328" s="3298">
        <f t="shared" si="164"/>
        <v>0</v>
      </c>
      <c r="BI328" s="3298">
        <f t="shared" si="165"/>
        <v>0</v>
      </c>
      <c r="BJ328" s="3298">
        <f t="shared" si="166"/>
        <v>0</v>
      </c>
      <c r="BK328" s="3298">
        <f t="shared" si="167"/>
        <v>0</v>
      </c>
      <c r="BL328" s="3298">
        <f t="shared" si="168"/>
        <v>0</v>
      </c>
      <c r="BM328" s="3298">
        <f t="shared" si="169"/>
        <v>0</v>
      </c>
      <c r="BN328" s="3298">
        <f t="shared" si="170"/>
        <v>0</v>
      </c>
      <c r="BO328" s="3298">
        <f t="shared" si="171"/>
        <v>0</v>
      </c>
      <c r="BP328" s="3298">
        <f t="shared" si="172"/>
        <v>0</v>
      </c>
      <c r="BQ328" s="3298">
        <f t="shared" si="173"/>
        <v>0</v>
      </c>
      <c r="BR328" s="3298">
        <f t="shared" si="174"/>
        <v>0</v>
      </c>
      <c r="BS328" s="3298">
        <f t="shared" si="175"/>
        <v>0</v>
      </c>
      <c r="BT328" s="3350">
        <f t="shared" si="176"/>
        <v>0</v>
      </c>
    </row>
    <row r="329" spans="1:72">
      <c r="A329" s="1407"/>
      <c r="B329" s="3296"/>
      <c r="C329" s="3296"/>
      <c r="D329" s="3297"/>
      <c r="E329" s="3298">
        <f t="shared" si="177"/>
        <v>0</v>
      </c>
      <c r="F329" s="3299"/>
      <c r="G329" s="3300">
        <f t="shared" si="152"/>
        <v>0</v>
      </c>
      <c r="H329" s="3301">
        <f t="shared" si="153"/>
        <v>0</v>
      </c>
      <c r="I329" s="3308"/>
      <c r="J329" s="3308"/>
      <c r="K329" s="3308"/>
      <c r="L329" s="3308"/>
      <c r="M329" s="3308"/>
      <c r="N329" s="3308"/>
      <c r="O329" s="3308"/>
      <c r="P329" s="3308"/>
      <c r="Q329" s="3308"/>
      <c r="R329" s="3308"/>
      <c r="S329" s="3308"/>
      <c r="T329" s="3308"/>
      <c r="U329" s="3308"/>
      <c r="V329" s="3308"/>
      <c r="W329" s="3308"/>
      <c r="X329" s="3308"/>
      <c r="Y329" s="3308"/>
      <c r="Z329" s="3308"/>
      <c r="AA329" s="3308"/>
      <c r="AB329" s="3308"/>
      <c r="AC329" s="3298">
        <f t="shared" si="154"/>
        <v>0</v>
      </c>
      <c r="AD329" s="3318"/>
      <c r="AE329" s="3318"/>
      <c r="AF329" s="3318"/>
      <c r="AG329" s="3318"/>
      <c r="AH329" s="3318"/>
      <c r="AI329" s="3318"/>
      <c r="AJ329" s="3318"/>
      <c r="AK329" s="3318"/>
      <c r="AL329" s="3318"/>
      <c r="AM329" s="3318"/>
      <c r="AN329" s="3318"/>
      <c r="AO329" s="3318"/>
      <c r="AP329" s="3318"/>
      <c r="AQ329" s="3318"/>
      <c r="AR329" s="3318"/>
      <c r="AS329" s="3318"/>
      <c r="AT329" s="3328"/>
      <c r="AU329" s="3329"/>
      <c r="AV329" s="963">
        <f t="shared" si="178"/>
        <v>0</v>
      </c>
      <c r="AW329" s="963">
        <f t="shared" si="179"/>
        <v>0</v>
      </c>
      <c r="AX329" s="963">
        <f t="shared" si="180"/>
        <v>0</v>
      </c>
      <c r="AY329" s="3343">
        <f t="shared" si="155"/>
        <v>0</v>
      </c>
      <c r="AZ329" s="3298">
        <f t="shared" si="156"/>
        <v>0</v>
      </c>
      <c r="BA329" s="3298">
        <f t="shared" si="157"/>
        <v>0</v>
      </c>
      <c r="BB329" s="3298">
        <f t="shared" si="158"/>
        <v>0</v>
      </c>
      <c r="BC329" s="3298">
        <f t="shared" si="159"/>
        <v>0</v>
      </c>
      <c r="BD329" s="3298">
        <f t="shared" si="160"/>
        <v>0</v>
      </c>
      <c r="BE329" s="3298">
        <f t="shared" si="161"/>
        <v>0</v>
      </c>
      <c r="BF329" s="3298">
        <f t="shared" si="162"/>
        <v>0</v>
      </c>
      <c r="BG329" s="3298">
        <f t="shared" si="163"/>
        <v>0</v>
      </c>
      <c r="BH329" s="3298">
        <f t="shared" si="164"/>
        <v>0</v>
      </c>
      <c r="BI329" s="3298">
        <f t="shared" si="165"/>
        <v>0</v>
      </c>
      <c r="BJ329" s="3298">
        <f t="shared" si="166"/>
        <v>0</v>
      </c>
      <c r="BK329" s="3298">
        <f t="shared" si="167"/>
        <v>0</v>
      </c>
      <c r="BL329" s="3298">
        <f t="shared" si="168"/>
        <v>0</v>
      </c>
      <c r="BM329" s="3298">
        <f t="shared" si="169"/>
        <v>0</v>
      </c>
      <c r="BN329" s="3298">
        <f t="shared" si="170"/>
        <v>0</v>
      </c>
      <c r="BO329" s="3298">
        <f t="shared" si="171"/>
        <v>0</v>
      </c>
      <c r="BP329" s="3298">
        <f t="shared" si="172"/>
        <v>0</v>
      </c>
      <c r="BQ329" s="3298">
        <f t="shared" si="173"/>
        <v>0</v>
      </c>
      <c r="BR329" s="3298">
        <f t="shared" si="174"/>
        <v>0</v>
      </c>
      <c r="BS329" s="3298">
        <f t="shared" si="175"/>
        <v>0</v>
      </c>
      <c r="BT329" s="3350">
        <f t="shared" si="176"/>
        <v>0</v>
      </c>
    </row>
    <row r="330" spans="1:72">
      <c r="A330" s="1407"/>
      <c r="B330" s="3296"/>
      <c r="C330" s="3296"/>
      <c r="D330" s="3297"/>
      <c r="E330" s="3298">
        <f t="shared" si="177"/>
        <v>0</v>
      </c>
      <c r="F330" s="3299"/>
      <c r="G330" s="3300">
        <f t="shared" si="152"/>
        <v>0</v>
      </c>
      <c r="H330" s="3301">
        <f t="shared" si="153"/>
        <v>0</v>
      </c>
      <c r="I330" s="3308"/>
      <c r="J330" s="3308"/>
      <c r="K330" s="3308"/>
      <c r="L330" s="3308"/>
      <c r="M330" s="3308"/>
      <c r="N330" s="3308"/>
      <c r="O330" s="3308"/>
      <c r="P330" s="3308"/>
      <c r="Q330" s="3308"/>
      <c r="R330" s="3308"/>
      <c r="S330" s="3308"/>
      <c r="T330" s="3308"/>
      <c r="U330" s="3308"/>
      <c r="V330" s="3308"/>
      <c r="W330" s="3308"/>
      <c r="X330" s="3308"/>
      <c r="Y330" s="3308"/>
      <c r="Z330" s="3308"/>
      <c r="AA330" s="3308"/>
      <c r="AB330" s="3308"/>
      <c r="AC330" s="3298">
        <f t="shared" si="154"/>
        <v>0</v>
      </c>
      <c r="AD330" s="3318"/>
      <c r="AE330" s="3318"/>
      <c r="AF330" s="3318"/>
      <c r="AG330" s="3318"/>
      <c r="AH330" s="3318"/>
      <c r="AI330" s="3318"/>
      <c r="AJ330" s="3318"/>
      <c r="AK330" s="3318"/>
      <c r="AL330" s="3318"/>
      <c r="AM330" s="3318"/>
      <c r="AN330" s="3318"/>
      <c r="AO330" s="3318"/>
      <c r="AP330" s="3318"/>
      <c r="AQ330" s="3318"/>
      <c r="AR330" s="3318"/>
      <c r="AS330" s="3318"/>
      <c r="AT330" s="3328"/>
      <c r="AU330" s="3329"/>
      <c r="AV330" s="963">
        <f t="shared" si="178"/>
        <v>0</v>
      </c>
      <c r="AW330" s="963">
        <f t="shared" si="179"/>
        <v>0</v>
      </c>
      <c r="AX330" s="963">
        <f t="shared" si="180"/>
        <v>0</v>
      </c>
      <c r="AY330" s="3343">
        <f t="shared" si="155"/>
        <v>0</v>
      </c>
      <c r="AZ330" s="3298">
        <f t="shared" si="156"/>
        <v>0</v>
      </c>
      <c r="BA330" s="3298">
        <f t="shared" si="157"/>
        <v>0</v>
      </c>
      <c r="BB330" s="3298">
        <f t="shared" si="158"/>
        <v>0</v>
      </c>
      <c r="BC330" s="3298">
        <f t="shared" si="159"/>
        <v>0</v>
      </c>
      <c r="BD330" s="3298">
        <f t="shared" si="160"/>
        <v>0</v>
      </c>
      <c r="BE330" s="3298">
        <f t="shared" si="161"/>
        <v>0</v>
      </c>
      <c r="BF330" s="3298">
        <f t="shared" si="162"/>
        <v>0</v>
      </c>
      <c r="BG330" s="3298">
        <f t="shared" si="163"/>
        <v>0</v>
      </c>
      <c r="BH330" s="3298">
        <f t="shared" si="164"/>
        <v>0</v>
      </c>
      <c r="BI330" s="3298">
        <f t="shared" si="165"/>
        <v>0</v>
      </c>
      <c r="BJ330" s="3298">
        <f t="shared" si="166"/>
        <v>0</v>
      </c>
      <c r="BK330" s="3298">
        <f t="shared" si="167"/>
        <v>0</v>
      </c>
      <c r="BL330" s="3298">
        <f t="shared" si="168"/>
        <v>0</v>
      </c>
      <c r="BM330" s="3298">
        <f t="shared" si="169"/>
        <v>0</v>
      </c>
      <c r="BN330" s="3298">
        <f t="shared" si="170"/>
        <v>0</v>
      </c>
      <c r="BO330" s="3298">
        <f t="shared" si="171"/>
        <v>0</v>
      </c>
      <c r="BP330" s="3298">
        <f t="shared" si="172"/>
        <v>0</v>
      </c>
      <c r="BQ330" s="3298">
        <f t="shared" si="173"/>
        <v>0</v>
      </c>
      <c r="BR330" s="3298">
        <f t="shared" si="174"/>
        <v>0</v>
      </c>
      <c r="BS330" s="3298">
        <f t="shared" si="175"/>
        <v>0</v>
      </c>
      <c r="BT330" s="3350">
        <f t="shared" si="176"/>
        <v>0</v>
      </c>
    </row>
    <row r="331" spans="1:72">
      <c r="A331" s="1407"/>
      <c r="B331" s="3296"/>
      <c r="C331" s="3296"/>
      <c r="D331" s="3297"/>
      <c r="E331" s="3298">
        <f t="shared" si="177"/>
        <v>0</v>
      </c>
      <c r="F331" s="3299"/>
      <c r="G331" s="3300">
        <f t="shared" si="152"/>
        <v>0</v>
      </c>
      <c r="H331" s="3301">
        <f t="shared" si="153"/>
        <v>0</v>
      </c>
      <c r="I331" s="3308"/>
      <c r="J331" s="3308"/>
      <c r="K331" s="3308"/>
      <c r="L331" s="3308"/>
      <c r="M331" s="3308"/>
      <c r="N331" s="3308"/>
      <c r="O331" s="3308"/>
      <c r="P331" s="3308"/>
      <c r="Q331" s="3308"/>
      <c r="R331" s="3308"/>
      <c r="S331" s="3308"/>
      <c r="T331" s="3308"/>
      <c r="U331" s="3308"/>
      <c r="V331" s="3308"/>
      <c r="W331" s="3308"/>
      <c r="X331" s="3308"/>
      <c r="Y331" s="3308"/>
      <c r="Z331" s="3308"/>
      <c r="AA331" s="3308"/>
      <c r="AB331" s="3308"/>
      <c r="AC331" s="3298">
        <f t="shared" si="154"/>
        <v>0</v>
      </c>
      <c r="AD331" s="3318"/>
      <c r="AE331" s="3318"/>
      <c r="AF331" s="3318"/>
      <c r="AG331" s="3318"/>
      <c r="AH331" s="3318"/>
      <c r="AI331" s="3318"/>
      <c r="AJ331" s="3318"/>
      <c r="AK331" s="3318"/>
      <c r="AL331" s="3318"/>
      <c r="AM331" s="3318"/>
      <c r="AN331" s="3318"/>
      <c r="AO331" s="3318"/>
      <c r="AP331" s="3318"/>
      <c r="AQ331" s="3318"/>
      <c r="AR331" s="3318"/>
      <c r="AS331" s="3318"/>
      <c r="AT331" s="3328"/>
      <c r="AU331" s="3329"/>
      <c r="AV331" s="963">
        <f t="shared" si="178"/>
        <v>0</v>
      </c>
      <c r="AW331" s="963">
        <f t="shared" si="179"/>
        <v>0</v>
      </c>
      <c r="AX331" s="963">
        <f t="shared" si="180"/>
        <v>0</v>
      </c>
      <c r="AY331" s="3343">
        <f t="shared" si="155"/>
        <v>0</v>
      </c>
      <c r="AZ331" s="3298">
        <f t="shared" si="156"/>
        <v>0</v>
      </c>
      <c r="BA331" s="3298">
        <f t="shared" si="157"/>
        <v>0</v>
      </c>
      <c r="BB331" s="3298">
        <f t="shared" si="158"/>
        <v>0</v>
      </c>
      <c r="BC331" s="3298">
        <f t="shared" si="159"/>
        <v>0</v>
      </c>
      <c r="BD331" s="3298">
        <f t="shared" si="160"/>
        <v>0</v>
      </c>
      <c r="BE331" s="3298">
        <f t="shared" si="161"/>
        <v>0</v>
      </c>
      <c r="BF331" s="3298">
        <f t="shared" si="162"/>
        <v>0</v>
      </c>
      <c r="BG331" s="3298">
        <f t="shared" si="163"/>
        <v>0</v>
      </c>
      <c r="BH331" s="3298">
        <f t="shared" si="164"/>
        <v>0</v>
      </c>
      <c r="BI331" s="3298">
        <f t="shared" si="165"/>
        <v>0</v>
      </c>
      <c r="BJ331" s="3298">
        <f t="shared" si="166"/>
        <v>0</v>
      </c>
      <c r="BK331" s="3298">
        <f t="shared" si="167"/>
        <v>0</v>
      </c>
      <c r="BL331" s="3298">
        <f t="shared" si="168"/>
        <v>0</v>
      </c>
      <c r="BM331" s="3298">
        <f t="shared" si="169"/>
        <v>0</v>
      </c>
      <c r="BN331" s="3298">
        <f t="shared" si="170"/>
        <v>0</v>
      </c>
      <c r="BO331" s="3298">
        <f t="shared" si="171"/>
        <v>0</v>
      </c>
      <c r="BP331" s="3298">
        <f t="shared" si="172"/>
        <v>0</v>
      </c>
      <c r="BQ331" s="3298">
        <f t="shared" si="173"/>
        <v>0</v>
      </c>
      <c r="BR331" s="3298">
        <f t="shared" si="174"/>
        <v>0</v>
      </c>
      <c r="BS331" s="3298">
        <f t="shared" si="175"/>
        <v>0</v>
      </c>
      <c r="BT331" s="3350">
        <f t="shared" si="176"/>
        <v>0</v>
      </c>
    </row>
    <row r="332" spans="1:72">
      <c r="A332" s="1407"/>
      <c r="B332" s="3296"/>
      <c r="C332" s="3296"/>
      <c r="D332" s="3297"/>
      <c r="E332" s="3298">
        <f t="shared" si="177"/>
        <v>0</v>
      </c>
      <c r="F332" s="3299"/>
      <c r="G332" s="3300">
        <f t="shared" ref="G332:G363" si="181">H332+AC332+AT332</f>
        <v>0</v>
      </c>
      <c r="H332" s="3301">
        <f t="shared" ref="H332:H363" si="182">SUMIF(I$12:AB$12,"总值",I332:AB332)</f>
        <v>0</v>
      </c>
      <c r="I332" s="3308"/>
      <c r="J332" s="3308"/>
      <c r="K332" s="3308"/>
      <c r="L332" s="3308"/>
      <c r="M332" s="3308"/>
      <c r="N332" s="3308"/>
      <c r="O332" s="3308"/>
      <c r="P332" s="3308"/>
      <c r="Q332" s="3308"/>
      <c r="R332" s="3308"/>
      <c r="S332" s="3308"/>
      <c r="T332" s="3308"/>
      <c r="U332" s="3308"/>
      <c r="V332" s="3308"/>
      <c r="W332" s="3308"/>
      <c r="X332" s="3308"/>
      <c r="Y332" s="3308"/>
      <c r="Z332" s="3308"/>
      <c r="AA332" s="3308"/>
      <c r="AB332" s="3308"/>
      <c r="AC332" s="3298">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28"/>
      <c r="AU332" s="3329"/>
      <c r="AV332" s="963">
        <f t="shared" si="178"/>
        <v>0</v>
      </c>
      <c r="AW332" s="963">
        <f t="shared" si="179"/>
        <v>0</v>
      </c>
      <c r="AX332" s="963">
        <f t="shared" si="180"/>
        <v>0</v>
      </c>
      <c r="AY332" s="3343">
        <f t="shared" ref="AY332:AY363" si="184">ROUND($AY$6*AZ332/$AZ$5,2)</f>
        <v>0</v>
      </c>
      <c r="AZ332" s="3298">
        <f t="shared" ref="AZ332:AZ363" si="185">BA332+BL332</f>
        <v>0</v>
      </c>
      <c r="BA332" s="3298">
        <f t="shared" ref="BA332:BA363" si="186">SUM(BB332:BK332)</f>
        <v>0</v>
      </c>
      <c r="BB332" s="3298">
        <f t="shared" ref="BB332:BB363" si="187">IF($D332="是",I332-J332,0)</f>
        <v>0</v>
      </c>
      <c r="BC332" s="3298">
        <f t="shared" ref="BC332:BC363" si="188">IF($D332="是",K332-L332,0)</f>
        <v>0</v>
      </c>
      <c r="BD332" s="3298">
        <f t="shared" ref="BD332:BD363" si="189">IF($D332="是",M332-N332,0)</f>
        <v>0</v>
      </c>
      <c r="BE332" s="3298">
        <f t="shared" ref="BE332:BE363" si="190">IF($D332="是",O332-P332,0)</f>
        <v>0</v>
      </c>
      <c r="BF332" s="3298">
        <f t="shared" ref="BF332:BF363" si="191">IF($D332="是",Q332-R332,0)</f>
        <v>0</v>
      </c>
      <c r="BG332" s="3298">
        <f t="shared" ref="BG332:BG363" si="192">IF($D332="是",S332-T332,0)</f>
        <v>0</v>
      </c>
      <c r="BH332" s="3298">
        <f t="shared" ref="BH332:BH363" si="193">IF($D332="是",U332-V332,0)</f>
        <v>0</v>
      </c>
      <c r="BI332" s="3298">
        <f t="shared" ref="BI332:BI363" si="194">IF($D332="是",W332-X332,0)</f>
        <v>0</v>
      </c>
      <c r="BJ332" s="3298">
        <f t="shared" ref="BJ332:BJ363" si="195">IF($D332="是",Y332-Z332,0)</f>
        <v>0</v>
      </c>
      <c r="BK332" s="3298">
        <f t="shared" ref="BK332:BK363" si="196">IF($D332="是",AA332-AB332,0)</f>
        <v>0</v>
      </c>
      <c r="BL332" s="3298">
        <f t="shared" ref="BL332:BL363" si="197">SUM(BM332:BT332)</f>
        <v>0</v>
      </c>
      <c r="BM332" s="3298">
        <f t="shared" ref="BM332:BM363" si="198">IF($D332="是",AD332-AE332,0)</f>
        <v>0</v>
      </c>
      <c r="BN332" s="3298">
        <f t="shared" ref="BN332:BN363" si="199">IF($D332="是",AF332-AG332,0)</f>
        <v>0</v>
      </c>
      <c r="BO332" s="3298">
        <f t="shared" ref="BO332:BO363" si="200">IF($D332="是",AH332-AI332,0)</f>
        <v>0</v>
      </c>
      <c r="BP332" s="3298">
        <f t="shared" ref="BP332:BP363" si="201">IF($D332="是",AJ332-AK332,0)</f>
        <v>0</v>
      </c>
      <c r="BQ332" s="3298">
        <f t="shared" ref="BQ332:BQ363" si="202">IF($D332="是",AL332-AM332,0)</f>
        <v>0</v>
      </c>
      <c r="BR332" s="3298">
        <f t="shared" ref="BR332:BR363" si="203">IF($D332="是",AN332-AO332,0)</f>
        <v>0</v>
      </c>
      <c r="BS332" s="3298">
        <f t="shared" ref="BS332:BS363" si="204">IF($D332="是",AP332-AQ332,0)</f>
        <v>0</v>
      </c>
      <c r="BT332" s="3350">
        <f t="shared" ref="BT332:BT363" si="205">IF($D332="是",AR332-AS332,0)</f>
        <v>0</v>
      </c>
    </row>
    <row r="333" spans="1:72">
      <c r="A333" s="1407"/>
      <c r="B333" s="3296"/>
      <c r="C333" s="3296"/>
      <c r="D333" s="3297"/>
      <c r="E333" s="3298">
        <f t="shared" si="177"/>
        <v>0</v>
      </c>
      <c r="F333" s="3299"/>
      <c r="G333" s="3300">
        <f t="shared" si="181"/>
        <v>0</v>
      </c>
      <c r="H333" s="3301">
        <f t="shared" si="182"/>
        <v>0</v>
      </c>
      <c r="I333" s="3308"/>
      <c r="J333" s="3308"/>
      <c r="K333" s="3308"/>
      <c r="L333" s="3308"/>
      <c r="M333" s="3308"/>
      <c r="N333" s="3308"/>
      <c r="O333" s="3308"/>
      <c r="P333" s="3308"/>
      <c r="Q333" s="3308"/>
      <c r="R333" s="3308"/>
      <c r="S333" s="3308"/>
      <c r="T333" s="3308"/>
      <c r="U333" s="3308"/>
      <c r="V333" s="3308"/>
      <c r="W333" s="3308"/>
      <c r="X333" s="3308"/>
      <c r="Y333" s="3308"/>
      <c r="Z333" s="3308"/>
      <c r="AA333" s="3308"/>
      <c r="AB333" s="3308"/>
      <c r="AC333" s="3298">
        <f t="shared" si="183"/>
        <v>0</v>
      </c>
      <c r="AD333" s="3318"/>
      <c r="AE333" s="3318"/>
      <c r="AF333" s="3318"/>
      <c r="AG333" s="3318"/>
      <c r="AH333" s="3318"/>
      <c r="AI333" s="3318"/>
      <c r="AJ333" s="3318"/>
      <c r="AK333" s="3318"/>
      <c r="AL333" s="3318"/>
      <c r="AM333" s="3318"/>
      <c r="AN333" s="3318"/>
      <c r="AO333" s="3318"/>
      <c r="AP333" s="3318"/>
      <c r="AQ333" s="3318"/>
      <c r="AR333" s="3318"/>
      <c r="AS333" s="3318"/>
      <c r="AT333" s="3328"/>
      <c r="AU333" s="3329"/>
      <c r="AV333" s="963">
        <f t="shared" si="178"/>
        <v>0</v>
      </c>
      <c r="AW333" s="963">
        <f t="shared" si="179"/>
        <v>0</v>
      </c>
      <c r="AX333" s="963">
        <f t="shared" si="180"/>
        <v>0</v>
      </c>
      <c r="AY333" s="3343">
        <f t="shared" si="184"/>
        <v>0</v>
      </c>
      <c r="AZ333" s="3298">
        <f t="shared" si="185"/>
        <v>0</v>
      </c>
      <c r="BA333" s="3298">
        <f t="shared" si="186"/>
        <v>0</v>
      </c>
      <c r="BB333" s="3298">
        <f t="shared" si="187"/>
        <v>0</v>
      </c>
      <c r="BC333" s="3298">
        <f t="shared" si="188"/>
        <v>0</v>
      </c>
      <c r="BD333" s="3298">
        <f t="shared" si="189"/>
        <v>0</v>
      </c>
      <c r="BE333" s="3298">
        <f t="shared" si="190"/>
        <v>0</v>
      </c>
      <c r="BF333" s="3298">
        <f t="shared" si="191"/>
        <v>0</v>
      </c>
      <c r="BG333" s="3298">
        <f t="shared" si="192"/>
        <v>0</v>
      </c>
      <c r="BH333" s="3298">
        <f t="shared" si="193"/>
        <v>0</v>
      </c>
      <c r="BI333" s="3298">
        <f t="shared" si="194"/>
        <v>0</v>
      </c>
      <c r="BJ333" s="3298">
        <f t="shared" si="195"/>
        <v>0</v>
      </c>
      <c r="BK333" s="3298">
        <f t="shared" si="196"/>
        <v>0</v>
      </c>
      <c r="BL333" s="3298">
        <f t="shared" si="197"/>
        <v>0</v>
      </c>
      <c r="BM333" s="3298">
        <f t="shared" si="198"/>
        <v>0</v>
      </c>
      <c r="BN333" s="3298">
        <f t="shared" si="199"/>
        <v>0</v>
      </c>
      <c r="BO333" s="3298">
        <f t="shared" si="200"/>
        <v>0</v>
      </c>
      <c r="BP333" s="3298">
        <f t="shared" si="201"/>
        <v>0</v>
      </c>
      <c r="BQ333" s="3298">
        <f t="shared" si="202"/>
        <v>0</v>
      </c>
      <c r="BR333" s="3298">
        <f t="shared" si="203"/>
        <v>0</v>
      </c>
      <c r="BS333" s="3298">
        <f t="shared" si="204"/>
        <v>0</v>
      </c>
      <c r="BT333" s="3350">
        <f t="shared" si="205"/>
        <v>0</v>
      </c>
    </row>
    <row r="334" spans="1:72">
      <c r="A334" s="1407"/>
      <c r="B334" s="3296"/>
      <c r="C334" s="3296"/>
      <c r="D334" s="3297"/>
      <c r="E334" s="3298">
        <f t="shared" si="177"/>
        <v>0</v>
      </c>
      <c r="F334" s="3299"/>
      <c r="G334" s="3300">
        <f t="shared" si="181"/>
        <v>0</v>
      </c>
      <c r="H334" s="3301">
        <f t="shared" si="182"/>
        <v>0</v>
      </c>
      <c r="I334" s="3308"/>
      <c r="J334" s="3308"/>
      <c r="K334" s="3308"/>
      <c r="L334" s="3308"/>
      <c r="M334" s="3308"/>
      <c r="N334" s="3308"/>
      <c r="O334" s="3308"/>
      <c r="P334" s="3308"/>
      <c r="Q334" s="3308"/>
      <c r="R334" s="3308"/>
      <c r="S334" s="3308"/>
      <c r="T334" s="3308"/>
      <c r="U334" s="3308"/>
      <c r="V334" s="3308"/>
      <c r="W334" s="3308"/>
      <c r="X334" s="3308"/>
      <c r="Y334" s="3308"/>
      <c r="Z334" s="3308"/>
      <c r="AA334" s="3308"/>
      <c r="AB334" s="3308"/>
      <c r="AC334" s="3298">
        <f t="shared" si="183"/>
        <v>0</v>
      </c>
      <c r="AD334" s="3318"/>
      <c r="AE334" s="3318"/>
      <c r="AF334" s="3318"/>
      <c r="AG334" s="3318"/>
      <c r="AH334" s="3318"/>
      <c r="AI334" s="3318"/>
      <c r="AJ334" s="3318"/>
      <c r="AK334" s="3318"/>
      <c r="AL334" s="3318"/>
      <c r="AM334" s="3318"/>
      <c r="AN334" s="3318"/>
      <c r="AO334" s="3318"/>
      <c r="AP334" s="3318"/>
      <c r="AQ334" s="3318"/>
      <c r="AR334" s="3318"/>
      <c r="AS334" s="3318"/>
      <c r="AT334" s="3328"/>
      <c r="AU334" s="3329"/>
      <c r="AV334" s="963">
        <f t="shared" si="178"/>
        <v>0</v>
      </c>
      <c r="AW334" s="963">
        <f t="shared" si="179"/>
        <v>0</v>
      </c>
      <c r="AX334" s="963">
        <f t="shared" si="180"/>
        <v>0</v>
      </c>
      <c r="AY334" s="3343">
        <f t="shared" si="184"/>
        <v>0</v>
      </c>
      <c r="AZ334" s="3298">
        <f t="shared" si="185"/>
        <v>0</v>
      </c>
      <c r="BA334" s="3298">
        <f t="shared" si="186"/>
        <v>0</v>
      </c>
      <c r="BB334" s="3298">
        <f t="shared" si="187"/>
        <v>0</v>
      </c>
      <c r="BC334" s="3298">
        <f t="shared" si="188"/>
        <v>0</v>
      </c>
      <c r="BD334" s="3298">
        <f t="shared" si="189"/>
        <v>0</v>
      </c>
      <c r="BE334" s="3298">
        <f t="shared" si="190"/>
        <v>0</v>
      </c>
      <c r="BF334" s="3298">
        <f t="shared" si="191"/>
        <v>0</v>
      </c>
      <c r="BG334" s="3298">
        <f t="shared" si="192"/>
        <v>0</v>
      </c>
      <c r="BH334" s="3298">
        <f t="shared" si="193"/>
        <v>0</v>
      </c>
      <c r="BI334" s="3298">
        <f t="shared" si="194"/>
        <v>0</v>
      </c>
      <c r="BJ334" s="3298">
        <f t="shared" si="195"/>
        <v>0</v>
      </c>
      <c r="BK334" s="3298">
        <f t="shared" si="196"/>
        <v>0</v>
      </c>
      <c r="BL334" s="3298">
        <f t="shared" si="197"/>
        <v>0</v>
      </c>
      <c r="BM334" s="3298">
        <f t="shared" si="198"/>
        <v>0</v>
      </c>
      <c r="BN334" s="3298">
        <f t="shared" si="199"/>
        <v>0</v>
      </c>
      <c r="BO334" s="3298">
        <f t="shared" si="200"/>
        <v>0</v>
      </c>
      <c r="BP334" s="3298">
        <f t="shared" si="201"/>
        <v>0</v>
      </c>
      <c r="BQ334" s="3298">
        <f t="shared" si="202"/>
        <v>0</v>
      </c>
      <c r="BR334" s="3298">
        <f t="shared" si="203"/>
        <v>0</v>
      </c>
      <c r="BS334" s="3298">
        <f t="shared" si="204"/>
        <v>0</v>
      </c>
      <c r="BT334" s="3350">
        <f t="shared" si="205"/>
        <v>0</v>
      </c>
    </row>
    <row r="335" spans="1:72">
      <c r="A335" s="1407"/>
      <c r="B335" s="3296"/>
      <c r="C335" s="3296"/>
      <c r="D335" s="3297"/>
      <c r="E335" s="3298">
        <f t="shared" ref="E335:E366" si="206">IF($C$3="是",ROUND($A$3*G335/$B$3,2),ROUND($A$3*(G335-AT335)/$B$3,2))</f>
        <v>0</v>
      </c>
      <c r="F335" s="3299"/>
      <c r="G335" s="3300">
        <f t="shared" si="181"/>
        <v>0</v>
      </c>
      <c r="H335" s="3301">
        <f t="shared" si="182"/>
        <v>0</v>
      </c>
      <c r="I335" s="3308"/>
      <c r="J335" s="3308"/>
      <c r="K335" s="3308"/>
      <c r="L335" s="3308"/>
      <c r="M335" s="3308"/>
      <c r="N335" s="3308"/>
      <c r="O335" s="3308"/>
      <c r="P335" s="3308"/>
      <c r="Q335" s="3308"/>
      <c r="R335" s="3308"/>
      <c r="S335" s="3308"/>
      <c r="T335" s="3308"/>
      <c r="U335" s="3308"/>
      <c r="V335" s="3308"/>
      <c r="W335" s="3308"/>
      <c r="X335" s="3308"/>
      <c r="Y335" s="3308"/>
      <c r="Z335" s="3308"/>
      <c r="AA335" s="3308"/>
      <c r="AB335" s="3308"/>
      <c r="AC335" s="3298">
        <f t="shared" si="183"/>
        <v>0</v>
      </c>
      <c r="AD335" s="3318"/>
      <c r="AE335" s="3318"/>
      <c r="AF335" s="3318"/>
      <c r="AG335" s="3318"/>
      <c r="AH335" s="3318"/>
      <c r="AI335" s="3318"/>
      <c r="AJ335" s="3318"/>
      <c r="AK335" s="3318"/>
      <c r="AL335" s="3318"/>
      <c r="AM335" s="3318"/>
      <c r="AN335" s="3318"/>
      <c r="AO335" s="3318"/>
      <c r="AP335" s="3318"/>
      <c r="AQ335" s="3318"/>
      <c r="AR335" s="3318"/>
      <c r="AS335" s="3318"/>
      <c r="AT335" s="3328"/>
      <c r="AU335" s="3329"/>
      <c r="AV335" s="963">
        <f t="shared" ref="AV335:AV366" si="207">A335</f>
        <v>0</v>
      </c>
      <c r="AW335" s="963">
        <f t="shared" ref="AW335:AW366" si="208">B335</f>
        <v>0</v>
      </c>
      <c r="AX335" s="963">
        <f t="shared" ref="AX335:AX366" si="209">C335</f>
        <v>0</v>
      </c>
      <c r="AY335" s="3343">
        <f t="shared" si="184"/>
        <v>0</v>
      </c>
      <c r="AZ335" s="3298">
        <f t="shared" si="185"/>
        <v>0</v>
      </c>
      <c r="BA335" s="3298">
        <f t="shared" si="186"/>
        <v>0</v>
      </c>
      <c r="BB335" s="3298">
        <f t="shared" si="187"/>
        <v>0</v>
      </c>
      <c r="BC335" s="3298">
        <f t="shared" si="188"/>
        <v>0</v>
      </c>
      <c r="BD335" s="3298">
        <f t="shared" si="189"/>
        <v>0</v>
      </c>
      <c r="BE335" s="3298">
        <f t="shared" si="190"/>
        <v>0</v>
      </c>
      <c r="BF335" s="3298">
        <f t="shared" si="191"/>
        <v>0</v>
      </c>
      <c r="BG335" s="3298">
        <f t="shared" si="192"/>
        <v>0</v>
      </c>
      <c r="BH335" s="3298">
        <f t="shared" si="193"/>
        <v>0</v>
      </c>
      <c r="BI335" s="3298">
        <f t="shared" si="194"/>
        <v>0</v>
      </c>
      <c r="BJ335" s="3298">
        <f t="shared" si="195"/>
        <v>0</v>
      </c>
      <c r="BK335" s="3298">
        <f t="shared" si="196"/>
        <v>0</v>
      </c>
      <c r="BL335" s="3298">
        <f t="shared" si="197"/>
        <v>0</v>
      </c>
      <c r="BM335" s="3298">
        <f t="shared" si="198"/>
        <v>0</v>
      </c>
      <c r="BN335" s="3298">
        <f t="shared" si="199"/>
        <v>0</v>
      </c>
      <c r="BO335" s="3298">
        <f t="shared" si="200"/>
        <v>0</v>
      </c>
      <c r="BP335" s="3298">
        <f t="shared" si="201"/>
        <v>0</v>
      </c>
      <c r="BQ335" s="3298">
        <f t="shared" si="202"/>
        <v>0</v>
      </c>
      <c r="BR335" s="3298">
        <f t="shared" si="203"/>
        <v>0</v>
      </c>
      <c r="BS335" s="3298">
        <f t="shared" si="204"/>
        <v>0</v>
      </c>
      <c r="BT335" s="3350">
        <f t="shared" si="205"/>
        <v>0</v>
      </c>
    </row>
    <row r="336" spans="1:72">
      <c r="A336" s="1407"/>
      <c r="B336" s="3296"/>
      <c r="C336" s="3296"/>
      <c r="D336" s="3297"/>
      <c r="E336" s="3298">
        <f t="shared" si="206"/>
        <v>0</v>
      </c>
      <c r="F336" s="3299"/>
      <c r="G336" s="3300">
        <f t="shared" si="181"/>
        <v>0</v>
      </c>
      <c r="H336" s="3301">
        <f t="shared" si="182"/>
        <v>0</v>
      </c>
      <c r="I336" s="3308"/>
      <c r="J336" s="3308"/>
      <c r="K336" s="3308"/>
      <c r="L336" s="3308"/>
      <c r="M336" s="3308"/>
      <c r="N336" s="3308"/>
      <c r="O336" s="3308"/>
      <c r="P336" s="3308"/>
      <c r="Q336" s="3308"/>
      <c r="R336" s="3308"/>
      <c r="S336" s="3308"/>
      <c r="T336" s="3308"/>
      <c r="U336" s="3308"/>
      <c r="V336" s="3308"/>
      <c r="W336" s="3308"/>
      <c r="X336" s="3308"/>
      <c r="Y336" s="3308"/>
      <c r="Z336" s="3308"/>
      <c r="AA336" s="3308"/>
      <c r="AB336" s="3308"/>
      <c r="AC336" s="3298">
        <f t="shared" si="183"/>
        <v>0</v>
      </c>
      <c r="AD336" s="3318"/>
      <c r="AE336" s="3318"/>
      <c r="AF336" s="3318"/>
      <c r="AG336" s="3318"/>
      <c r="AH336" s="3318"/>
      <c r="AI336" s="3318"/>
      <c r="AJ336" s="3318"/>
      <c r="AK336" s="3318"/>
      <c r="AL336" s="3318"/>
      <c r="AM336" s="3318"/>
      <c r="AN336" s="3318"/>
      <c r="AO336" s="3318"/>
      <c r="AP336" s="3318"/>
      <c r="AQ336" s="3318"/>
      <c r="AR336" s="3318"/>
      <c r="AS336" s="3318"/>
      <c r="AT336" s="3328"/>
      <c r="AU336" s="3329"/>
      <c r="AV336" s="963">
        <f t="shared" si="207"/>
        <v>0</v>
      </c>
      <c r="AW336" s="963">
        <f t="shared" si="208"/>
        <v>0</v>
      </c>
      <c r="AX336" s="963">
        <f t="shared" si="209"/>
        <v>0</v>
      </c>
      <c r="AY336" s="3343">
        <f t="shared" si="184"/>
        <v>0</v>
      </c>
      <c r="AZ336" s="3298">
        <f t="shared" si="185"/>
        <v>0</v>
      </c>
      <c r="BA336" s="3298">
        <f t="shared" si="186"/>
        <v>0</v>
      </c>
      <c r="BB336" s="3298">
        <f t="shared" si="187"/>
        <v>0</v>
      </c>
      <c r="BC336" s="3298">
        <f t="shared" si="188"/>
        <v>0</v>
      </c>
      <c r="BD336" s="3298">
        <f t="shared" si="189"/>
        <v>0</v>
      </c>
      <c r="BE336" s="3298">
        <f t="shared" si="190"/>
        <v>0</v>
      </c>
      <c r="BF336" s="3298">
        <f t="shared" si="191"/>
        <v>0</v>
      </c>
      <c r="BG336" s="3298">
        <f t="shared" si="192"/>
        <v>0</v>
      </c>
      <c r="BH336" s="3298">
        <f t="shared" si="193"/>
        <v>0</v>
      </c>
      <c r="BI336" s="3298">
        <f t="shared" si="194"/>
        <v>0</v>
      </c>
      <c r="BJ336" s="3298">
        <f t="shared" si="195"/>
        <v>0</v>
      </c>
      <c r="BK336" s="3298">
        <f t="shared" si="196"/>
        <v>0</v>
      </c>
      <c r="BL336" s="3298">
        <f t="shared" si="197"/>
        <v>0</v>
      </c>
      <c r="BM336" s="3298">
        <f t="shared" si="198"/>
        <v>0</v>
      </c>
      <c r="BN336" s="3298">
        <f t="shared" si="199"/>
        <v>0</v>
      </c>
      <c r="BO336" s="3298">
        <f t="shared" si="200"/>
        <v>0</v>
      </c>
      <c r="BP336" s="3298">
        <f t="shared" si="201"/>
        <v>0</v>
      </c>
      <c r="BQ336" s="3298">
        <f t="shared" si="202"/>
        <v>0</v>
      </c>
      <c r="BR336" s="3298">
        <f t="shared" si="203"/>
        <v>0</v>
      </c>
      <c r="BS336" s="3298">
        <f t="shared" si="204"/>
        <v>0</v>
      </c>
      <c r="BT336" s="3350">
        <f t="shared" si="205"/>
        <v>0</v>
      </c>
    </row>
    <row r="337" spans="1:72">
      <c r="A337" s="1407"/>
      <c r="B337" s="3296"/>
      <c r="C337" s="3296"/>
      <c r="D337" s="3297"/>
      <c r="E337" s="3298">
        <f t="shared" si="206"/>
        <v>0</v>
      </c>
      <c r="F337" s="3299"/>
      <c r="G337" s="3300">
        <f t="shared" si="181"/>
        <v>0</v>
      </c>
      <c r="H337" s="3301">
        <f t="shared" si="182"/>
        <v>0</v>
      </c>
      <c r="I337" s="3308"/>
      <c r="J337" s="3308"/>
      <c r="K337" s="3308"/>
      <c r="L337" s="3308"/>
      <c r="M337" s="3308"/>
      <c r="N337" s="3308"/>
      <c r="O337" s="3308"/>
      <c r="P337" s="3308"/>
      <c r="Q337" s="3308"/>
      <c r="R337" s="3308"/>
      <c r="S337" s="3308"/>
      <c r="T337" s="3308"/>
      <c r="U337" s="3308"/>
      <c r="V337" s="3308"/>
      <c r="W337" s="3308"/>
      <c r="X337" s="3308"/>
      <c r="Y337" s="3308"/>
      <c r="Z337" s="3308"/>
      <c r="AA337" s="3308"/>
      <c r="AB337" s="3308"/>
      <c r="AC337" s="3298">
        <f t="shared" si="183"/>
        <v>0</v>
      </c>
      <c r="AD337" s="3318"/>
      <c r="AE337" s="3318"/>
      <c r="AF337" s="3318"/>
      <c r="AG337" s="3318"/>
      <c r="AH337" s="3318"/>
      <c r="AI337" s="3318"/>
      <c r="AJ337" s="3318"/>
      <c r="AK337" s="3318"/>
      <c r="AL337" s="3318"/>
      <c r="AM337" s="3318"/>
      <c r="AN337" s="3318"/>
      <c r="AO337" s="3318"/>
      <c r="AP337" s="3318"/>
      <c r="AQ337" s="3318"/>
      <c r="AR337" s="3318"/>
      <c r="AS337" s="3318"/>
      <c r="AT337" s="3328"/>
      <c r="AU337" s="3329"/>
      <c r="AV337" s="963">
        <f t="shared" si="207"/>
        <v>0</v>
      </c>
      <c r="AW337" s="963">
        <f t="shared" si="208"/>
        <v>0</v>
      </c>
      <c r="AX337" s="963">
        <f t="shared" si="209"/>
        <v>0</v>
      </c>
      <c r="AY337" s="3343">
        <f t="shared" si="184"/>
        <v>0</v>
      </c>
      <c r="AZ337" s="3298">
        <f t="shared" si="185"/>
        <v>0</v>
      </c>
      <c r="BA337" s="3298">
        <f t="shared" si="186"/>
        <v>0</v>
      </c>
      <c r="BB337" s="3298">
        <f t="shared" si="187"/>
        <v>0</v>
      </c>
      <c r="BC337" s="3298">
        <f t="shared" si="188"/>
        <v>0</v>
      </c>
      <c r="BD337" s="3298">
        <f t="shared" si="189"/>
        <v>0</v>
      </c>
      <c r="BE337" s="3298">
        <f t="shared" si="190"/>
        <v>0</v>
      </c>
      <c r="BF337" s="3298">
        <f t="shared" si="191"/>
        <v>0</v>
      </c>
      <c r="BG337" s="3298">
        <f t="shared" si="192"/>
        <v>0</v>
      </c>
      <c r="BH337" s="3298">
        <f t="shared" si="193"/>
        <v>0</v>
      </c>
      <c r="BI337" s="3298">
        <f t="shared" si="194"/>
        <v>0</v>
      </c>
      <c r="BJ337" s="3298">
        <f t="shared" si="195"/>
        <v>0</v>
      </c>
      <c r="BK337" s="3298">
        <f t="shared" si="196"/>
        <v>0</v>
      </c>
      <c r="BL337" s="3298">
        <f t="shared" si="197"/>
        <v>0</v>
      </c>
      <c r="BM337" s="3298">
        <f t="shared" si="198"/>
        <v>0</v>
      </c>
      <c r="BN337" s="3298">
        <f t="shared" si="199"/>
        <v>0</v>
      </c>
      <c r="BO337" s="3298">
        <f t="shared" si="200"/>
        <v>0</v>
      </c>
      <c r="BP337" s="3298">
        <f t="shared" si="201"/>
        <v>0</v>
      </c>
      <c r="BQ337" s="3298">
        <f t="shared" si="202"/>
        <v>0</v>
      </c>
      <c r="BR337" s="3298">
        <f t="shared" si="203"/>
        <v>0</v>
      </c>
      <c r="BS337" s="3298">
        <f t="shared" si="204"/>
        <v>0</v>
      </c>
      <c r="BT337" s="3350">
        <f t="shared" si="205"/>
        <v>0</v>
      </c>
    </row>
    <row r="338" spans="1:72">
      <c r="A338" s="1407"/>
      <c r="B338" s="3296"/>
      <c r="C338" s="3296"/>
      <c r="D338" s="3297"/>
      <c r="E338" s="3298">
        <f t="shared" si="206"/>
        <v>0</v>
      </c>
      <c r="F338" s="3299"/>
      <c r="G338" s="3300">
        <f t="shared" si="181"/>
        <v>0</v>
      </c>
      <c r="H338" s="3301">
        <f t="shared" si="182"/>
        <v>0</v>
      </c>
      <c r="I338" s="3308"/>
      <c r="J338" s="3308"/>
      <c r="K338" s="3308"/>
      <c r="L338" s="3308"/>
      <c r="M338" s="3308"/>
      <c r="N338" s="3308"/>
      <c r="O338" s="3308"/>
      <c r="P338" s="3308"/>
      <c r="Q338" s="3308"/>
      <c r="R338" s="3308"/>
      <c r="S338" s="3308"/>
      <c r="T338" s="3308"/>
      <c r="U338" s="3308"/>
      <c r="V338" s="3308"/>
      <c r="W338" s="3308"/>
      <c r="X338" s="3308"/>
      <c r="Y338" s="3308"/>
      <c r="Z338" s="3308"/>
      <c r="AA338" s="3308"/>
      <c r="AB338" s="3308"/>
      <c r="AC338" s="3298">
        <f t="shared" si="183"/>
        <v>0</v>
      </c>
      <c r="AD338" s="3318"/>
      <c r="AE338" s="3318"/>
      <c r="AF338" s="3318"/>
      <c r="AG338" s="3318"/>
      <c r="AH338" s="3318"/>
      <c r="AI338" s="3318"/>
      <c r="AJ338" s="3318"/>
      <c r="AK338" s="3318"/>
      <c r="AL338" s="3318"/>
      <c r="AM338" s="3318"/>
      <c r="AN338" s="3318"/>
      <c r="AO338" s="3318"/>
      <c r="AP338" s="3318"/>
      <c r="AQ338" s="3318"/>
      <c r="AR338" s="3318"/>
      <c r="AS338" s="3318"/>
      <c r="AT338" s="3328"/>
      <c r="AU338" s="3329"/>
      <c r="AV338" s="963">
        <f t="shared" si="207"/>
        <v>0</v>
      </c>
      <c r="AW338" s="963">
        <f t="shared" si="208"/>
        <v>0</v>
      </c>
      <c r="AX338" s="963">
        <f t="shared" si="209"/>
        <v>0</v>
      </c>
      <c r="AY338" s="3343">
        <f t="shared" si="184"/>
        <v>0</v>
      </c>
      <c r="AZ338" s="3298">
        <f t="shared" si="185"/>
        <v>0</v>
      </c>
      <c r="BA338" s="3298">
        <f t="shared" si="186"/>
        <v>0</v>
      </c>
      <c r="BB338" s="3298">
        <f t="shared" si="187"/>
        <v>0</v>
      </c>
      <c r="BC338" s="3298">
        <f t="shared" si="188"/>
        <v>0</v>
      </c>
      <c r="BD338" s="3298">
        <f t="shared" si="189"/>
        <v>0</v>
      </c>
      <c r="BE338" s="3298">
        <f t="shared" si="190"/>
        <v>0</v>
      </c>
      <c r="BF338" s="3298">
        <f t="shared" si="191"/>
        <v>0</v>
      </c>
      <c r="BG338" s="3298">
        <f t="shared" si="192"/>
        <v>0</v>
      </c>
      <c r="BH338" s="3298">
        <f t="shared" si="193"/>
        <v>0</v>
      </c>
      <c r="BI338" s="3298">
        <f t="shared" si="194"/>
        <v>0</v>
      </c>
      <c r="BJ338" s="3298">
        <f t="shared" si="195"/>
        <v>0</v>
      </c>
      <c r="BK338" s="3298">
        <f t="shared" si="196"/>
        <v>0</v>
      </c>
      <c r="BL338" s="3298">
        <f t="shared" si="197"/>
        <v>0</v>
      </c>
      <c r="BM338" s="3298">
        <f t="shared" si="198"/>
        <v>0</v>
      </c>
      <c r="BN338" s="3298">
        <f t="shared" si="199"/>
        <v>0</v>
      </c>
      <c r="BO338" s="3298">
        <f t="shared" si="200"/>
        <v>0</v>
      </c>
      <c r="BP338" s="3298">
        <f t="shared" si="201"/>
        <v>0</v>
      </c>
      <c r="BQ338" s="3298">
        <f t="shared" si="202"/>
        <v>0</v>
      </c>
      <c r="BR338" s="3298">
        <f t="shared" si="203"/>
        <v>0</v>
      </c>
      <c r="BS338" s="3298">
        <f t="shared" si="204"/>
        <v>0</v>
      </c>
      <c r="BT338" s="3350">
        <f t="shared" si="205"/>
        <v>0</v>
      </c>
    </row>
    <row r="339" spans="1:72">
      <c r="A339" s="1407"/>
      <c r="B339" s="3296"/>
      <c r="C339" s="3296"/>
      <c r="D339" s="3297"/>
      <c r="E339" s="3298">
        <f t="shared" si="206"/>
        <v>0</v>
      </c>
      <c r="F339" s="3299"/>
      <c r="G339" s="3300">
        <f t="shared" si="181"/>
        <v>0</v>
      </c>
      <c r="H339" s="3301">
        <f t="shared" si="182"/>
        <v>0</v>
      </c>
      <c r="I339" s="3308"/>
      <c r="J339" s="3308"/>
      <c r="K339" s="3308"/>
      <c r="L339" s="3308"/>
      <c r="M339" s="3308"/>
      <c r="N339" s="3308"/>
      <c r="O339" s="3308"/>
      <c r="P339" s="3308"/>
      <c r="Q339" s="3308"/>
      <c r="R339" s="3308"/>
      <c r="S339" s="3308"/>
      <c r="T339" s="3308"/>
      <c r="U339" s="3308"/>
      <c r="V339" s="3308"/>
      <c r="W339" s="3308"/>
      <c r="X339" s="3308"/>
      <c r="Y339" s="3308"/>
      <c r="Z339" s="3308"/>
      <c r="AA339" s="3308"/>
      <c r="AB339" s="3308"/>
      <c r="AC339" s="3298">
        <f t="shared" si="183"/>
        <v>0</v>
      </c>
      <c r="AD339" s="3318"/>
      <c r="AE339" s="3318"/>
      <c r="AF339" s="3318"/>
      <c r="AG339" s="3318"/>
      <c r="AH339" s="3318"/>
      <c r="AI339" s="3318"/>
      <c r="AJ339" s="3318"/>
      <c r="AK339" s="3318"/>
      <c r="AL339" s="3318"/>
      <c r="AM339" s="3318"/>
      <c r="AN339" s="3318"/>
      <c r="AO339" s="3318"/>
      <c r="AP339" s="3318"/>
      <c r="AQ339" s="3318"/>
      <c r="AR339" s="3318"/>
      <c r="AS339" s="3318"/>
      <c r="AT339" s="3328"/>
      <c r="AU339" s="3329"/>
      <c r="AV339" s="963">
        <f t="shared" si="207"/>
        <v>0</v>
      </c>
      <c r="AW339" s="963">
        <f t="shared" si="208"/>
        <v>0</v>
      </c>
      <c r="AX339" s="963">
        <f t="shared" si="209"/>
        <v>0</v>
      </c>
      <c r="AY339" s="3343">
        <f t="shared" si="184"/>
        <v>0</v>
      </c>
      <c r="AZ339" s="3298">
        <f t="shared" si="185"/>
        <v>0</v>
      </c>
      <c r="BA339" s="3298">
        <f t="shared" si="186"/>
        <v>0</v>
      </c>
      <c r="BB339" s="3298">
        <f t="shared" si="187"/>
        <v>0</v>
      </c>
      <c r="BC339" s="3298">
        <f t="shared" si="188"/>
        <v>0</v>
      </c>
      <c r="BD339" s="3298">
        <f t="shared" si="189"/>
        <v>0</v>
      </c>
      <c r="BE339" s="3298">
        <f t="shared" si="190"/>
        <v>0</v>
      </c>
      <c r="BF339" s="3298">
        <f t="shared" si="191"/>
        <v>0</v>
      </c>
      <c r="BG339" s="3298">
        <f t="shared" si="192"/>
        <v>0</v>
      </c>
      <c r="BH339" s="3298">
        <f t="shared" si="193"/>
        <v>0</v>
      </c>
      <c r="BI339" s="3298">
        <f t="shared" si="194"/>
        <v>0</v>
      </c>
      <c r="BJ339" s="3298">
        <f t="shared" si="195"/>
        <v>0</v>
      </c>
      <c r="BK339" s="3298">
        <f t="shared" si="196"/>
        <v>0</v>
      </c>
      <c r="BL339" s="3298">
        <f t="shared" si="197"/>
        <v>0</v>
      </c>
      <c r="BM339" s="3298">
        <f t="shared" si="198"/>
        <v>0</v>
      </c>
      <c r="BN339" s="3298">
        <f t="shared" si="199"/>
        <v>0</v>
      </c>
      <c r="BO339" s="3298">
        <f t="shared" si="200"/>
        <v>0</v>
      </c>
      <c r="BP339" s="3298">
        <f t="shared" si="201"/>
        <v>0</v>
      </c>
      <c r="BQ339" s="3298">
        <f t="shared" si="202"/>
        <v>0</v>
      </c>
      <c r="BR339" s="3298">
        <f t="shared" si="203"/>
        <v>0</v>
      </c>
      <c r="BS339" s="3298">
        <f t="shared" si="204"/>
        <v>0</v>
      </c>
      <c r="BT339" s="3350">
        <f t="shared" si="205"/>
        <v>0</v>
      </c>
    </row>
    <row r="340" spans="1:72">
      <c r="A340" s="1407"/>
      <c r="B340" s="3296"/>
      <c r="C340" s="3296"/>
      <c r="D340" s="3297"/>
      <c r="E340" s="3298">
        <f t="shared" si="206"/>
        <v>0</v>
      </c>
      <c r="F340" s="3299"/>
      <c r="G340" s="3300">
        <f t="shared" si="181"/>
        <v>0</v>
      </c>
      <c r="H340" s="3301">
        <f t="shared" si="182"/>
        <v>0</v>
      </c>
      <c r="I340" s="3308"/>
      <c r="J340" s="3308"/>
      <c r="K340" s="3308"/>
      <c r="L340" s="3308"/>
      <c r="M340" s="3308"/>
      <c r="N340" s="3308"/>
      <c r="O340" s="3308"/>
      <c r="P340" s="3308"/>
      <c r="Q340" s="3308"/>
      <c r="R340" s="3308"/>
      <c r="S340" s="3308"/>
      <c r="T340" s="3308"/>
      <c r="U340" s="3308"/>
      <c r="V340" s="3308"/>
      <c r="W340" s="3308"/>
      <c r="X340" s="3308"/>
      <c r="Y340" s="3308"/>
      <c r="Z340" s="3308"/>
      <c r="AA340" s="3308"/>
      <c r="AB340" s="3308"/>
      <c r="AC340" s="3298">
        <f t="shared" si="183"/>
        <v>0</v>
      </c>
      <c r="AD340" s="3318"/>
      <c r="AE340" s="3318"/>
      <c r="AF340" s="3318"/>
      <c r="AG340" s="3318"/>
      <c r="AH340" s="3318"/>
      <c r="AI340" s="3318"/>
      <c r="AJ340" s="3318"/>
      <c r="AK340" s="3318"/>
      <c r="AL340" s="3318"/>
      <c r="AM340" s="3318"/>
      <c r="AN340" s="3318"/>
      <c r="AO340" s="3318"/>
      <c r="AP340" s="3318"/>
      <c r="AQ340" s="3318"/>
      <c r="AR340" s="3318"/>
      <c r="AS340" s="3318"/>
      <c r="AT340" s="3328"/>
      <c r="AU340" s="3329"/>
      <c r="AV340" s="963">
        <f t="shared" si="207"/>
        <v>0</v>
      </c>
      <c r="AW340" s="963">
        <f t="shared" si="208"/>
        <v>0</v>
      </c>
      <c r="AX340" s="963">
        <f t="shared" si="209"/>
        <v>0</v>
      </c>
      <c r="AY340" s="3343">
        <f t="shared" si="184"/>
        <v>0</v>
      </c>
      <c r="AZ340" s="3298">
        <f t="shared" si="185"/>
        <v>0</v>
      </c>
      <c r="BA340" s="3298">
        <f t="shared" si="186"/>
        <v>0</v>
      </c>
      <c r="BB340" s="3298">
        <f t="shared" si="187"/>
        <v>0</v>
      </c>
      <c r="BC340" s="3298">
        <f t="shared" si="188"/>
        <v>0</v>
      </c>
      <c r="BD340" s="3298">
        <f t="shared" si="189"/>
        <v>0</v>
      </c>
      <c r="BE340" s="3298">
        <f t="shared" si="190"/>
        <v>0</v>
      </c>
      <c r="BF340" s="3298">
        <f t="shared" si="191"/>
        <v>0</v>
      </c>
      <c r="BG340" s="3298">
        <f t="shared" si="192"/>
        <v>0</v>
      </c>
      <c r="BH340" s="3298">
        <f t="shared" si="193"/>
        <v>0</v>
      </c>
      <c r="BI340" s="3298">
        <f t="shared" si="194"/>
        <v>0</v>
      </c>
      <c r="BJ340" s="3298">
        <f t="shared" si="195"/>
        <v>0</v>
      </c>
      <c r="BK340" s="3298">
        <f t="shared" si="196"/>
        <v>0</v>
      </c>
      <c r="BL340" s="3298">
        <f t="shared" si="197"/>
        <v>0</v>
      </c>
      <c r="BM340" s="3298">
        <f t="shared" si="198"/>
        <v>0</v>
      </c>
      <c r="BN340" s="3298">
        <f t="shared" si="199"/>
        <v>0</v>
      </c>
      <c r="BO340" s="3298">
        <f t="shared" si="200"/>
        <v>0</v>
      </c>
      <c r="BP340" s="3298">
        <f t="shared" si="201"/>
        <v>0</v>
      </c>
      <c r="BQ340" s="3298">
        <f t="shared" si="202"/>
        <v>0</v>
      </c>
      <c r="BR340" s="3298">
        <f t="shared" si="203"/>
        <v>0</v>
      </c>
      <c r="BS340" s="3298">
        <f t="shared" si="204"/>
        <v>0</v>
      </c>
      <c r="BT340" s="3350">
        <f t="shared" si="205"/>
        <v>0</v>
      </c>
    </row>
    <row r="341" spans="1:72">
      <c r="A341" s="1407"/>
      <c r="B341" s="3296"/>
      <c r="C341" s="3296"/>
      <c r="D341" s="3297"/>
      <c r="E341" s="3298">
        <f t="shared" si="206"/>
        <v>0</v>
      </c>
      <c r="F341" s="3299"/>
      <c r="G341" s="3300">
        <f t="shared" si="181"/>
        <v>0</v>
      </c>
      <c r="H341" s="3301">
        <f t="shared" si="182"/>
        <v>0</v>
      </c>
      <c r="I341" s="3308"/>
      <c r="J341" s="3308"/>
      <c r="K341" s="3308"/>
      <c r="L341" s="3308"/>
      <c r="M341" s="3308"/>
      <c r="N341" s="3308"/>
      <c r="O341" s="3308"/>
      <c r="P341" s="3308"/>
      <c r="Q341" s="3308"/>
      <c r="R341" s="3308"/>
      <c r="S341" s="3308"/>
      <c r="T341" s="3308"/>
      <c r="U341" s="3308"/>
      <c r="V341" s="3308"/>
      <c r="W341" s="3308"/>
      <c r="X341" s="3308"/>
      <c r="Y341" s="3308"/>
      <c r="Z341" s="3308"/>
      <c r="AA341" s="3308"/>
      <c r="AB341" s="3308"/>
      <c r="AC341" s="3298">
        <f t="shared" si="183"/>
        <v>0</v>
      </c>
      <c r="AD341" s="3318"/>
      <c r="AE341" s="3318"/>
      <c r="AF341" s="3318"/>
      <c r="AG341" s="3318"/>
      <c r="AH341" s="3318"/>
      <c r="AI341" s="3318"/>
      <c r="AJ341" s="3318"/>
      <c r="AK341" s="3318"/>
      <c r="AL341" s="3318"/>
      <c r="AM341" s="3318"/>
      <c r="AN341" s="3318"/>
      <c r="AO341" s="3318"/>
      <c r="AP341" s="3318"/>
      <c r="AQ341" s="3318"/>
      <c r="AR341" s="3318"/>
      <c r="AS341" s="3318"/>
      <c r="AT341" s="3328"/>
      <c r="AU341" s="3329"/>
      <c r="AV341" s="963">
        <f t="shared" si="207"/>
        <v>0</v>
      </c>
      <c r="AW341" s="963">
        <f t="shared" si="208"/>
        <v>0</v>
      </c>
      <c r="AX341" s="963">
        <f t="shared" si="209"/>
        <v>0</v>
      </c>
      <c r="AY341" s="3343">
        <f t="shared" si="184"/>
        <v>0</v>
      </c>
      <c r="AZ341" s="3298">
        <f t="shared" si="185"/>
        <v>0</v>
      </c>
      <c r="BA341" s="3298">
        <f t="shared" si="186"/>
        <v>0</v>
      </c>
      <c r="BB341" s="3298">
        <f t="shared" si="187"/>
        <v>0</v>
      </c>
      <c r="BC341" s="3298">
        <f t="shared" si="188"/>
        <v>0</v>
      </c>
      <c r="BD341" s="3298">
        <f t="shared" si="189"/>
        <v>0</v>
      </c>
      <c r="BE341" s="3298">
        <f t="shared" si="190"/>
        <v>0</v>
      </c>
      <c r="BF341" s="3298">
        <f t="shared" si="191"/>
        <v>0</v>
      </c>
      <c r="BG341" s="3298">
        <f t="shared" si="192"/>
        <v>0</v>
      </c>
      <c r="BH341" s="3298">
        <f t="shared" si="193"/>
        <v>0</v>
      </c>
      <c r="BI341" s="3298">
        <f t="shared" si="194"/>
        <v>0</v>
      </c>
      <c r="BJ341" s="3298">
        <f t="shared" si="195"/>
        <v>0</v>
      </c>
      <c r="BK341" s="3298">
        <f t="shared" si="196"/>
        <v>0</v>
      </c>
      <c r="BL341" s="3298">
        <f t="shared" si="197"/>
        <v>0</v>
      </c>
      <c r="BM341" s="3298">
        <f t="shared" si="198"/>
        <v>0</v>
      </c>
      <c r="BN341" s="3298">
        <f t="shared" si="199"/>
        <v>0</v>
      </c>
      <c r="BO341" s="3298">
        <f t="shared" si="200"/>
        <v>0</v>
      </c>
      <c r="BP341" s="3298">
        <f t="shared" si="201"/>
        <v>0</v>
      </c>
      <c r="BQ341" s="3298">
        <f t="shared" si="202"/>
        <v>0</v>
      </c>
      <c r="BR341" s="3298">
        <f t="shared" si="203"/>
        <v>0</v>
      </c>
      <c r="BS341" s="3298">
        <f t="shared" si="204"/>
        <v>0</v>
      </c>
      <c r="BT341" s="3350">
        <f t="shared" si="205"/>
        <v>0</v>
      </c>
    </row>
    <row r="342" spans="1:72">
      <c r="A342" s="1407"/>
      <c r="B342" s="3296"/>
      <c r="C342" s="3296"/>
      <c r="D342" s="3297"/>
      <c r="E342" s="3298">
        <f t="shared" si="206"/>
        <v>0</v>
      </c>
      <c r="F342" s="3299"/>
      <c r="G342" s="3300">
        <f t="shared" si="181"/>
        <v>0</v>
      </c>
      <c r="H342" s="3301">
        <f t="shared" si="182"/>
        <v>0</v>
      </c>
      <c r="I342" s="3308"/>
      <c r="J342" s="3308"/>
      <c r="K342" s="3308"/>
      <c r="L342" s="3308"/>
      <c r="M342" s="3308"/>
      <c r="N342" s="3308"/>
      <c r="O342" s="3308"/>
      <c r="P342" s="3308"/>
      <c r="Q342" s="3308"/>
      <c r="R342" s="3308"/>
      <c r="S342" s="3308"/>
      <c r="T342" s="3308"/>
      <c r="U342" s="3308"/>
      <c r="V342" s="3308"/>
      <c r="W342" s="3308"/>
      <c r="X342" s="3308"/>
      <c r="Y342" s="3308"/>
      <c r="Z342" s="3308"/>
      <c r="AA342" s="3308"/>
      <c r="AB342" s="3308"/>
      <c r="AC342" s="3298">
        <f t="shared" si="183"/>
        <v>0</v>
      </c>
      <c r="AD342" s="3318"/>
      <c r="AE342" s="3318"/>
      <c r="AF342" s="3318"/>
      <c r="AG342" s="3318"/>
      <c r="AH342" s="3318"/>
      <c r="AI342" s="3318"/>
      <c r="AJ342" s="3318"/>
      <c r="AK342" s="3318"/>
      <c r="AL342" s="3318"/>
      <c r="AM342" s="3318"/>
      <c r="AN342" s="3318"/>
      <c r="AO342" s="3318"/>
      <c r="AP342" s="3318"/>
      <c r="AQ342" s="3318"/>
      <c r="AR342" s="3318"/>
      <c r="AS342" s="3318"/>
      <c r="AT342" s="3328"/>
      <c r="AU342" s="3329"/>
      <c r="AV342" s="963">
        <f t="shared" si="207"/>
        <v>0</v>
      </c>
      <c r="AW342" s="963">
        <f t="shared" si="208"/>
        <v>0</v>
      </c>
      <c r="AX342" s="963">
        <f t="shared" si="209"/>
        <v>0</v>
      </c>
      <c r="AY342" s="3343">
        <f t="shared" si="184"/>
        <v>0</v>
      </c>
      <c r="AZ342" s="3298">
        <f t="shared" si="185"/>
        <v>0</v>
      </c>
      <c r="BA342" s="3298">
        <f t="shared" si="186"/>
        <v>0</v>
      </c>
      <c r="BB342" s="3298">
        <f t="shared" si="187"/>
        <v>0</v>
      </c>
      <c r="BC342" s="3298">
        <f t="shared" si="188"/>
        <v>0</v>
      </c>
      <c r="BD342" s="3298">
        <f t="shared" si="189"/>
        <v>0</v>
      </c>
      <c r="BE342" s="3298">
        <f t="shared" si="190"/>
        <v>0</v>
      </c>
      <c r="BF342" s="3298">
        <f t="shared" si="191"/>
        <v>0</v>
      </c>
      <c r="BG342" s="3298">
        <f t="shared" si="192"/>
        <v>0</v>
      </c>
      <c r="BH342" s="3298">
        <f t="shared" si="193"/>
        <v>0</v>
      </c>
      <c r="BI342" s="3298">
        <f t="shared" si="194"/>
        <v>0</v>
      </c>
      <c r="BJ342" s="3298">
        <f t="shared" si="195"/>
        <v>0</v>
      </c>
      <c r="BK342" s="3298">
        <f t="shared" si="196"/>
        <v>0</v>
      </c>
      <c r="BL342" s="3298">
        <f t="shared" si="197"/>
        <v>0</v>
      </c>
      <c r="BM342" s="3298">
        <f t="shared" si="198"/>
        <v>0</v>
      </c>
      <c r="BN342" s="3298">
        <f t="shared" si="199"/>
        <v>0</v>
      </c>
      <c r="BO342" s="3298">
        <f t="shared" si="200"/>
        <v>0</v>
      </c>
      <c r="BP342" s="3298">
        <f t="shared" si="201"/>
        <v>0</v>
      </c>
      <c r="BQ342" s="3298">
        <f t="shared" si="202"/>
        <v>0</v>
      </c>
      <c r="BR342" s="3298">
        <f t="shared" si="203"/>
        <v>0</v>
      </c>
      <c r="BS342" s="3298">
        <f t="shared" si="204"/>
        <v>0</v>
      </c>
      <c r="BT342" s="3350">
        <f t="shared" si="205"/>
        <v>0</v>
      </c>
    </row>
    <row r="343" spans="1:72">
      <c r="A343" s="1407"/>
      <c r="B343" s="3296"/>
      <c r="C343" s="3296"/>
      <c r="D343" s="3297"/>
      <c r="E343" s="3298">
        <f t="shared" si="206"/>
        <v>0</v>
      </c>
      <c r="F343" s="3299"/>
      <c r="G343" s="3300">
        <f t="shared" si="181"/>
        <v>0</v>
      </c>
      <c r="H343" s="3301">
        <f t="shared" si="182"/>
        <v>0</v>
      </c>
      <c r="I343" s="3308"/>
      <c r="J343" s="3308"/>
      <c r="K343" s="3308"/>
      <c r="L343" s="3308"/>
      <c r="M343" s="3308"/>
      <c r="N343" s="3308"/>
      <c r="O343" s="3308"/>
      <c r="P343" s="3308"/>
      <c r="Q343" s="3308"/>
      <c r="R343" s="3308"/>
      <c r="S343" s="3308"/>
      <c r="T343" s="3308"/>
      <c r="U343" s="3308"/>
      <c r="V343" s="3308"/>
      <c r="W343" s="3308"/>
      <c r="X343" s="3308"/>
      <c r="Y343" s="3308"/>
      <c r="Z343" s="3308"/>
      <c r="AA343" s="3308"/>
      <c r="AB343" s="3308"/>
      <c r="AC343" s="3298">
        <f t="shared" si="183"/>
        <v>0</v>
      </c>
      <c r="AD343" s="3318"/>
      <c r="AE343" s="3318"/>
      <c r="AF343" s="3318"/>
      <c r="AG343" s="3318"/>
      <c r="AH343" s="3318"/>
      <c r="AI343" s="3318"/>
      <c r="AJ343" s="3318"/>
      <c r="AK343" s="3318"/>
      <c r="AL343" s="3318"/>
      <c r="AM343" s="3318"/>
      <c r="AN343" s="3318"/>
      <c r="AO343" s="3318"/>
      <c r="AP343" s="3318"/>
      <c r="AQ343" s="3318"/>
      <c r="AR343" s="3318"/>
      <c r="AS343" s="3318"/>
      <c r="AT343" s="3328"/>
      <c r="AU343" s="3329"/>
      <c r="AV343" s="963">
        <f t="shared" si="207"/>
        <v>0</v>
      </c>
      <c r="AW343" s="963">
        <f t="shared" si="208"/>
        <v>0</v>
      </c>
      <c r="AX343" s="963">
        <f t="shared" si="209"/>
        <v>0</v>
      </c>
      <c r="AY343" s="3343">
        <f t="shared" si="184"/>
        <v>0</v>
      </c>
      <c r="AZ343" s="3298">
        <f t="shared" si="185"/>
        <v>0</v>
      </c>
      <c r="BA343" s="3298">
        <f t="shared" si="186"/>
        <v>0</v>
      </c>
      <c r="BB343" s="3298">
        <f t="shared" si="187"/>
        <v>0</v>
      </c>
      <c r="BC343" s="3298">
        <f t="shared" si="188"/>
        <v>0</v>
      </c>
      <c r="BD343" s="3298">
        <f t="shared" si="189"/>
        <v>0</v>
      </c>
      <c r="BE343" s="3298">
        <f t="shared" si="190"/>
        <v>0</v>
      </c>
      <c r="BF343" s="3298">
        <f t="shared" si="191"/>
        <v>0</v>
      </c>
      <c r="BG343" s="3298">
        <f t="shared" si="192"/>
        <v>0</v>
      </c>
      <c r="BH343" s="3298">
        <f t="shared" si="193"/>
        <v>0</v>
      </c>
      <c r="BI343" s="3298">
        <f t="shared" si="194"/>
        <v>0</v>
      </c>
      <c r="BJ343" s="3298">
        <f t="shared" si="195"/>
        <v>0</v>
      </c>
      <c r="BK343" s="3298">
        <f t="shared" si="196"/>
        <v>0</v>
      </c>
      <c r="BL343" s="3298">
        <f t="shared" si="197"/>
        <v>0</v>
      </c>
      <c r="BM343" s="3298">
        <f t="shared" si="198"/>
        <v>0</v>
      </c>
      <c r="BN343" s="3298">
        <f t="shared" si="199"/>
        <v>0</v>
      </c>
      <c r="BO343" s="3298">
        <f t="shared" si="200"/>
        <v>0</v>
      </c>
      <c r="BP343" s="3298">
        <f t="shared" si="201"/>
        <v>0</v>
      </c>
      <c r="BQ343" s="3298">
        <f t="shared" si="202"/>
        <v>0</v>
      </c>
      <c r="BR343" s="3298">
        <f t="shared" si="203"/>
        <v>0</v>
      </c>
      <c r="BS343" s="3298">
        <f t="shared" si="204"/>
        <v>0</v>
      </c>
      <c r="BT343" s="3350">
        <f t="shared" si="205"/>
        <v>0</v>
      </c>
    </row>
    <row r="344" spans="1:72">
      <c r="A344" s="1407"/>
      <c r="B344" s="3296"/>
      <c r="C344" s="3296"/>
      <c r="D344" s="3297"/>
      <c r="E344" s="3298">
        <f t="shared" si="206"/>
        <v>0</v>
      </c>
      <c r="F344" s="3299"/>
      <c r="G344" s="3300">
        <f t="shared" si="181"/>
        <v>0</v>
      </c>
      <c r="H344" s="3301">
        <f t="shared" si="182"/>
        <v>0</v>
      </c>
      <c r="I344" s="3308"/>
      <c r="J344" s="3308"/>
      <c r="K344" s="3308"/>
      <c r="L344" s="3308"/>
      <c r="M344" s="3308"/>
      <c r="N344" s="3308"/>
      <c r="O344" s="3308"/>
      <c r="P344" s="3308"/>
      <c r="Q344" s="3308"/>
      <c r="R344" s="3308"/>
      <c r="S344" s="3308"/>
      <c r="T344" s="3308"/>
      <c r="U344" s="3308"/>
      <c r="V344" s="3308"/>
      <c r="W344" s="3308"/>
      <c r="X344" s="3308"/>
      <c r="Y344" s="3308"/>
      <c r="Z344" s="3308"/>
      <c r="AA344" s="3308"/>
      <c r="AB344" s="3308"/>
      <c r="AC344" s="3298">
        <f t="shared" si="183"/>
        <v>0</v>
      </c>
      <c r="AD344" s="3318"/>
      <c r="AE344" s="3318"/>
      <c r="AF344" s="3318"/>
      <c r="AG344" s="3318"/>
      <c r="AH344" s="3318"/>
      <c r="AI344" s="3318"/>
      <c r="AJ344" s="3318"/>
      <c r="AK344" s="3318"/>
      <c r="AL344" s="3318"/>
      <c r="AM344" s="3318"/>
      <c r="AN344" s="3318"/>
      <c r="AO344" s="3318"/>
      <c r="AP344" s="3318"/>
      <c r="AQ344" s="3318"/>
      <c r="AR344" s="3318"/>
      <c r="AS344" s="3318"/>
      <c r="AT344" s="3328"/>
      <c r="AU344" s="3329"/>
      <c r="AV344" s="963">
        <f t="shared" si="207"/>
        <v>0</v>
      </c>
      <c r="AW344" s="963">
        <f t="shared" si="208"/>
        <v>0</v>
      </c>
      <c r="AX344" s="963">
        <f t="shared" si="209"/>
        <v>0</v>
      </c>
      <c r="AY344" s="3343">
        <f t="shared" si="184"/>
        <v>0</v>
      </c>
      <c r="AZ344" s="3298">
        <f t="shared" si="185"/>
        <v>0</v>
      </c>
      <c r="BA344" s="3298">
        <f t="shared" si="186"/>
        <v>0</v>
      </c>
      <c r="BB344" s="3298">
        <f t="shared" si="187"/>
        <v>0</v>
      </c>
      <c r="BC344" s="3298">
        <f t="shared" si="188"/>
        <v>0</v>
      </c>
      <c r="BD344" s="3298">
        <f t="shared" si="189"/>
        <v>0</v>
      </c>
      <c r="BE344" s="3298">
        <f t="shared" si="190"/>
        <v>0</v>
      </c>
      <c r="BF344" s="3298">
        <f t="shared" si="191"/>
        <v>0</v>
      </c>
      <c r="BG344" s="3298">
        <f t="shared" si="192"/>
        <v>0</v>
      </c>
      <c r="BH344" s="3298">
        <f t="shared" si="193"/>
        <v>0</v>
      </c>
      <c r="BI344" s="3298">
        <f t="shared" si="194"/>
        <v>0</v>
      </c>
      <c r="BJ344" s="3298">
        <f t="shared" si="195"/>
        <v>0</v>
      </c>
      <c r="BK344" s="3298">
        <f t="shared" si="196"/>
        <v>0</v>
      </c>
      <c r="BL344" s="3298">
        <f t="shared" si="197"/>
        <v>0</v>
      </c>
      <c r="BM344" s="3298">
        <f t="shared" si="198"/>
        <v>0</v>
      </c>
      <c r="BN344" s="3298">
        <f t="shared" si="199"/>
        <v>0</v>
      </c>
      <c r="BO344" s="3298">
        <f t="shared" si="200"/>
        <v>0</v>
      </c>
      <c r="BP344" s="3298">
        <f t="shared" si="201"/>
        <v>0</v>
      </c>
      <c r="BQ344" s="3298">
        <f t="shared" si="202"/>
        <v>0</v>
      </c>
      <c r="BR344" s="3298">
        <f t="shared" si="203"/>
        <v>0</v>
      </c>
      <c r="BS344" s="3298">
        <f t="shared" si="204"/>
        <v>0</v>
      </c>
      <c r="BT344" s="3350">
        <f t="shared" si="205"/>
        <v>0</v>
      </c>
    </row>
    <row r="345" spans="1:72">
      <c r="A345" s="1407"/>
      <c r="B345" s="3296"/>
      <c r="C345" s="3296"/>
      <c r="D345" s="3297"/>
      <c r="E345" s="3298">
        <f t="shared" si="206"/>
        <v>0</v>
      </c>
      <c r="F345" s="3299"/>
      <c r="G345" s="3300">
        <f t="shared" si="181"/>
        <v>0</v>
      </c>
      <c r="H345" s="3301">
        <f t="shared" si="182"/>
        <v>0</v>
      </c>
      <c r="I345" s="3308"/>
      <c r="J345" s="3308"/>
      <c r="K345" s="3308"/>
      <c r="L345" s="3308"/>
      <c r="M345" s="3308"/>
      <c r="N345" s="3308"/>
      <c r="O345" s="3308"/>
      <c r="P345" s="3308"/>
      <c r="Q345" s="3308"/>
      <c r="R345" s="3308"/>
      <c r="S345" s="3308"/>
      <c r="T345" s="3308"/>
      <c r="U345" s="3308"/>
      <c r="V345" s="3308"/>
      <c r="W345" s="3308"/>
      <c r="X345" s="3308"/>
      <c r="Y345" s="3308"/>
      <c r="Z345" s="3308"/>
      <c r="AA345" s="3308"/>
      <c r="AB345" s="3308"/>
      <c r="AC345" s="3298">
        <f t="shared" si="183"/>
        <v>0</v>
      </c>
      <c r="AD345" s="3318"/>
      <c r="AE345" s="3318"/>
      <c r="AF345" s="3318"/>
      <c r="AG345" s="3318"/>
      <c r="AH345" s="3318"/>
      <c r="AI345" s="3318"/>
      <c r="AJ345" s="3318"/>
      <c r="AK345" s="3318"/>
      <c r="AL345" s="3318"/>
      <c r="AM345" s="3318"/>
      <c r="AN345" s="3318"/>
      <c r="AO345" s="3318"/>
      <c r="AP345" s="3318"/>
      <c r="AQ345" s="3318"/>
      <c r="AR345" s="3318"/>
      <c r="AS345" s="3318"/>
      <c r="AT345" s="3328"/>
      <c r="AU345" s="3329"/>
      <c r="AV345" s="963">
        <f t="shared" si="207"/>
        <v>0</v>
      </c>
      <c r="AW345" s="963">
        <f t="shared" si="208"/>
        <v>0</v>
      </c>
      <c r="AX345" s="963">
        <f t="shared" si="209"/>
        <v>0</v>
      </c>
      <c r="AY345" s="3343">
        <f t="shared" si="184"/>
        <v>0</v>
      </c>
      <c r="AZ345" s="3298">
        <f t="shared" si="185"/>
        <v>0</v>
      </c>
      <c r="BA345" s="3298">
        <f t="shared" si="186"/>
        <v>0</v>
      </c>
      <c r="BB345" s="3298">
        <f t="shared" si="187"/>
        <v>0</v>
      </c>
      <c r="BC345" s="3298">
        <f t="shared" si="188"/>
        <v>0</v>
      </c>
      <c r="BD345" s="3298">
        <f t="shared" si="189"/>
        <v>0</v>
      </c>
      <c r="BE345" s="3298">
        <f t="shared" si="190"/>
        <v>0</v>
      </c>
      <c r="BF345" s="3298">
        <f t="shared" si="191"/>
        <v>0</v>
      </c>
      <c r="BG345" s="3298">
        <f t="shared" si="192"/>
        <v>0</v>
      </c>
      <c r="BH345" s="3298">
        <f t="shared" si="193"/>
        <v>0</v>
      </c>
      <c r="BI345" s="3298">
        <f t="shared" si="194"/>
        <v>0</v>
      </c>
      <c r="BJ345" s="3298">
        <f t="shared" si="195"/>
        <v>0</v>
      </c>
      <c r="BK345" s="3298">
        <f t="shared" si="196"/>
        <v>0</v>
      </c>
      <c r="BL345" s="3298">
        <f t="shared" si="197"/>
        <v>0</v>
      </c>
      <c r="BM345" s="3298">
        <f t="shared" si="198"/>
        <v>0</v>
      </c>
      <c r="BN345" s="3298">
        <f t="shared" si="199"/>
        <v>0</v>
      </c>
      <c r="BO345" s="3298">
        <f t="shared" si="200"/>
        <v>0</v>
      </c>
      <c r="BP345" s="3298">
        <f t="shared" si="201"/>
        <v>0</v>
      </c>
      <c r="BQ345" s="3298">
        <f t="shared" si="202"/>
        <v>0</v>
      </c>
      <c r="BR345" s="3298">
        <f t="shared" si="203"/>
        <v>0</v>
      </c>
      <c r="BS345" s="3298">
        <f t="shared" si="204"/>
        <v>0</v>
      </c>
      <c r="BT345" s="3350">
        <f t="shared" si="205"/>
        <v>0</v>
      </c>
    </row>
    <row r="346" spans="1:72">
      <c r="A346" s="1407"/>
      <c r="B346" s="3296"/>
      <c r="C346" s="3296"/>
      <c r="D346" s="3297"/>
      <c r="E346" s="3298">
        <f t="shared" si="206"/>
        <v>0</v>
      </c>
      <c r="F346" s="3299"/>
      <c r="G346" s="3300">
        <f t="shared" si="181"/>
        <v>0</v>
      </c>
      <c r="H346" s="3301">
        <f t="shared" si="182"/>
        <v>0</v>
      </c>
      <c r="I346" s="3308"/>
      <c r="J346" s="3308"/>
      <c r="K346" s="3308"/>
      <c r="L346" s="3308"/>
      <c r="M346" s="3308"/>
      <c r="N346" s="3308"/>
      <c r="O346" s="3308"/>
      <c r="P346" s="3308"/>
      <c r="Q346" s="3308"/>
      <c r="R346" s="3308"/>
      <c r="S346" s="3308"/>
      <c r="T346" s="3308"/>
      <c r="U346" s="3308"/>
      <c r="V346" s="3308"/>
      <c r="W346" s="3308"/>
      <c r="X346" s="3308"/>
      <c r="Y346" s="3308"/>
      <c r="Z346" s="3308"/>
      <c r="AA346" s="3308"/>
      <c r="AB346" s="3308"/>
      <c r="AC346" s="3298">
        <f t="shared" si="183"/>
        <v>0</v>
      </c>
      <c r="AD346" s="3318"/>
      <c r="AE346" s="3318"/>
      <c r="AF346" s="3318"/>
      <c r="AG346" s="3318"/>
      <c r="AH346" s="3318"/>
      <c r="AI346" s="3318"/>
      <c r="AJ346" s="3318"/>
      <c r="AK346" s="3318"/>
      <c r="AL346" s="3318"/>
      <c r="AM346" s="3318"/>
      <c r="AN346" s="3318"/>
      <c r="AO346" s="3318"/>
      <c r="AP346" s="3318"/>
      <c r="AQ346" s="3318"/>
      <c r="AR346" s="3318"/>
      <c r="AS346" s="3318"/>
      <c r="AT346" s="3328"/>
      <c r="AU346" s="3329"/>
      <c r="AV346" s="963">
        <f t="shared" si="207"/>
        <v>0</v>
      </c>
      <c r="AW346" s="963">
        <f t="shared" si="208"/>
        <v>0</v>
      </c>
      <c r="AX346" s="963">
        <f t="shared" si="209"/>
        <v>0</v>
      </c>
      <c r="AY346" s="3343">
        <f t="shared" si="184"/>
        <v>0</v>
      </c>
      <c r="AZ346" s="3298">
        <f t="shared" si="185"/>
        <v>0</v>
      </c>
      <c r="BA346" s="3298">
        <f t="shared" si="186"/>
        <v>0</v>
      </c>
      <c r="BB346" s="3298">
        <f t="shared" si="187"/>
        <v>0</v>
      </c>
      <c r="BC346" s="3298">
        <f t="shared" si="188"/>
        <v>0</v>
      </c>
      <c r="BD346" s="3298">
        <f t="shared" si="189"/>
        <v>0</v>
      </c>
      <c r="BE346" s="3298">
        <f t="shared" si="190"/>
        <v>0</v>
      </c>
      <c r="BF346" s="3298">
        <f t="shared" si="191"/>
        <v>0</v>
      </c>
      <c r="BG346" s="3298">
        <f t="shared" si="192"/>
        <v>0</v>
      </c>
      <c r="BH346" s="3298">
        <f t="shared" si="193"/>
        <v>0</v>
      </c>
      <c r="BI346" s="3298">
        <f t="shared" si="194"/>
        <v>0</v>
      </c>
      <c r="BJ346" s="3298">
        <f t="shared" si="195"/>
        <v>0</v>
      </c>
      <c r="BK346" s="3298">
        <f t="shared" si="196"/>
        <v>0</v>
      </c>
      <c r="BL346" s="3298">
        <f t="shared" si="197"/>
        <v>0</v>
      </c>
      <c r="BM346" s="3298">
        <f t="shared" si="198"/>
        <v>0</v>
      </c>
      <c r="BN346" s="3298">
        <f t="shared" si="199"/>
        <v>0</v>
      </c>
      <c r="BO346" s="3298">
        <f t="shared" si="200"/>
        <v>0</v>
      </c>
      <c r="BP346" s="3298">
        <f t="shared" si="201"/>
        <v>0</v>
      </c>
      <c r="BQ346" s="3298">
        <f t="shared" si="202"/>
        <v>0</v>
      </c>
      <c r="BR346" s="3298">
        <f t="shared" si="203"/>
        <v>0</v>
      </c>
      <c r="BS346" s="3298">
        <f t="shared" si="204"/>
        <v>0</v>
      </c>
      <c r="BT346" s="3350">
        <f t="shared" si="205"/>
        <v>0</v>
      </c>
    </row>
    <row r="347" spans="1:72">
      <c r="A347" s="1407"/>
      <c r="B347" s="3296"/>
      <c r="C347" s="3296"/>
      <c r="D347" s="3297"/>
      <c r="E347" s="3298">
        <f t="shared" si="206"/>
        <v>0</v>
      </c>
      <c r="F347" s="3299"/>
      <c r="G347" s="3300">
        <f t="shared" si="181"/>
        <v>0</v>
      </c>
      <c r="H347" s="3301">
        <f t="shared" si="182"/>
        <v>0</v>
      </c>
      <c r="I347" s="3308"/>
      <c r="J347" s="3308"/>
      <c r="K347" s="3308"/>
      <c r="L347" s="3308"/>
      <c r="M347" s="3308"/>
      <c r="N347" s="3308"/>
      <c r="O347" s="3308"/>
      <c r="P347" s="3308"/>
      <c r="Q347" s="3308"/>
      <c r="R347" s="3308"/>
      <c r="S347" s="3308"/>
      <c r="T347" s="3308"/>
      <c r="U347" s="3308"/>
      <c r="V347" s="3308"/>
      <c r="W347" s="3308"/>
      <c r="X347" s="3308"/>
      <c r="Y347" s="3308"/>
      <c r="Z347" s="3308"/>
      <c r="AA347" s="3308"/>
      <c r="AB347" s="3308"/>
      <c r="AC347" s="3298">
        <f t="shared" si="183"/>
        <v>0</v>
      </c>
      <c r="AD347" s="3318"/>
      <c r="AE347" s="3318"/>
      <c r="AF347" s="3318"/>
      <c r="AG347" s="3318"/>
      <c r="AH347" s="3318"/>
      <c r="AI347" s="3318"/>
      <c r="AJ347" s="3318"/>
      <c r="AK347" s="3318"/>
      <c r="AL347" s="3318"/>
      <c r="AM347" s="3318"/>
      <c r="AN347" s="3318"/>
      <c r="AO347" s="3318"/>
      <c r="AP347" s="3318"/>
      <c r="AQ347" s="3318"/>
      <c r="AR347" s="3318"/>
      <c r="AS347" s="3318"/>
      <c r="AT347" s="3328"/>
      <c r="AU347" s="3329"/>
      <c r="AV347" s="963">
        <f t="shared" si="207"/>
        <v>0</v>
      </c>
      <c r="AW347" s="963">
        <f t="shared" si="208"/>
        <v>0</v>
      </c>
      <c r="AX347" s="963">
        <f t="shared" si="209"/>
        <v>0</v>
      </c>
      <c r="AY347" s="3343">
        <f t="shared" si="184"/>
        <v>0</v>
      </c>
      <c r="AZ347" s="3298">
        <f t="shared" si="185"/>
        <v>0</v>
      </c>
      <c r="BA347" s="3298">
        <f t="shared" si="186"/>
        <v>0</v>
      </c>
      <c r="BB347" s="3298">
        <f t="shared" si="187"/>
        <v>0</v>
      </c>
      <c r="BC347" s="3298">
        <f t="shared" si="188"/>
        <v>0</v>
      </c>
      <c r="BD347" s="3298">
        <f t="shared" si="189"/>
        <v>0</v>
      </c>
      <c r="BE347" s="3298">
        <f t="shared" si="190"/>
        <v>0</v>
      </c>
      <c r="BF347" s="3298">
        <f t="shared" si="191"/>
        <v>0</v>
      </c>
      <c r="BG347" s="3298">
        <f t="shared" si="192"/>
        <v>0</v>
      </c>
      <c r="BH347" s="3298">
        <f t="shared" si="193"/>
        <v>0</v>
      </c>
      <c r="BI347" s="3298">
        <f t="shared" si="194"/>
        <v>0</v>
      </c>
      <c r="BJ347" s="3298">
        <f t="shared" si="195"/>
        <v>0</v>
      </c>
      <c r="BK347" s="3298">
        <f t="shared" si="196"/>
        <v>0</v>
      </c>
      <c r="BL347" s="3298">
        <f t="shared" si="197"/>
        <v>0</v>
      </c>
      <c r="BM347" s="3298">
        <f t="shared" si="198"/>
        <v>0</v>
      </c>
      <c r="BN347" s="3298">
        <f t="shared" si="199"/>
        <v>0</v>
      </c>
      <c r="BO347" s="3298">
        <f t="shared" si="200"/>
        <v>0</v>
      </c>
      <c r="BP347" s="3298">
        <f t="shared" si="201"/>
        <v>0</v>
      </c>
      <c r="BQ347" s="3298">
        <f t="shared" si="202"/>
        <v>0</v>
      </c>
      <c r="BR347" s="3298">
        <f t="shared" si="203"/>
        <v>0</v>
      </c>
      <c r="BS347" s="3298">
        <f t="shared" si="204"/>
        <v>0</v>
      </c>
      <c r="BT347" s="3350">
        <f t="shared" si="205"/>
        <v>0</v>
      </c>
    </row>
    <row r="348" spans="1:72">
      <c r="A348" s="1407"/>
      <c r="B348" s="3296"/>
      <c r="C348" s="3296"/>
      <c r="D348" s="3297"/>
      <c r="E348" s="3298">
        <f t="shared" si="206"/>
        <v>0</v>
      </c>
      <c r="F348" s="3299"/>
      <c r="G348" s="3300">
        <f t="shared" si="181"/>
        <v>0</v>
      </c>
      <c r="H348" s="3301">
        <f t="shared" si="182"/>
        <v>0</v>
      </c>
      <c r="I348" s="3308"/>
      <c r="J348" s="3308"/>
      <c r="K348" s="3308"/>
      <c r="L348" s="3308"/>
      <c r="M348" s="3308"/>
      <c r="N348" s="3308"/>
      <c r="O348" s="3308"/>
      <c r="P348" s="3308"/>
      <c r="Q348" s="3308"/>
      <c r="R348" s="3308"/>
      <c r="S348" s="3308"/>
      <c r="T348" s="3308"/>
      <c r="U348" s="3308"/>
      <c r="V348" s="3308"/>
      <c r="W348" s="3308"/>
      <c r="X348" s="3308"/>
      <c r="Y348" s="3308"/>
      <c r="Z348" s="3308"/>
      <c r="AA348" s="3308"/>
      <c r="AB348" s="3308"/>
      <c r="AC348" s="3298">
        <f t="shared" si="183"/>
        <v>0</v>
      </c>
      <c r="AD348" s="3318"/>
      <c r="AE348" s="3318"/>
      <c r="AF348" s="3318"/>
      <c r="AG348" s="3318"/>
      <c r="AH348" s="3318"/>
      <c r="AI348" s="3318"/>
      <c r="AJ348" s="3318"/>
      <c r="AK348" s="3318"/>
      <c r="AL348" s="3318"/>
      <c r="AM348" s="3318"/>
      <c r="AN348" s="3318"/>
      <c r="AO348" s="3318"/>
      <c r="AP348" s="3318"/>
      <c r="AQ348" s="3318"/>
      <c r="AR348" s="3318"/>
      <c r="AS348" s="3318"/>
      <c r="AT348" s="3328"/>
      <c r="AU348" s="3329"/>
      <c r="AV348" s="963">
        <f t="shared" si="207"/>
        <v>0</v>
      </c>
      <c r="AW348" s="963">
        <f t="shared" si="208"/>
        <v>0</v>
      </c>
      <c r="AX348" s="963">
        <f t="shared" si="209"/>
        <v>0</v>
      </c>
      <c r="AY348" s="3343">
        <f t="shared" si="184"/>
        <v>0</v>
      </c>
      <c r="AZ348" s="3298">
        <f t="shared" si="185"/>
        <v>0</v>
      </c>
      <c r="BA348" s="3298">
        <f t="shared" si="186"/>
        <v>0</v>
      </c>
      <c r="BB348" s="3298">
        <f t="shared" si="187"/>
        <v>0</v>
      </c>
      <c r="BC348" s="3298">
        <f t="shared" si="188"/>
        <v>0</v>
      </c>
      <c r="BD348" s="3298">
        <f t="shared" si="189"/>
        <v>0</v>
      </c>
      <c r="BE348" s="3298">
        <f t="shared" si="190"/>
        <v>0</v>
      </c>
      <c r="BF348" s="3298">
        <f t="shared" si="191"/>
        <v>0</v>
      </c>
      <c r="BG348" s="3298">
        <f t="shared" si="192"/>
        <v>0</v>
      </c>
      <c r="BH348" s="3298">
        <f t="shared" si="193"/>
        <v>0</v>
      </c>
      <c r="BI348" s="3298">
        <f t="shared" si="194"/>
        <v>0</v>
      </c>
      <c r="BJ348" s="3298">
        <f t="shared" si="195"/>
        <v>0</v>
      </c>
      <c r="BK348" s="3298">
        <f t="shared" si="196"/>
        <v>0</v>
      </c>
      <c r="BL348" s="3298">
        <f t="shared" si="197"/>
        <v>0</v>
      </c>
      <c r="BM348" s="3298">
        <f t="shared" si="198"/>
        <v>0</v>
      </c>
      <c r="BN348" s="3298">
        <f t="shared" si="199"/>
        <v>0</v>
      </c>
      <c r="BO348" s="3298">
        <f t="shared" si="200"/>
        <v>0</v>
      </c>
      <c r="BP348" s="3298">
        <f t="shared" si="201"/>
        <v>0</v>
      </c>
      <c r="BQ348" s="3298">
        <f t="shared" si="202"/>
        <v>0</v>
      </c>
      <c r="BR348" s="3298">
        <f t="shared" si="203"/>
        <v>0</v>
      </c>
      <c r="BS348" s="3298">
        <f t="shared" si="204"/>
        <v>0</v>
      </c>
      <c r="BT348" s="3350">
        <f t="shared" si="205"/>
        <v>0</v>
      </c>
    </row>
    <row r="349" spans="1:72">
      <c r="A349" s="1407"/>
      <c r="B349" s="3296"/>
      <c r="C349" s="3296"/>
      <c r="D349" s="3297"/>
      <c r="E349" s="3298">
        <f t="shared" si="206"/>
        <v>0</v>
      </c>
      <c r="F349" s="3299"/>
      <c r="G349" s="3300">
        <f t="shared" si="181"/>
        <v>0</v>
      </c>
      <c r="H349" s="3301">
        <f t="shared" si="182"/>
        <v>0</v>
      </c>
      <c r="I349" s="3308"/>
      <c r="J349" s="3308"/>
      <c r="K349" s="3308"/>
      <c r="L349" s="3308"/>
      <c r="M349" s="3308"/>
      <c r="N349" s="3308"/>
      <c r="O349" s="3308"/>
      <c r="P349" s="3308"/>
      <c r="Q349" s="3308"/>
      <c r="R349" s="3308"/>
      <c r="S349" s="3308"/>
      <c r="T349" s="3308"/>
      <c r="U349" s="3308"/>
      <c r="V349" s="3308"/>
      <c r="W349" s="3308"/>
      <c r="X349" s="3308"/>
      <c r="Y349" s="3308"/>
      <c r="Z349" s="3308"/>
      <c r="AA349" s="3308"/>
      <c r="AB349" s="3308"/>
      <c r="AC349" s="3298">
        <f t="shared" si="183"/>
        <v>0</v>
      </c>
      <c r="AD349" s="3318"/>
      <c r="AE349" s="3318"/>
      <c r="AF349" s="3318"/>
      <c r="AG349" s="3318"/>
      <c r="AH349" s="3318"/>
      <c r="AI349" s="3318"/>
      <c r="AJ349" s="3318"/>
      <c r="AK349" s="3318"/>
      <c r="AL349" s="3318"/>
      <c r="AM349" s="3318"/>
      <c r="AN349" s="3318"/>
      <c r="AO349" s="3318"/>
      <c r="AP349" s="3318"/>
      <c r="AQ349" s="3318"/>
      <c r="AR349" s="3318"/>
      <c r="AS349" s="3318"/>
      <c r="AT349" s="3328"/>
      <c r="AU349" s="3329"/>
      <c r="AV349" s="963">
        <f t="shared" si="207"/>
        <v>0</v>
      </c>
      <c r="AW349" s="963">
        <f t="shared" si="208"/>
        <v>0</v>
      </c>
      <c r="AX349" s="963">
        <f t="shared" si="209"/>
        <v>0</v>
      </c>
      <c r="AY349" s="3343">
        <f t="shared" si="184"/>
        <v>0</v>
      </c>
      <c r="AZ349" s="3298">
        <f t="shared" si="185"/>
        <v>0</v>
      </c>
      <c r="BA349" s="3298">
        <f t="shared" si="186"/>
        <v>0</v>
      </c>
      <c r="BB349" s="3298">
        <f t="shared" si="187"/>
        <v>0</v>
      </c>
      <c r="BC349" s="3298">
        <f t="shared" si="188"/>
        <v>0</v>
      </c>
      <c r="BD349" s="3298">
        <f t="shared" si="189"/>
        <v>0</v>
      </c>
      <c r="BE349" s="3298">
        <f t="shared" si="190"/>
        <v>0</v>
      </c>
      <c r="BF349" s="3298">
        <f t="shared" si="191"/>
        <v>0</v>
      </c>
      <c r="BG349" s="3298">
        <f t="shared" si="192"/>
        <v>0</v>
      </c>
      <c r="BH349" s="3298">
        <f t="shared" si="193"/>
        <v>0</v>
      </c>
      <c r="BI349" s="3298">
        <f t="shared" si="194"/>
        <v>0</v>
      </c>
      <c r="BJ349" s="3298">
        <f t="shared" si="195"/>
        <v>0</v>
      </c>
      <c r="BK349" s="3298">
        <f t="shared" si="196"/>
        <v>0</v>
      </c>
      <c r="BL349" s="3298">
        <f t="shared" si="197"/>
        <v>0</v>
      </c>
      <c r="BM349" s="3298">
        <f t="shared" si="198"/>
        <v>0</v>
      </c>
      <c r="BN349" s="3298">
        <f t="shared" si="199"/>
        <v>0</v>
      </c>
      <c r="BO349" s="3298">
        <f t="shared" si="200"/>
        <v>0</v>
      </c>
      <c r="BP349" s="3298">
        <f t="shared" si="201"/>
        <v>0</v>
      </c>
      <c r="BQ349" s="3298">
        <f t="shared" si="202"/>
        <v>0</v>
      </c>
      <c r="BR349" s="3298">
        <f t="shared" si="203"/>
        <v>0</v>
      </c>
      <c r="BS349" s="3298">
        <f t="shared" si="204"/>
        <v>0</v>
      </c>
      <c r="BT349" s="3350">
        <f t="shared" si="205"/>
        <v>0</v>
      </c>
    </row>
    <row r="350" spans="1:72">
      <c r="A350" s="1407"/>
      <c r="B350" s="3296"/>
      <c r="C350" s="3296"/>
      <c r="D350" s="3297"/>
      <c r="E350" s="3298">
        <f t="shared" si="206"/>
        <v>0</v>
      </c>
      <c r="F350" s="3299"/>
      <c r="G350" s="3300">
        <f t="shared" si="181"/>
        <v>0</v>
      </c>
      <c r="H350" s="3301">
        <f t="shared" si="182"/>
        <v>0</v>
      </c>
      <c r="I350" s="3308"/>
      <c r="J350" s="3308"/>
      <c r="K350" s="3308"/>
      <c r="L350" s="3308"/>
      <c r="M350" s="3308"/>
      <c r="N350" s="3308"/>
      <c r="O350" s="3308"/>
      <c r="P350" s="3308"/>
      <c r="Q350" s="3308"/>
      <c r="R350" s="3308"/>
      <c r="S350" s="3308"/>
      <c r="T350" s="3308"/>
      <c r="U350" s="3308"/>
      <c r="V350" s="3308"/>
      <c r="W350" s="3308"/>
      <c r="X350" s="3308"/>
      <c r="Y350" s="3308"/>
      <c r="Z350" s="3308"/>
      <c r="AA350" s="3308"/>
      <c r="AB350" s="3308"/>
      <c r="AC350" s="3298">
        <f t="shared" si="183"/>
        <v>0</v>
      </c>
      <c r="AD350" s="3318"/>
      <c r="AE350" s="3318"/>
      <c r="AF350" s="3318"/>
      <c r="AG350" s="3318"/>
      <c r="AH350" s="3318"/>
      <c r="AI350" s="3318"/>
      <c r="AJ350" s="3318"/>
      <c r="AK350" s="3318"/>
      <c r="AL350" s="3318"/>
      <c r="AM350" s="3318"/>
      <c r="AN350" s="3318"/>
      <c r="AO350" s="3318"/>
      <c r="AP350" s="3318"/>
      <c r="AQ350" s="3318"/>
      <c r="AR350" s="3318"/>
      <c r="AS350" s="3318"/>
      <c r="AT350" s="3328"/>
      <c r="AU350" s="3329"/>
      <c r="AV350" s="963">
        <f t="shared" si="207"/>
        <v>0</v>
      </c>
      <c r="AW350" s="963">
        <f t="shared" si="208"/>
        <v>0</v>
      </c>
      <c r="AX350" s="963">
        <f t="shared" si="209"/>
        <v>0</v>
      </c>
      <c r="AY350" s="3343">
        <f t="shared" si="184"/>
        <v>0</v>
      </c>
      <c r="AZ350" s="3298">
        <f t="shared" si="185"/>
        <v>0</v>
      </c>
      <c r="BA350" s="3298">
        <f t="shared" si="186"/>
        <v>0</v>
      </c>
      <c r="BB350" s="3298">
        <f t="shared" si="187"/>
        <v>0</v>
      </c>
      <c r="BC350" s="3298">
        <f t="shared" si="188"/>
        <v>0</v>
      </c>
      <c r="BD350" s="3298">
        <f t="shared" si="189"/>
        <v>0</v>
      </c>
      <c r="BE350" s="3298">
        <f t="shared" si="190"/>
        <v>0</v>
      </c>
      <c r="BF350" s="3298">
        <f t="shared" si="191"/>
        <v>0</v>
      </c>
      <c r="BG350" s="3298">
        <f t="shared" si="192"/>
        <v>0</v>
      </c>
      <c r="BH350" s="3298">
        <f t="shared" si="193"/>
        <v>0</v>
      </c>
      <c r="BI350" s="3298">
        <f t="shared" si="194"/>
        <v>0</v>
      </c>
      <c r="BJ350" s="3298">
        <f t="shared" si="195"/>
        <v>0</v>
      </c>
      <c r="BK350" s="3298">
        <f t="shared" si="196"/>
        <v>0</v>
      </c>
      <c r="BL350" s="3298">
        <f t="shared" si="197"/>
        <v>0</v>
      </c>
      <c r="BM350" s="3298">
        <f t="shared" si="198"/>
        <v>0</v>
      </c>
      <c r="BN350" s="3298">
        <f t="shared" si="199"/>
        <v>0</v>
      </c>
      <c r="BO350" s="3298">
        <f t="shared" si="200"/>
        <v>0</v>
      </c>
      <c r="BP350" s="3298">
        <f t="shared" si="201"/>
        <v>0</v>
      </c>
      <c r="BQ350" s="3298">
        <f t="shared" si="202"/>
        <v>0</v>
      </c>
      <c r="BR350" s="3298">
        <f t="shared" si="203"/>
        <v>0</v>
      </c>
      <c r="BS350" s="3298">
        <f t="shared" si="204"/>
        <v>0</v>
      </c>
      <c r="BT350" s="3350">
        <f t="shared" si="205"/>
        <v>0</v>
      </c>
    </row>
    <row r="351" spans="1:72">
      <c r="A351" s="1407"/>
      <c r="B351" s="3296"/>
      <c r="C351" s="3296"/>
      <c r="D351" s="3297"/>
      <c r="E351" s="3298">
        <f t="shared" si="206"/>
        <v>0</v>
      </c>
      <c r="F351" s="3299"/>
      <c r="G351" s="3300">
        <f t="shared" si="181"/>
        <v>0</v>
      </c>
      <c r="H351" s="3301">
        <f t="shared" si="182"/>
        <v>0</v>
      </c>
      <c r="I351" s="3308"/>
      <c r="J351" s="3308"/>
      <c r="K351" s="3308"/>
      <c r="L351" s="3308"/>
      <c r="M351" s="3308"/>
      <c r="N351" s="3308"/>
      <c r="O351" s="3308"/>
      <c r="P351" s="3308"/>
      <c r="Q351" s="3308"/>
      <c r="R351" s="3308"/>
      <c r="S351" s="3308"/>
      <c r="T351" s="3308"/>
      <c r="U351" s="3308"/>
      <c r="V351" s="3308"/>
      <c r="W351" s="3308"/>
      <c r="X351" s="3308"/>
      <c r="Y351" s="3308"/>
      <c r="Z351" s="3308"/>
      <c r="AA351" s="3308"/>
      <c r="AB351" s="3308"/>
      <c r="AC351" s="3298">
        <f t="shared" si="183"/>
        <v>0</v>
      </c>
      <c r="AD351" s="3318"/>
      <c r="AE351" s="3318"/>
      <c r="AF351" s="3318"/>
      <c r="AG351" s="3318"/>
      <c r="AH351" s="3318"/>
      <c r="AI351" s="3318"/>
      <c r="AJ351" s="3318"/>
      <c r="AK351" s="3318"/>
      <c r="AL351" s="3318"/>
      <c r="AM351" s="3318"/>
      <c r="AN351" s="3318"/>
      <c r="AO351" s="3318"/>
      <c r="AP351" s="3318"/>
      <c r="AQ351" s="3318"/>
      <c r="AR351" s="3318"/>
      <c r="AS351" s="3318"/>
      <c r="AT351" s="3328"/>
      <c r="AU351" s="3329"/>
      <c r="AV351" s="963">
        <f t="shared" si="207"/>
        <v>0</v>
      </c>
      <c r="AW351" s="963">
        <f t="shared" si="208"/>
        <v>0</v>
      </c>
      <c r="AX351" s="963">
        <f t="shared" si="209"/>
        <v>0</v>
      </c>
      <c r="AY351" s="3343">
        <f t="shared" si="184"/>
        <v>0</v>
      </c>
      <c r="AZ351" s="3298">
        <f t="shared" si="185"/>
        <v>0</v>
      </c>
      <c r="BA351" s="3298">
        <f t="shared" si="186"/>
        <v>0</v>
      </c>
      <c r="BB351" s="3298">
        <f t="shared" si="187"/>
        <v>0</v>
      </c>
      <c r="BC351" s="3298">
        <f t="shared" si="188"/>
        <v>0</v>
      </c>
      <c r="BD351" s="3298">
        <f t="shared" si="189"/>
        <v>0</v>
      </c>
      <c r="BE351" s="3298">
        <f t="shared" si="190"/>
        <v>0</v>
      </c>
      <c r="BF351" s="3298">
        <f t="shared" si="191"/>
        <v>0</v>
      </c>
      <c r="BG351" s="3298">
        <f t="shared" si="192"/>
        <v>0</v>
      </c>
      <c r="BH351" s="3298">
        <f t="shared" si="193"/>
        <v>0</v>
      </c>
      <c r="BI351" s="3298">
        <f t="shared" si="194"/>
        <v>0</v>
      </c>
      <c r="BJ351" s="3298">
        <f t="shared" si="195"/>
        <v>0</v>
      </c>
      <c r="BK351" s="3298">
        <f t="shared" si="196"/>
        <v>0</v>
      </c>
      <c r="BL351" s="3298">
        <f t="shared" si="197"/>
        <v>0</v>
      </c>
      <c r="BM351" s="3298">
        <f t="shared" si="198"/>
        <v>0</v>
      </c>
      <c r="BN351" s="3298">
        <f t="shared" si="199"/>
        <v>0</v>
      </c>
      <c r="BO351" s="3298">
        <f t="shared" si="200"/>
        <v>0</v>
      </c>
      <c r="BP351" s="3298">
        <f t="shared" si="201"/>
        <v>0</v>
      </c>
      <c r="BQ351" s="3298">
        <f t="shared" si="202"/>
        <v>0</v>
      </c>
      <c r="BR351" s="3298">
        <f t="shared" si="203"/>
        <v>0</v>
      </c>
      <c r="BS351" s="3298">
        <f t="shared" si="204"/>
        <v>0</v>
      </c>
      <c r="BT351" s="3350">
        <f t="shared" si="205"/>
        <v>0</v>
      </c>
    </row>
    <row r="352" spans="1:72">
      <c r="A352" s="1407"/>
      <c r="B352" s="3296"/>
      <c r="C352" s="3296"/>
      <c r="D352" s="3297"/>
      <c r="E352" s="3298">
        <f t="shared" si="206"/>
        <v>0</v>
      </c>
      <c r="F352" s="3299"/>
      <c r="G352" s="3300">
        <f t="shared" si="181"/>
        <v>0</v>
      </c>
      <c r="H352" s="3301">
        <f t="shared" si="182"/>
        <v>0</v>
      </c>
      <c r="I352" s="3308"/>
      <c r="J352" s="3308"/>
      <c r="K352" s="3308"/>
      <c r="L352" s="3308"/>
      <c r="M352" s="3308"/>
      <c r="N352" s="3308"/>
      <c r="O352" s="3308"/>
      <c r="P352" s="3308"/>
      <c r="Q352" s="3308"/>
      <c r="R352" s="3308"/>
      <c r="S352" s="3308"/>
      <c r="T352" s="3308"/>
      <c r="U352" s="3308"/>
      <c r="V352" s="3308"/>
      <c r="W352" s="3308"/>
      <c r="X352" s="3308"/>
      <c r="Y352" s="3308"/>
      <c r="Z352" s="3308"/>
      <c r="AA352" s="3308"/>
      <c r="AB352" s="3308"/>
      <c r="AC352" s="3298">
        <f t="shared" si="183"/>
        <v>0</v>
      </c>
      <c r="AD352" s="3318"/>
      <c r="AE352" s="3318"/>
      <c r="AF352" s="3318"/>
      <c r="AG352" s="3318"/>
      <c r="AH352" s="3318"/>
      <c r="AI352" s="3318"/>
      <c r="AJ352" s="3318"/>
      <c r="AK352" s="3318"/>
      <c r="AL352" s="3318"/>
      <c r="AM352" s="3318"/>
      <c r="AN352" s="3318"/>
      <c r="AO352" s="3318"/>
      <c r="AP352" s="3318"/>
      <c r="AQ352" s="3318"/>
      <c r="AR352" s="3318"/>
      <c r="AS352" s="3318"/>
      <c r="AT352" s="3328"/>
      <c r="AU352" s="3329"/>
      <c r="AV352" s="963">
        <f t="shared" si="207"/>
        <v>0</v>
      </c>
      <c r="AW352" s="963">
        <f t="shared" si="208"/>
        <v>0</v>
      </c>
      <c r="AX352" s="963">
        <f t="shared" si="209"/>
        <v>0</v>
      </c>
      <c r="AY352" s="3343">
        <f t="shared" si="184"/>
        <v>0</v>
      </c>
      <c r="AZ352" s="3298">
        <f t="shared" si="185"/>
        <v>0</v>
      </c>
      <c r="BA352" s="3298">
        <f t="shared" si="186"/>
        <v>0</v>
      </c>
      <c r="BB352" s="3298">
        <f t="shared" si="187"/>
        <v>0</v>
      </c>
      <c r="BC352" s="3298">
        <f t="shared" si="188"/>
        <v>0</v>
      </c>
      <c r="BD352" s="3298">
        <f t="shared" si="189"/>
        <v>0</v>
      </c>
      <c r="BE352" s="3298">
        <f t="shared" si="190"/>
        <v>0</v>
      </c>
      <c r="BF352" s="3298">
        <f t="shared" si="191"/>
        <v>0</v>
      </c>
      <c r="BG352" s="3298">
        <f t="shared" si="192"/>
        <v>0</v>
      </c>
      <c r="BH352" s="3298">
        <f t="shared" si="193"/>
        <v>0</v>
      </c>
      <c r="BI352" s="3298">
        <f t="shared" si="194"/>
        <v>0</v>
      </c>
      <c r="BJ352" s="3298">
        <f t="shared" si="195"/>
        <v>0</v>
      </c>
      <c r="BK352" s="3298">
        <f t="shared" si="196"/>
        <v>0</v>
      </c>
      <c r="BL352" s="3298">
        <f t="shared" si="197"/>
        <v>0</v>
      </c>
      <c r="BM352" s="3298">
        <f t="shared" si="198"/>
        <v>0</v>
      </c>
      <c r="BN352" s="3298">
        <f t="shared" si="199"/>
        <v>0</v>
      </c>
      <c r="BO352" s="3298">
        <f t="shared" si="200"/>
        <v>0</v>
      </c>
      <c r="BP352" s="3298">
        <f t="shared" si="201"/>
        <v>0</v>
      </c>
      <c r="BQ352" s="3298">
        <f t="shared" si="202"/>
        <v>0</v>
      </c>
      <c r="BR352" s="3298">
        <f t="shared" si="203"/>
        <v>0</v>
      </c>
      <c r="BS352" s="3298">
        <f t="shared" si="204"/>
        <v>0</v>
      </c>
      <c r="BT352" s="3350">
        <f t="shared" si="205"/>
        <v>0</v>
      </c>
    </row>
    <row r="353" spans="1:72">
      <c r="A353" s="1407"/>
      <c r="B353" s="3296"/>
      <c r="C353" s="3296"/>
      <c r="D353" s="3297"/>
      <c r="E353" s="3298">
        <f t="shared" si="206"/>
        <v>0</v>
      </c>
      <c r="F353" s="3299"/>
      <c r="G353" s="3300">
        <f t="shared" si="181"/>
        <v>0</v>
      </c>
      <c r="H353" s="3301">
        <f t="shared" si="182"/>
        <v>0</v>
      </c>
      <c r="I353" s="3308"/>
      <c r="J353" s="3308"/>
      <c r="K353" s="3308"/>
      <c r="L353" s="3308"/>
      <c r="M353" s="3308"/>
      <c r="N353" s="3308"/>
      <c r="O353" s="3308"/>
      <c r="P353" s="3308"/>
      <c r="Q353" s="3308"/>
      <c r="R353" s="3308"/>
      <c r="S353" s="3308"/>
      <c r="T353" s="3308"/>
      <c r="U353" s="3308"/>
      <c r="V353" s="3308"/>
      <c r="W353" s="3308"/>
      <c r="X353" s="3308"/>
      <c r="Y353" s="3308"/>
      <c r="Z353" s="3308"/>
      <c r="AA353" s="3308"/>
      <c r="AB353" s="3308"/>
      <c r="AC353" s="3298">
        <f t="shared" si="183"/>
        <v>0</v>
      </c>
      <c r="AD353" s="3318"/>
      <c r="AE353" s="3318"/>
      <c r="AF353" s="3318"/>
      <c r="AG353" s="3318"/>
      <c r="AH353" s="3318"/>
      <c r="AI353" s="3318"/>
      <c r="AJ353" s="3318"/>
      <c r="AK353" s="3318"/>
      <c r="AL353" s="3318"/>
      <c r="AM353" s="3318"/>
      <c r="AN353" s="3318"/>
      <c r="AO353" s="3318"/>
      <c r="AP353" s="3318"/>
      <c r="AQ353" s="3318"/>
      <c r="AR353" s="3318"/>
      <c r="AS353" s="3318"/>
      <c r="AT353" s="3328"/>
      <c r="AU353" s="3329"/>
      <c r="AV353" s="963">
        <f t="shared" si="207"/>
        <v>0</v>
      </c>
      <c r="AW353" s="963">
        <f t="shared" si="208"/>
        <v>0</v>
      </c>
      <c r="AX353" s="963">
        <f t="shared" si="209"/>
        <v>0</v>
      </c>
      <c r="AY353" s="3343">
        <f t="shared" si="184"/>
        <v>0</v>
      </c>
      <c r="AZ353" s="3298">
        <f t="shared" si="185"/>
        <v>0</v>
      </c>
      <c r="BA353" s="3298">
        <f t="shared" si="186"/>
        <v>0</v>
      </c>
      <c r="BB353" s="3298">
        <f t="shared" si="187"/>
        <v>0</v>
      </c>
      <c r="BC353" s="3298">
        <f t="shared" si="188"/>
        <v>0</v>
      </c>
      <c r="BD353" s="3298">
        <f t="shared" si="189"/>
        <v>0</v>
      </c>
      <c r="BE353" s="3298">
        <f t="shared" si="190"/>
        <v>0</v>
      </c>
      <c r="BF353" s="3298">
        <f t="shared" si="191"/>
        <v>0</v>
      </c>
      <c r="BG353" s="3298">
        <f t="shared" si="192"/>
        <v>0</v>
      </c>
      <c r="BH353" s="3298">
        <f t="shared" si="193"/>
        <v>0</v>
      </c>
      <c r="BI353" s="3298">
        <f t="shared" si="194"/>
        <v>0</v>
      </c>
      <c r="BJ353" s="3298">
        <f t="shared" si="195"/>
        <v>0</v>
      </c>
      <c r="BK353" s="3298">
        <f t="shared" si="196"/>
        <v>0</v>
      </c>
      <c r="BL353" s="3298">
        <f t="shared" si="197"/>
        <v>0</v>
      </c>
      <c r="BM353" s="3298">
        <f t="shared" si="198"/>
        <v>0</v>
      </c>
      <c r="BN353" s="3298">
        <f t="shared" si="199"/>
        <v>0</v>
      </c>
      <c r="BO353" s="3298">
        <f t="shared" si="200"/>
        <v>0</v>
      </c>
      <c r="BP353" s="3298">
        <f t="shared" si="201"/>
        <v>0</v>
      </c>
      <c r="BQ353" s="3298">
        <f t="shared" si="202"/>
        <v>0</v>
      </c>
      <c r="BR353" s="3298">
        <f t="shared" si="203"/>
        <v>0</v>
      </c>
      <c r="BS353" s="3298">
        <f t="shared" si="204"/>
        <v>0</v>
      </c>
      <c r="BT353" s="3350">
        <f t="shared" si="205"/>
        <v>0</v>
      </c>
    </row>
    <row r="354" spans="1:72">
      <c r="A354" s="1407"/>
      <c r="B354" s="3296"/>
      <c r="C354" s="3296"/>
      <c r="D354" s="3297"/>
      <c r="E354" s="3298">
        <f t="shared" si="206"/>
        <v>0</v>
      </c>
      <c r="F354" s="3299"/>
      <c r="G354" s="3300">
        <f t="shared" si="181"/>
        <v>0</v>
      </c>
      <c r="H354" s="3301">
        <f t="shared" si="182"/>
        <v>0</v>
      </c>
      <c r="I354" s="3308"/>
      <c r="J354" s="3308"/>
      <c r="K354" s="3308"/>
      <c r="L354" s="3308"/>
      <c r="M354" s="3308"/>
      <c r="N354" s="3308"/>
      <c r="O354" s="3308"/>
      <c r="P354" s="3308"/>
      <c r="Q354" s="3308"/>
      <c r="R354" s="3308"/>
      <c r="S354" s="3308"/>
      <c r="T354" s="3308"/>
      <c r="U354" s="3308"/>
      <c r="V354" s="3308"/>
      <c r="W354" s="3308"/>
      <c r="X354" s="3308"/>
      <c r="Y354" s="3308"/>
      <c r="Z354" s="3308"/>
      <c r="AA354" s="3308"/>
      <c r="AB354" s="3308"/>
      <c r="AC354" s="3298">
        <f t="shared" si="183"/>
        <v>0</v>
      </c>
      <c r="AD354" s="3318"/>
      <c r="AE354" s="3318"/>
      <c r="AF354" s="3318"/>
      <c r="AG354" s="3318"/>
      <c r="AH354" s="3318"/>
      <c r="AI354" s="3318"/>
      <c r="AJ354" s="3318"/>
      <c r="AK354" s="3318"/>
      <c r="AL354" s="3318"/>
      <c r="AM354" s="3318"/>
      <c r="AN354" s="3318"/>
      <c r="AO354" s="3318"/>
      <c r="AP354" s="3318"/>
      <c r="AQ354" s="3318"/>
      <c r="AR354" s="3318"/>
      <c r="AS354" s="3318"/>
      <c r="AT354" s="3328"/>
      <c r="AU354" s="3329"/>
      <c r="AV354" s="963">
        <f t="shared" si="207"/>
        <v>0</v>
      </c>
      <c r="AW354" s="963">
        <f t="shared" si="208"/>
        <v>0</v>
      </c>
      <c r="AX354" s="963">
        <f t="shared" si="209"/>
        <v>0</v>
      </c>
      <c r="AY354" s="3343">
        <f t="shared" si="184"/>
        <v>0</v>
      </c>
      <c r="AZ354" s="3298">
        <f t="shared" si="185"/>
        <v>0</v>
      </c>
      <c r="BA354" s="3298">
        <f t="shared" si="186"/>
        <v>0</v>
      </c>
      <c r="BB354" s="3298">
        <f t="shared" si="187"/>
        <v>0</v>
      </c>
      <c r="BC354" s="3298">
        <f t="shared" si="188"/>
        <v>0</v>
      </c>
      <c r="BD354" s="3298">
        <f t="shared" si="189"/>
        <v>0</v>
      </c>
      <c r="BE354" s="3298">
        <f t="shared" si="190"/>
        <v>0</v>
      </c>
      <c r="BF354" s="3298">
        <f t="shared" si="191"/>
        <v>0</v>
      </c>
      <c r="BG354" s="3298">
        <f t="shared" si="192"/>
        <v>0</v>
      </c>
      <c r="BH354" s="3298">
        <f t="shared" si="193"/>
        <v>0</v>
      </c>
      <c r="BI354" s="3298">
        <f t="shared" si="194"/>
        <v>0</v>
      </c>
      <c r="BJ354" s="3298">
        <f t="shared" si="195"/>
        <v>0</v>
      </c>
      <c r="BK354" s="3298">
        <f t="shared" si="196"/>
        <v>0</v>
      </c>
      <c r="BL354" s="3298">
        <f t="shared" si="197"/>
        <v>0</v>
      </c>
      <c r="BM354" s="3298">
        <f t="shared" si="198"/>
        <v>0</v>
      </c>
      <c r="BN354" s="3298">
        <f t="shared" si="199"/>
        <v>0</v>
      </c>
      <c r="BO354" s="3298">
        <f t="shared" si="200"/>
        <v>0</v>
      </c>
      <c r="BP354" s="3298">
        <f t="shared" si="201"/>
        <v>0</v>
      </c>
      <c r="BQ354" s="3298">
        <f t="shared" si="202"/>
        <v>0</v>
      </c>
      <c r="BR354" s="3298">
        <f t="shared" si="203"/>
        <v>0</v>
      </c>
      <c r="BS354" s="3298">
        <f t="shared" si="204"/>
        <v>0</v>
      </c>
      <c r="BT354" s="3350">
        <f t="shared" si="205"/>
        <v>0</v>
      </c>
    </row>
    <row r="355" spans="1:72">
      <c r="A355" s="1407"/>
      <c r="B355" s="3296"/>
      <c r="C355" s="3296"/>
      <c r="D355" s="3297"/>
      <c r="E355" s="3298">
        <f t="shared" si="206"/>
        <v>0</v>
      </c>
      <c r="F355" s="3299"/>
      <c r="G355" s="3300">
        <f t="shared" si="181"/>
        <v>0</v>
      </c>
      <c r="H355" s="3301">
        <f t="shared" si="182"/>
        <v>0</v>
      </c>
      <c r="I355" s="3308"/>
      <c r="J355" s="3308"/>
      <c r="K355" s="3308"/>
      <c r="L355" s="3308"/>
      <c r="M355" s="3308"/>
      <c r="N355" s="3308"/>
      <c r="O355" s="3308"/>
      <c r="P355" s="3308"/>
      <c r="Q355" s="3308"/>
      <c r="R355" s="3308"/>
      <c r="S355" s="3308"/>
      <c r="T355" s="3308"/>
      <c r="U355" s="3308"/>
      <c r="V355" s="3308"/>
      <c r="W355" s="3308"/>
      <c r="X355" s="3308"/>
      <c r="Y355" s="3308"/>
      <c r="Z355" s="3308"/>
      <c r="AA355" s="3308"/>
      <c r="AB355" s="3308"/>
      <c r="AC355" s="3298">
        <f t="shared" si="183"/>
        <v>0</v>
      </c>
      <c r="AD355" s="3318"/>
      <c r="AE355" s="3318"/>
      <c r="AF355" s="3318"/>
      <c r="AG355" s="3318"/>
      <c r="AH355" s="3318"/>
      <c r="AI355" s="3318"/>
      <c r="AJ355" s="3318"/>
      <c r="AK355" s="3318"/>
      <c r="AL355" s="3318"/>
      <c r="AM355" s="3318"/>
      <c r="AN355" s="3318"/>
      <c r="AO355" s="3318"/>
      <c r="AP355" s="3318"/>
      <c r="AQ355" s="3318"/>
      <c r="AR355" s="3318"/>
      <c r="AS355" s="3318"/>
      <c r="AT355" s="3328"/>
      <c r="AU355" s="3329"/>
      <c r="AV355" s="963">
        <f t="shared" si="207"/>
        <v>0</v>
      </c>
      <c r="AW355" s="963">
        <f t="shared" si="208"/>
        <v>0</v>
      </c>
      <c r="AX355" s="963">
        <f t="shared" si="209"/>
        <v>0</v>
      </c>
      <c r="AY355" s="3343">
        <f t="shared" si="184"/>
        <v>0</v>
      </c>
      <c r="AZ355" s="3298">
        <f t="shared" si="185"/>
        <v>0</v>
      </c>
      <c r="BA355" s="3298">
        <f t="shared" si="186"/>
        <v>0</v>
      </c>
      <c r="BB355" s="3298">
        <f t="shared" si="187"/>
        <v>0</v>
      </c>
      <c r="BC355" s="3298">
        <f t="shared" si="188"/>
        <v>0</v>
      </c>
      <c r="BD355" s="3298">
        <f t="shared" si="189"/>
        <v>0</v>
      </c>
      <c r="BE355" s="3298">
        <f t="shared" si="190"/>
        <v>0</v>
      </c>
      <c r="BF355" s="3298">
        <f t="shared" si="191"/>
        <v>0</v>
      </c>
      <c r="BG355" s="3298">
        <f t="shared" si="192"/>
        <v>0</v>
      </c>
      <c r="BH355" s="3298">
        <f t="shared" si="193"/>
        <v>0</v>
      </c>
      <c r="BI355" s="3298">
        <f t="shared" si="194"/>
        <v>0</v>
      </c>
      <c r="BJ355" s="3298">
        <f t="shared" si="195"/>
        <v>0</v>
      </c>
      <c r="BK355" s="3298">
        <f t="shared" si="196"/>
        <v>0</v>
      </c>
      <c r="BL355" s="3298">
        <f t="shared" si="197"/>
        <v>0</v>
      </c>
      <c r="BM355" s="3298">
        <f t="shared" si="198"/>
        <v>0</v>
      </c>
      <c r="BN355" s="3298">
        <f t="shared" si="199"/>
        <v>0</v>
      </c>
      <c r="BO355" s="3298">
        <f t="shared" si="200"/>
        <v>0</v>
      </c>
      <c r="BP355" s="3298">
        <f t="shared" si="201"/>
        <v>0</v>
      </c>
      <c r="BQ355" s="3298">
        <f t="shared" si="202"/>
        <v>0</v>
      </c>
      <c r="BR355" s="3298">
        <f t="shared" si="203"/>
        <v>0</v>
      </c>
      <c r="BS355" s="3298">
        <f t="shared" si="204"/>
        <v>0</v>
      </c>
      <c r="BT355" s="3350">
        <f t="shared" si="205"/>
        <v>0</v>
      </c>
    </row>
    <row r="356" spans="1:72">
      <c r="A356" s="1407"/>
      <c r="B356" s="3296"/>
      <c r="C356" s="3296"/>
      <c r="D356" s="3297"/>
      <c r="E356" s="3298">
        <f t="shared" si="206"/>
        <v>0</v>
      </c>
      <c r="F356" s="3299"/>
      <c r="G356" s="3300">
        <f t="shared" si="181"/>
        <v>0</v>
      </c>
      <c r="H356" s="3301">
        <f t="shared" si="182"/>
        <v>0</v>
      </c>
      <c r="I356" s="3308"/>
      <c r="J356" s="3308"/>
      <c r="K356" s="3308"/>
      <c r="L356" s="3308"/>
      <c r="M356" s="3308"/>
      <c r="N356" s="3308"/>
      <c r="O356" s="3308"/>
      <c r="P356" s="3308"/>
      <c r="Q356" s="3308"/>
      <c r="R356" s="3308"/>
      <c r="S356" s="3308"/>
      <c r="T356" s="3308"/>
      <c r="U356" s="3308"/>
      <c r="V356" s="3308"/>
      <c r="W356" s="3308"/>
      <c r="X356" s="3308"/>
      <c r="Y356" s="3308"/>
      <c r="Z356" s="3308"/>
      <c r="AA356" s="3308"/>
      <c r="AB356" s="3308"/>
      <c r="AC356" s="3298">
        <f t="shared" si="183"/>
        <v>0</v>
      </c>
      <c r="AD356" s="3318"/>
      <c r="AE356" s="3318"/>
      <c r="AF356" s="3318"/>
      <c r="AG356" s="3318"/>
      <c r="AH356" s="3318"/>
      <c r="AI356" s="3318"/>
      <c r="AJ356" s="3318"/>
      <c r="AK356" s="3318"/>
      <c r="AL356" s="3318"/>
      <c r="AM356" s="3318"/>
      <c r="AN356" s="3318"/>
      <c r="AO356" s="3318"/>
      <c r="AP356" s="3318"/>
      <c r="AQ356" s="3318"/>
      <c r="AR356" s="3318"/>
      <c r="AS356" s="3318"/>
      <c r="AT356" s="3328"/>
      <c r="AU356" s="3329"/>
      <c r="AV356" s="963">
        <f t="shared" si="207"/>
        <v>0</v>
      </c>
      <c r="AW356" s="963">
        <f t="shared" si="208"/>
        <v>0</v>
      </c>
      <c r="AX356" s="963">
        <f t="shared" si="209"/>
        <v>0</v>
      </c>
      <c r="AY356" s="3343">
        <f t="shared" si="184"/>
        <v>0</v>
      </c>
      <c r="AZ356" s="3298">
        <f t="shared" si="185"/>
        <v>0</v>
      </c>
      <c r="BA356" s="3298">
        <f t="shared" si="186"/>
        <v>0</v>
      </c>
      <c r="BB356" s="3298">
        <f t="shared" si="187"/>
        <v>0</v>
      </c>
      <c r="BC356" s="3298">
        <f t="shared" si="188"/>
        <v>0</v>
      </c>
      <c r="BD356" s="3298">
        <f t="shared" si="189"/>
        <v>0</v>
      </c>
      <c r="BE356" s="3298">
        <f t="shared" si="190"/>
        <v>0</v>
      </c>
      <c r="BF356" s="3298">
        <f t="shared" si="191"/>
        <v>0</v>
      </c>
      <c r="BG356" s="3298">
        <f t="shared" si="192"/>
        <v>0</v>
      </c>
      <c r="BH356" s="3298">
        <f t="shared" si="193"/>
        <v>0</v>
      </c>
      <c r="BI356" s="3298">
        <f t="shared" si="194"/>
        <v>0</v>
      </c>
      <c r="BJ356" s="3298">
        <f t="shared" si="195"/>
        <v>0</v>
      </c>
      <c r="BK356" s="3298">
        <f t="shared" si="196"/>
        <v>0</v>
      </c>
      <c r="BL356" s="3298">
        <f t="shared" si="197"/>
        <v>0</v>
      </c>
      <c r="BM356" s="3298">
        <f t="shared" si="198"/>
        <v>0</v>
      </c>
      <c r="BN356" s="3298">
        <f t="shared" si="199"/>
        <v>0</v>
      </c>
      <c r="BO356" s="3298">
        <f t="shared" si="200"/>
        <v>0</v>
      </c>
      <c r="BP356" s="3298">
        <f t="shared" si="201"/>
        <v>0</v>
      </c>
      <c r="BQ356" s="3298">
        <f t="shared" si="202"/>
        <v>0</v>
      </c>
      <c r="BR356" s="3298">
        <f t="shared" si="203"/>
        <v>0</v>
      </c>
      <c r="BS356" s="3298">
        <f t="shared" si="204"/>
        <v>0</v>
      </c>
      <c r="BT356" s="3350">
        <f t="shared" si="205"/>
        <v>0</v>
      </c>
    </row>
    <row r="357" spans="1:72">
      <c r="A357" s="1407"/>
      <c r="B357" s="3296"/>
      <c r="C357" s="3296"/>
      <c r="D357" s="3297"/>
      <c r="E357" s="3298">
        <f t="shared" si="206"/>
        <v>0</v>
      </c>
      <c r="F357" s="3299"/>
      <c r="G357" s="3300">
        <f t="shared" si="181"/>
        <v>0</v>
      </c>
      <c r="H357" s="3301">
        <f t="shared" si="182"/>
        <v>0</v>
      </c>
      <c r="I357" s="3308"/>
      <c r="J357" s="3308"/>
      <c r="K357" s="3308"/>
      <c r="L357" s="3308"/>
      <c r="M357" s="3308"/>
      <c r="N357" s="3308"/>
      <c r="O357" s="3308"/>
      <c r="P357" s="3308"/>
      <c r="Q357" s="3308"/>
      <c r="R357" s="3308"/>
      <c r="S357" s="3308"/>
      <c r="T357" s="3308"/>
      <c r="U357" s="3308"/>
      <c r="V357" s="3308"/>
      <c r="W357" s="3308"/>
      <c r="X357" s="3308"/>
      <c r="Y357" s="3308"/>
      <c r="Z357" s="3308"/>
      <c r="AA357" s="3308"/>
      <c r="AB357" s="3308"/>
      <c r="AC357" s="3298">
        <f t="shared" si="183"/>
        <v>0</v>
      </c>
      <c r="AD357" s="3318"/>
      <c r="AE357" s="3318"/>
      <c r="AF357" s="3318"/>
      <c r="AG357" s="3318"/>
      <c r="AH357" s="3318"/>
      <c r="AI357" s="3318"/>
      <c r="AJ357" s="3318"/>
      <c r="AK357" s="3318"/>
      <c r="AL357" s="3318"/>
      <c r="AM357" s="3318"/>
      <c r="AN357" s="3318"/>
      <c r="AO357" s="3318"/>
      <c r="AP357" s="3318"/>
      <c r="AQ357" s="3318"/>
      <c r="AR357" s="3318"/>
      <c r="AS357" s="3318"/>
      <c r="AT357" s="3328"/>
      <c r="AU357" s="3329"/>
      <c r="AV357" s="963">
        <f t="shared" si="207"/>
        <v>0</v>
      </c>
      <c r="AW357" s="963">
        <f t="shared" si="208"/>
        <v>0</v>
      </c>
      <c r="AX357" s="963">
        <f t="shared" si="209"/>
        <v>0</v>
      </c>
      <c r="AY357" s="3343">
        <f t="shared" si="184"/>
        <v>0</v>
      </c>
      <c r="AZ357" s="3298">
        <f t="shared" si="185"/>
        <v>0</v>
      </c>
      <c r="BA357" s="3298">
        <f t="shared" si="186"/>
        <v>0</v>
      </c>
      <c r="BB357" s="3298">
        <f t="shared" si="187"/>
        <v>0</v>
      </c>
      <c r="BC357" s="3298">
        <f t="shared" si="188"/>
        <v>0</v>
      </c>
      <c r="BD357" s="3298">
        <f t="shared" si="189"/>
        <v>0</v>
      </c>
      <c r="BE357" s="3298">
        <f t="shared" si="190"/>
        <v>0</v>
      </c>
      <c r="BF357" s="3298">
        <f t="shared" si="191"/>
        <v>0</v>
      </c>
      <c r="BG357" s="3298">
        <f t="shared" si="192"/>
        <v>0</v>
      </c>
      <c r="BH357" s="3298">
        <f t="shared" si="193"/>
        <v>0</v>
      </c>
      <c r="BI357" s="3298">
        <f t="shared" si="194"/>
        <v>0</v>
      </c>
      <c r="BJ357" s="3298">
        <f t="shared" si="195"/>
        <v>0</v>
      </c>
      <c r="BK357" s="3298">
        <f t="shared" si="196"/>
        <v>0</v>
      </c>
      <c r="BL357" s="3298">
        <f t="shared" si="197"/>
        <v>0</v>
      </c>
      <c r="BM357" s="3298">
        <f t="shared" si="198"/>
        <v>0</v>
      </c>
      <c r="BN357" s="3298">
        <f t="shared" si="199"/>
        <v>0</v>
      </c>
      <c r="BO357" s="3298">
        <f t="shared" si="200"/>
        <v>0</v>
      </c>
      <c r="BP357" s="3298">
        <f t="shared" si="201"/>
        <v>0</v>
      </c>
      <c r="BQ357" s="3298">
        <f t="shared" si="202"/>
        <v>0</v>
      </c>
      <c r="BR357" s="3298">
        <f t="shared" si="203"/>
        <v>0</v>
      </c>
      <c r="BS357" s="3298">
        <f t="shared" si="204"/>
        <v>0</v>
      </c>
      <c r="BT357" s="3350">
        <f t="shared" si="205"/>
        <v>0</v>
      </c>
    </row>
    <row r="358" spans="1:72">
      <c r="A358" s="1407"/>
      <c r="B358" s="3296"/>
      <c r="C358" s="3296"/>
      <c r="D358" s="3297"/>
      <c r="E358" s="3298">
        <f t="shared" si="206"/>
        <v>0</v>
      </c>
      <c r="F358" s="3299"/>
      <c r="G358" s="3300">
        <f t="shared" si="181"/>
        <v>0</v>
      </c>
      <c r="H358" s="3301">
        <f t="shared" si="182"/>
        <v>0</v>
      </c>
      <c r="I358" s="3308"/>
      <c r="J358" s="3308"/>
      <c r="K358" s="3308"/>
      <c r="L358" s="3308"/>
      <c r="M358" s="3308"/>
      <c r="N358" s="3308"/>
      <c r="O358" s="3308"/>
      <c r="P358" s="3308"/>
      <c r="Q358" s="3308"/>
      <c r="R358" s="3308"/>
      <c r="S358" s="3308"/>
      <c r="T358" s="3308"/>
      <c r="U358" s="3308"/>
      <c r="V358" s="3308"/>
      <c r="W358" s="3308"/>
      <c r="X358" s="3308"/>
      <c r="Y358" s="3308"/>
      <c r="Z358" s="3308"/>
      <c r="AA358" s="3308"/>
      <c r="AB358" s="3308"/>
      <c r="AC358" s="3298">
        <f t="shared" si="183"/>
        <v>0</v>
      </c>
      <c r="AD358" s="3318"/>
      <c r="AE358" s="3318"/>
      <c r="AF358" s="3318"/>
      <c r="AG358" s="3318"/>
      <c r="AH358" s="3318"/>
      <c r="AI358" s="3318"/>
      <c r="AJ358" s="3318"/>
      <c r="AK358" s="3318"/>
      <c r="AL358" s="3318"/>
      <c r="AM358" s="3318"/>
      <c r="AN358" s="3318"/>
      <c r="AO358" s="3318"/>
      <c r="AP358" s="3318"/>
      <c r="AQ358" s="3318"/>
      <c r="AR358" s="3318"/>
      <c r="AS358" s="3318"/>
      <c r="AT358" s="3328"/>
      <c r="AU358" s="3329"/>
      <c r="AV358" s="963">
        <f t="shared" si="207"/>
        <v>0</v>
      </c>
      <c r="AW358" s="963">
        <f t="shared" si="208"/>
        <v>0</v>
      </c>
      <c r="AX358" s="963">
        <f t="shared" si="209"/>
        <v>0</v>
      </c>
      <c r="AY358" s="3343">
        <f t="shared" si="184"/>
        <v>0</v>
      </c>
      <c r="AZ358" s="3298">
        <f t="shared" si="185"/>
        <v>0</v>
      </c>
      <c r="BA358" s="3298">
        <f t="shared" si="186"/>
        <v>0</v>
      </c>
      <c r="BB358" s="3298">
        <f t="shared" si="187"/>
        <v>0</v>
      </c>
      <c r="BC358" s="3298">
        <f t="shared" si="188"/>
        <v>0</v>
      </c>
      <c r="BD358" s="3298">
        <f t="shared" si="189"/>
        <v>0</v>
      </c>
      <c r="BE358" s="3298">
        <f t="shared" si="190"/>
        <v>0</v>
      </c>
      <c r="BF358" s="3298">
        <f t="shared" si="191"/>
        <v>0</v>
      </c>
      <c r="BG358" s="3298">
        <f t="shared" si="192"/>
        <v>0</v>
      </c>
      <c r="BH358" s="3298">
        <f t="shared" si="193"/>
        <v>0</v>
      </c>
      <c r="BI358" s="3298">
        <f t="shared" si="194"/>
        <v>0</v>
      </c>
      <c r="BJ358" s="3298">
        <f t="shared" si="195"/>
        <v>0</v>
      </c>
      <c r="BK358" s="3298">
        <f t="shared" si="196"/>
        <v>0</v>
      </c>
      <c r="BL358" s="3298">
        <f t="shared" si="197"/>
        <v>0</v>
      </c>
      <c r="BM358" s="3298">
        <f t="shared" si="198"/>
        <v>0</v>
      </c>
      <c r="BN358" s="3298">
        <f t="shared" si="199"/>
        <v>0</v>
      </c>
      <c r="BO358" s="3298">
        <f t="shared" si="200"/>
        <v>0</v>
      </c>
      <c r="BP358" s="3298">
        <f t="shared" si="201"/>
        <v>0</v>
      </c>
      <c r="BQ358" s="3298">
        <f t="shared" si="202"/>
        <v>0</v>
      </c>
      <c r="BR358" s="3298">
        <f t="shared" si="203"/>
        <v>0</v>
      </c>
      <c r="BS358" s="3298">
        <f t="shared" si="204"/>
        <v>0</v>
      </c>
      <c r="BT358" s="3350">
        <f t="shared" si="205"/>
        <v>0</v>
      </c>
    </row>
    <row r="359" spans="1:72">
      <c r="A359" s="1407"/>
      <c r="B359" s="3296"/>
      <c r="C359" s="3296"/>
      <c r="D359" s="3297"/>
      <c r="E359" s="3298">
        <f t="shared" si="206"/>
        <v>0</v>
      </c>
      <c r="F359" s="3299"/>
      <c r="G359" s="3300">
        <f t="shared" si="181"/>
        <v>0</v>
      </c>
      <c r="H359" s="3301">
        <f t="shared" si="182"/>
        <v>0</v>
      </c>
      <c r="I359" s="3308"/>
      <c r="J359" s="3308"/>
      <c r="K359" s="3308"/>
      <c r="L359" s="3308"/>
      <c r="M359" s="3308"/>
      <c r="N359" s="3308"/>
      <c r="O359" s="3308"/>
      <c r="P359" s="3308"/>
      <c r="Q359" s="3308"/>
      <c r="R359" s="3308"/>
      <c r="S359" s="3308"/>
      <c r="T359" s="3308"/>
      <c r="U359" s="3308"/>
      <c r="V359" s="3308"/>
      <c r="W359" s="3308"/>
      <c r="X359" s="3308"/>
      <c r="Y359" s="3308"/>
      <c r="Z359" s="3308"/>
      <c r="AA359" s="3308"/>
      <c r="AB359" s="3308"/>
      <c r="AC359" s="3298">
        <f t="shared" si="183"/>
        <v>0</v>
      </c>
      <c r="AD359" s="3318"/>
      <c r="AE359" s="3318"/>
      <c r="AF359" s="3318"/>
      <c r="AG359" s="3318"/>
      <c r="AH359" s="3318"/>
      <c r="AI359" s="3318"/>
      <c r="AJ359" s="3318"/>
      <c r="AK359" s="3318"/>
      <c r="AL359" s="3318"/>
      <c r="AM359" s="3318"/>
      <c r="AN359" s="3318"/>
      <c r="AO359" s="3318"/>
      <c r="AP359" s="3318"/>
      <c r="AQ359" s="3318"/>
      <c r="AR359" s="3318"/>
      <c r="AS359" s="3318"/>
      <c r="AT359" s="3328"/>
      <c r="AU359" s="3329"/>
      <c r="AV359" s="963">
        <f t="shared" si="207"/>
        <v>0</v>
      </c>
      <c r="AW359" s="963">
        <f t="shared" si="208"/>
        <v>0</v>
      </c>
      <c r="AX359" s="963">
        <f t="shared" si="209"/>
        <v>0</v>
      </c>
      <c r="AY359" s="3343">
        <f t="shared" si="184"/>
        <v>0</v>
      </c>
      <c r="AZ359" s="3298">
        <f t="shared" si="185"/>
        <v>0</v>
      </c>
      <c r="BA359" s="3298">
        <f t="shared" si="186"/>
        <v>0</v>
      </c>
      <c r="BB359" s="3298">
        <f t="shared" si="187"/>
        <v>0</v>
      </c>
      <c r="BC359" s="3298">
        <f t="shared" si="188"/>
        <v>0</v>
      </c>
      <c r="BD359" s="3298">
        <f t="shared" si="189"/>
        <v>0</v>
      </c>
      <c r="BE359" s="3298">
        <f t="shared" si="190"/>
        <v>0</v>
      </c>
      <c r="BF359" s="3298">
        <f t="shared" si="191"/>
        <v>0</v>
      </c>
      <c r="BG359" s="3298">
        <f t="shared" si="192"/>
        <v>0</v>
      </c>
      <c r="BH359" s="3298">
        <f t="shared" si="193"/>
        <v>0</v>
      </c>
      <c r="BI359" s="3298">
        <f t="shared" si="194"/>
        <v>0</v>
      </c>
      <c r="BJ359" s="3298">
        <f t="shared" si="195"/>
        <v>0</v>
      </c>
      <c r="BK359" s="3298">
        <f t="shared" si="196"/>
        <v>0</v>
      </c>
      <c r="BL359" s="3298">
        <f t="shared" si="197"/>
        <v>0</v>
      </c>
      <c r="BM359" s="3298">
        <f t="shared" si="198"/>
        <v>0</v>
      </c>
      <c r="BN359" s="3298">
        <f t="shared" si="199"/>
        <v>0</v>
      </c>
      <c r="BO359" s="3298">
        <f t="shared" si="200"/>
        <v>0</v>
      </c>
      <c r="BP359" s="3298">
        <f t="shared" si="201"/>
        <v>0</v>
      </c>
      <c r="BQ359" s="3298">
        <f t="shared" si="202"/>
        <v>0</v>
      </c>
      <c r="BR359" s="3298">
        <f t="shared" si="203"/>
        <v>0</v>
      </c>
      <c r="BS359" s="3298">
        <f t="shared" si="204"/>
        <v>0</v>
      </c>
      <c r="BT359" s="3350">
        <f t="shared" si="205"/>
        <v>0</v>
      </c>
    </row>
    <row r="360" spans="1:72">
      <c r="A360" s="1407"/>
      <c r="B360" s="3296"/>
      <c r="C360" s="3296"/>
      <c r="D360" s="3297"/>
      <c r="E360" s="3298">
        <f t="shared" si="206"/>
        <v>0</v>
      </c>
      <c r="F360" s="3299"/>
      <c r="G360" s="3300">
        <f t="shared" si="181"/>
        <v>0</v>
      </c>
      <c r="H360" s="3301">
        <f t="shared" si="182"/>
        <v>0</v>
      </c>
      <c r="I360" s="3308"/>
      <c r="J360" s="3308"/>
      <c r="K360" s="3308"/>
      <c r="L360" s="3308"/>
      <c r="M360" s="3308"/>
      <c r="N360" s="3308"/>
      <c r="O360" s="3308"/>
      <c r="P360" s="3308"/>
      <c r="Q360" s="3308"/>
      <c r="R360" s="3308"/>
      <c r="S360" s="3308"/>
      <c r="T360" s="3308"/>
      <c r="U360" s="3308"/>
      <c r="V360" s="3308"/>
      <c r="W360" s="3308"/>
      <c r="X360" s="3308"/>
      <c r="Y360" s="3308"/>
      <c r="Z360" s="3308"/>
      <c r="AA360" s="3308"/>
      <c r="AB360" s="3308"/>
      <c r="AC360" s="3298">
        <f t="shared" si="183"/>
        <v>0</v>
      </c>
      <c r="AD360" s="3318"/>
      <c r="AE360" s="3318"/>
      <c r="AF360" s="3318"/>
      <c r="AG360" s="3318"/>
      <c r="AH360" s="3318"/>
      <c r="AI360" s="3318"/>
      <c r="AJ360" s="3318"/>
      <c r="AK360" s="3318"/>
      <c r="AL360" s="3318"/>
      <c r="AM360" s="3318"/>
      <c r="AN360" s="3318"/>
      <c r="AO360" s="3318"/>
      <c r="AP360" s="3318"/>
      <c r="AQ360" s="3318"/>
      <c r="AR360" s="3318"/>
      <c r="AS360" s="3318"/>
      <c r="AT360" s="3328"/>
      <c r="AU360" s="3329"/>
      <c r="AV360" s="963">
        <f t="shared" si="207"/>
        <v>0</v>
      </c>
      <c r="AW360" s="963">
        <f t="shared" si="208"/>
        <v>0</v>
      </c>
      <c r="AX360" s="963">
        <f t="shared" si="209"/>
        <v>0</v>
      </c>
      <c r="AY360" s="3343">
        <f t="shared" si="184"/>
        <v>0</v>
      </c>
      <c r="AZ360" s="3298">
        <f t="shared" si="185"/>
        <v>0</v>
      </c>
      <c r="BA360" s="3298">
        <f t="shared" si="186"/>
        <v>0</v>
      </c>
      <c r="BB360" s="3298">
        <f t="shared" si="187"/>
        <v>0</v>
      </c>
      <c r="BC360" s="3298">
        <f t="shared" si="188"/>
        <v>0</v>
      </c>
      <c r="BD360" s="3298">
        <f t="shared" si="189"/>
        <v>0</v>
      </c>
      <c r="BE360" s="3298">
        <f t="shared" si="190"/>
        <v>0</v>
      </c>
      <c r="BF360" s="3298">
        <f t="shared" si="191"/>
        <v>0</v>
      </c>
      <c r="BG360" s="3298">
        <f t="shared" si="192"/>
        <v>0</v>
      </c>
      <c r="BH360" s="3298">
        <f t="shared" si="193"/>
        <v>0</v>
      </c>
      <c r="BI360" s="3298">
        <f t="shared" si="194"/>
        <v>0</v>
      </c>
      <c r="BJ360" s="3298">
        <f t="shared" si="195"/>
        <v>0</v>
      </c>
      <c r="BK360" s="3298">
        <f t="shared" si="196"/>
        <v>0</v>
      </c>
      <c r="BL360" s="3298">
        <f t="shared" si="197"/>
        <v>0</v>
      </c>
      <c r="BM360" s="3298">
        <f t="shared" si="198"/>
        <v>0</v>
      </c>
      <c r="BN360" s="3298">
        <f t="shared" si="199"/>
        <v>0</v>
      </c>
      <c r="BO360" s="3298">
        <f t="shared" si="200"/>
        <v>0</v>
      </c>
      <c r="BP360" s="3298">
        <f t="shared" si="201"/>
        <v>0</v>
      </c>
      <c r="BQ360" s="3298">
        <f t="shared" si="202"/>
        <v>0</v>
      </c>
      <c r="BR360" s="3298">
        <f t="shared" si="203"/>
        <v>0</v>
      </c>
      <c r="BS360" s="3298">
        <f t="shared" si="204"/>
        <v>0</v>
      </c>
      <c r="BT360" s="3350">
        <f t="shared" si="205"/>
        <v>0</v>
      </c>
    </row>
    <row r="361" spans="1:72">
      <c r="A361" s="1407"/>
      <c r="B361" s="3296"/>
      <c r="C361" s="3296"/>
      <c r="D361" s="3297"/>
      <c r="E361" s="3298">
        <f t="shared" si="206"/>
        <v>0</v>
      </c>
      <c r="F361" s="3299"/>
      <c r="G361" s="3300">
        <f t="shared" si="181"/>
        <v>0</v>
      </c>
      <c r="H361" s="3301">
        <f t="shared" si="182"/>
        <v>0</v>
      </c>
      <c r="I361" s="3308"/>
      <c r="J361" s="3308"/>
      <c r="K361" s="3308"/>
      <c r="L361" s="3308"/>
      <c r="M361" s="3308"/>
      <c r="N361" s="3308"/>
      <c r="O361" s="3308"/>
      <c r="P361" s="3308"/>
      <c r="Q361" s="3308"/>
      <c r="R361" s="3308"/>
      <c r="S361" s="3308"/>
      <c r="T361" s="3308"/>
      <c r="U361" s="3308"/>
      <c r="V361" s="3308"/>
      <c r="W361" s="3308"/>
      <c r="X361" s="3308"/>
      <c r="Y361" s="3308"/>
      <c r="Z361" s="3308"/>
      <c r="AA361" s="3308"/>
      <c r="AB361" s="3308"/>
      <c r="AC361" s="3298">
        <f t="shared" si="183"/>
        <v>0</v>
      </c>
      <c r="AD361" s="3318"/>
      <c r="AE361" s="3318"/>
      <c r="AF361" s="3318"/>
      <c r="AG361" s="3318"/>
      <c r="AH361" s="3318"/>
      <c r="AI361" s="3318"/>
      <c r="AJ361" s="3318"/>
      <c r="AK361" s="3318"/>
      <c r="AL361" s="3318"/>
      <c r="AM361" s="3318"/>
      <c r="AN361" s="3318"/>
      <c r="AO361" s="3318"/>
      <c r="AP361" s="3318"/>
      <c r="AQ361" s="3318"/>
      <c r="AR361" s="3318"/>
      <c r="AS361" s="3318"/>
      <c r="AT361" s="3328"/>
      <c r="AU361" s="3329"/>
      <c r="AV361" s="963">
        <f t="shared" si="207"/>
        <v>0</v>
      </c>
      <c r="AW361" s="963">
        <f t="shared" si="208"/>
        <v>0</v>
      </c>
      <c r="AX361" s="963">
        <f t="shared" si="209"/>
        <v>0</v>
      </c>
      <c r="AY361" s="3343">
        <f t="shared" si="184"/>
        <v>0</v>
      </c>
      <c r="AZ361" s="3298">
        <f t="shared" si="185"/>
        <v>0</v>
      </c>
      <c r="BA361" s="3298">
        <f t="shared" si="186"/>
        <v>0</v>
      </c>
      <c r="BB361" s="3298">
        <f t="shared" si="187"/>
        <v>0</v>
      </c>
      <c r="BC361" s="3298">
        <f t="shared" si="188"/>
        <v>0</v>
      </c>
      <c r="BD361" s="3298">
        <f t="shared" si="189"/>
        <v>0</v>
      </c>
      <c r="BE361" s="3298">
        <f t="shared" si="190"/>
        <v>0</v>
      </c>
      <c r="BF361" s="3298">
        <f t="shared" si="191"/>
        <v>0</v>
      </c>
      <c r="BG361" s="3298">
        <f t="shared" si="192"/>
        <v>0</v>
      </c>
      <c r="BH361" s="3298">
        <f t="shared" si="193"/>
        <v>0</v>
      </c>
      <c r="BI361" s="3298">
        <f t="shared" si="194"/>
        <v>0</v>
      </c>
      <c r="BJ361" s="3298">
        <f t="shared" si="195"/>
        <v>0</v>
      </c>
      <c r="BK361" s="3298">
        <f t="shared" si="196"/>
        <v>0</v>
      </c>
      <c r="BL361" s="3298">
        <f t="shared" si="197"/>
        <v>0</v>
      </c>
      <c r="BM361" s="3298">
        <f t="shared" si="198"/>
        <v>0</v>
      </c>
      <c r="BN361" s="3298">
        <f t="shared" si="199"/>
        <v>0</v>
      </c>
      <c r="BO361" s="3298">
        <f t="shared" si="200"/>
        <v>0</v>
      </c>
      <c r="BP361" s="3298">
        <f t="shared" si="201"/>
        <v>0</v>
      </c>
      <c r="BQ361" s="3298">
        <f t="shared" si="202"/>
        <v>0</v>
      </c>
      <c r="BR361" s="3298">
        <f t="shared" si="203"/>
        <v>0</v>
      </c>
      <c r="BS361" s="3298">
        <f t="shared" si="204"/>
        <v>0</v>
      </c>
      <c r="BT361" s="3350">
        <f t="shared" si="205"/>
        <v>0</v>
      </c>
    </row>
    <row r="362" spans="1:72">
      <c r="A362" s="1407"/>
      <c r="B362" s="3296"/>
      <c r="C362" s="3296"/>
      <c r="D362" s="3297"/>
      <c r="E362" s="3298">
        <f t="shared" si="206"/>
        <v>0</v>
      </c>
      <c r="F362" s="3299"/>
      <c r="G362" s="3300">
        <f t="shared" si="181"/>
        <v>0</v>
      </c>
      <c r="H362" s="3301">
        <f t="shared" si="182"/>
        <v>0</v>
      </c>
      <c r="I362" s="3308"/>
      <c r="J362" s="3308"/>
      <c r="K362" s="3308"/>
      <c r="L362" s="3308"/>
      <c r="M362" s="3308"/>
      <c r="N362" s="3308"/>
      <c r="O362" s="3308"/>
      <c r="P362" s="3308"/>
      <c r="Q362" s="3308"/>
      <c r="R362" s="3308"/>
      <c r="S362" s="3308"/>
      <c r="T362" s="3308"/>
      <c r="U362" s="3308"/>
      <c r="V362" s="3308"/>
      <c r="W362" s="3308"/>
      <c r="X362" s="3308"/>
      <c r="Y362" s="3308"/>
      <c r="Z362" s="3308"/>
      <c r="AA362" s="3308"/>
      <c r="AB362" s="3308"/>
      <c r="AC362" s="3298">
        <f t="shared" si="183"/>
        <v>0</v>
      </c>
      <c r="AD362" s="3318"/>
      <c r="AE362" s="3318"/>
      <c r="AF362" s="3318"/>
      <c r="AG362" s="3318"/>
      <c r="AH362" s="3318"/>
      <c r="AI362" s="3318"/>
      <c r="AJ362" s="3318"/>
      <c r="AK362" s="3318"/>
      <c r="AL362" s="3318"/>
      <c r="AM362" s="3318"/>
      <c r="AN362" s="3318"/>
      <c r="AO362" s="3318"/>
      <c r="AP362" s="3318"/>
      <c r="AQ362" s="3318"/>
      <c r="AR362" s="3318"/>
      <c r="AS362" s="3318"/>
      <c r="AT362" s="3328"/>
      <c r="AU362" s="3329"/>
      <c r="AV362" s="963">
        <f t="shared" si="207"/>
        <v>0</v>
      </c>
      <c r="AW362" s="963">
        <f t="shared" si="208"/>
        <v>0</v>
      </c>
      <c r="AX362" s="963">
        <f t="shared" si="209"/>
        <v>0</v>
      </c>
      <c r="AY362" s="3343">
        <f t="shared" si="184"/>
        <v>0</v>
      </c>
      <c r="AZ362" s="3298">
        <f t="shared" si="185"/>
        <v>0</v>
      </c>
      <c r="BA362" s="3298">
        <f t="shared" si="186"/>
        <v>0</v>
      </c>
      <c r="BB362" s="3298">
        <f t="shared" si="187"/>
        <v>0</v>
      </c>
      <c r="BC362" s="3298">
        <f t="shared" si="188"/>
        <v>0</v>
      </c>
      <c r="BD362" s="3298">
        <f t="shared" si="189"/>
        <v>0</v>
      </c>
      <c r="BE362" s="3298">
        <f t="shared" si="190"/>
        <v>0</v>
      </c>
      <c r="BF362" s="3298">
        <f t="shared" si="191"/>
        <v>0</v>
      </c>
      <c r="BG362" s="3298">
        <f t="shared" si="192"/>
        <v>0</v>
      </c>
      <c r="BH362" s="3298">
        <f t="shared" si="193"/>
        <v>0</v>
      </c>
      <c r="BI362" s="3298">
        <f t="shared" si="194"/>
        <v>0</v>
      </c>
      <c r="BJ362" s="3298">
        <f t="shared" si="195"/>
        <v>0</v>
      </c>
      <c r="BK362" s="3298">
        <f t="shared" si="196"/>
        <v>0</v>
      </c>
      <c r="BL362" s="3298">
        <f t="shared" si="197"/>
        <v>0</v>
      </c>
      <c r="BM362" s="3298">
        <f t="shared" si="198"/>
        <v>0</v>
      </c>
      <c r="BN362" s="3298">
        <f t="shared" si="199"/>
        <v>0</v>
      </c>
      <c r="BO362" s="3298">
        <f t="shared" si="200"/>
        <v>0</v>
      </c>
      <c r="BP362" s="3298">
        <f t="shared" si="201"/>
        <v>0</v>
      </c>
      <c r="BQ362" s="3298">
        <f t="shared" si="202"/>
        <v>0</v>
      </c>
      <c r="BR362" s="3298">
        <f t="shared" si="203"/>
        <v>0</v>
      </c>
      <c r="BS362" s="3298">
        <f t="shared" si="204"/>
        <v>0</v>
      </c>
      <c r="BT362" s="3350">
        <f t="shared" si="205"/>
        <v>0</v>
      </c>
    </row>
    <row r="363" spans="1:72">
      <c r="A363" s="1407"/>
      <c r="B363" s="3296"/>
      <c r="C363" s="3296"/>
      <c r="D363" s="3297"/>
      <c r="E363" s="3298">
        <f t="shared" si="206"/>
        <v>0</v>
      </c>
      <c r="F363" s="3299"/>
      <c r="G363" s="3300">
        <f t="shared" si="181"/>
        <v>0</v>
      </c>
      <c r="H363" s="3301">
        <f t="shared" si="182"/>
        <v>0</v>
      </c>
      <c r="I363" s="3308"/>
      <c r="J363" s="3308"/>
      <c r="K363" s="3308"/>
      <c r="L363" s="3308"/>
      <c r="M363" s="3308"/>
      <c r="N363" s="3308"/>
      <c r="O363" s="3308"/>
      <c r="P363" s="3308"/>
      <c r="Q363" s="3308"/>
      <c r="R363" s="3308"/>
      <c r="S363" s="3308"/>
      <c r="T363" s="3308"/>
      <c r="U363" s="3308"/>
      <c r="V363" s="3308"/>
      <c r="W363" s="3308"/>
      <c r="X363" s="3308"/>
      <c r="Y363" s="3308"/>
      <c r="Z363" s="3308"/>
      <c r="AA363" s="3308"/>
      <c r="AB363" s="3308"/>
      <c r="AC363" s="3298">
        <f t="shared" si="183"/>
        <v>0</v>
      </c>
      <c r="AD363" s="3318"/>
      <c r="AE363" s="3318"/>
      <c r="AF363" s="3318"/>
      <c r="AG363" s="3318"/>
      <c r="AH363" s="3318"/>
      <c r="AI363" s="3318"/>
      <c r="AJ363" s="3318"/>
      <c r="AK363" s="3318"/>
      <c r="AL363" s="3318"/>
      <c r="AM363" s="3318"/>
      <c r="AN363" s="3318"/>
      <c r="AO363" s="3318"/>
      <c r="AP363" s="3318"/>
      <c r="AQ363" s="3318"/>
      <c r="AR363" s="3318"/>
      <c r="AS363" s="3318"/>
      <c r="AT363" s="3328"/>
      <c r="AU363" s="3329"/>
      <c r="AV363" s="963">
        <f t="shared" si="207"/>
        <v>0</v>
      </c>
      <c r="AW363" s="963">
        <f t="shared" si="208"/>
        <v>0</v>
      </c>
      <c r="AX363" s="963">
        <f t="shared" si="209"/>
        <v>0</v>
      </c>
      <c r="AY363" s="3343">
        <f t="shared" si="184"/>
        <v>0</v>
      </c>
      <c r="AZ363" s="3298">
        <f t="shared" si="185"/>
        <v>0</v>
      </c>
      <c r="BA363" s="3298">
        <f t="shared" si="186"/>
        <v>0</v>
      </c>
      <c r="BB363" s="3298">
        <f t="shared" si="187"/>
        <v>0</v>
      </c>
      <c r="BC363" s="3298">
        <f t="shared" si="188"/>
        <v>0</v>
      </c>
      <c r="BD363" s="3298">
        <f t="shared" si="189"/>
        <v>0</v>
      </c>
      <c r="BE363" s="3298">
        <f t="shared" si="190"/>
        <v>0</v>
      </c>
      <c r="BF363" s="3298">
        <f t="shared" si="191"/>
        <v>0</v>
      </c>
      <c r="BG363" s="3298">
        <f t="shared" si="192"/>
        <v>0</v>
      </c>
      <c r="BH363" s="3298">
        <f t="shared" si="193"/>
        <v>0</v>
      </c>
      <c r="BI363" s="3298">
        <f t="shared" si="194"/>
        <v>0</v>
      </c>
      <c r="BJ363" s="3298">
        <f t="shared" si="195"/>
        <v>0</v>
      </c>
      <c r="BK363" s="3298">
        <f t="shared" si="196"/>
        <v>0</v>
      </c>
      <c r="BL363" s="3298">
        <f t="shared" si="197"/>
        <v>0</v>
      </c>
      <c r="BM363" s="3298">
        <f t="shared" si="198"/>
        <v>0</v>
      </c>
      <c r="BN363" s="3298">
        <f t="shared" si="199"/>
        <v>0</v>
      </c>
      <c r="BO363" s="3298">
        <f t="shared" si="200"/>
        <v>0</v>
      </c>
      <c r="BP363" s="3298">
        <f t="shared" si="201"/>
        <v>0</v>
      </c>
      <c r="BQ363" s="3298">
        <f t="shared" si="202"/>
        <v>0</v>
      </c>
      <c r="BR363" s="3298">
        <f t="shared" si="203"/>
        <v>0</v>
      </c>
      <c r="BS363" s="3298">
        <f t="shared" si="204"/>
        <v>0</v>
      </c>
      <c r="BT363" s="3350">
        <f t="shared" si="205"/>
        <v>0</v>
      </c>
    </row>
    <row r="364" spans="1:72">
      <c r="A364" s="1407"/>
      <c r="B364" s="3296"/>
      <c r="C364" s="3296"/>
      <c r="D364" s="3297"/>
      <c r="E364" s="3298">
        <f t="shared" si="206"/>
        <v>0</v>
      </c>
      <c r="F364" s="3299"/>
      <c r="G364" s="3300">
        <f t="shared" ref="G364:G397" si="210">H364+AC364+AT364</f>
        <v>0</v>
      </c>
      <c r="H364" s="3301">
        <f t="shared" ref="H364:H397" si="211">SUMIF(I$12:AB$12,"总值",I364:AB364)</f>
        <v>0</v>
      </c>
      <c r="I364" s="3308"/>
      <c r="J364" s="3308"/>
      <c r="K364" s="3308"/>
      <c r="L364" s="3308"/>
      <c r="M364" s="3308"/>
      <c r="N364" s="3308"/>
      <c r="O364" s="3308"/>
      <c r="P364" s="3308"/>
      <c r="Q364" s="3308"/>
      <c r="R364" s="3308"/>
      <c r="S364" s="3308"/>
      <c r="T364" s="3308"/>
      <c r="U364" s="3308"/>
      <c r="V364" s="3308"/>
      <c r="W364" s="3308"/>
      <c r="X364" s="3308"/>
      <c r="Y364" s="3308"/>
      <c r="Z364" s="3308"/>
      <c r="AA364" s="3308"/>
      <c r="AB364" s="3308"/>
      <c r="AC364" s="3298">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28"/>
      <c r="AU364" s="3329"/>
      <c r="AV364" s="963">
        <f t="shared" si="207"/>
        <v>0</v>
      </c>
      <c r="AW364" s="963">
        <f t="shared" si="208"/>
        <v>0</v>
      </c>
      <c r="AX364" s="963">
        <f t="shared" si="209"/>
        <v>0</v>
      </c>
      <c r="AY364" s="3343">
        <f t="shared" ref="AY364:AY397" si="213">ROUND($AY$6*AZ364/$AZ$5,2)</f>
        <v>0</v>
      </c>
      <c r="AZ364" s="3298">
        <f t="shared" ref="AZ364:AZ397" si="214">BA364+BL364</f>
        <v>0</v>
      </c>
      <c r="BA364" s="3298">
        <f t="shared" ref="BA364:BA397" si="215">SUM(BB364:BK364)</f>
        <v>0</v>
      </c>
      <c r="BB364" s="3298">
        <f t="shared" ref="BB364:BB397" si="216">IF($D364="是",I364-J364,0)</f>
        <v>0</v>
      </c>
      <c r="BC364" s="3298">
        <f t="shared" ref="BC364:BC397" si="217">IF($D364="是",K364-L364,0)</f>
        <v>0</v>
      </c>
      <c r="BD364" s="3298">
        <f t="shared" ref="BD364:BD397" si="218">IF($D364="是",M364-N364,0)</f>
        <v>0</v>
      </c>
      <c r="BE364" s="3298">
        <f t="shared" ref="BE364:BE397" si="219">IF($D364="是",O364-P364,0)</f>
        <v>0</v>
      </c>
      <c r="BF364" s="3298">
        <f t="shared" ref="BF364:BF397" si="220">IF($D364="是",Q364-R364,0)</f>
        <v>0</v>
      </c>
      <c r="BG364" s="3298">
        <f t="shared" ref="BG364:BG397" si="221">IF($D364="是",S364-T364,0)</f>
        <v>0</v>
      </c>
      <c r="BH364" s="3298">
        <f t="shared" ref="BH364:BH397" si="222">IF($D364="是",U364-V364,0)</f>
        <v>0</v>
      </c>
      <c r="BI364" s="3298">
        <f t="shared" ref="BI364:BI397" si="223">IF($D364="是",W364-X364,0)</f>
        <v>0</v>
      </c>
      <c r="BJ364" s="3298">
        <f t="shared" ref="BJ364:BJ397" si="224">IF($D364="是",Y364-Z364,0)</f>
        <v>0</v>
      </c>
      <c r="BK364" s="3298">
        <f t="shared" ref="BK364:BK397" si="225">IF($D364="是",AA364-AB364,0)</f>
        <v>0</v>
      </c>
      <c r="BL364" s="3298">
        <f t="shared" ref="BL364:BL397" si="226">SUM(BM364:BT364)</f>
        <v>0</v>
      </c>
      <c r="BM364" s="3298">
        <f t="shared" ref="BM364:BM397" si="227">IF($D364="是",AD364-AE364,0)</f>
        <v>0</v>
      </c>
      <c r="BN364" s="3298">
        <f t="shared" ref="BN364:BN397" si="228">IF($D364="是",AF364-AG364,0)</f>
        <v>0</v>
      </c>
      <c r="BO364" s="3298">
        <f t="shared" ref="BO364:BO397" si="229">IF($D364="是",AH364-AI364,0)</f>
        <v>0</v>
      </c>
      <c r="BP364" s="3298">
        <f t="shared" ref="BP364:BP397" si="230">IF($D364="是",AJ364-AK364,0)</f>
        <v>0</v>
      </c>
      <c r="BQ364" s="3298">
        <f t="shared" ref="BQ364:BQ397" si="231">IF($D364="是",AL364-AM364,0)</f>
        <v>0</v>
      </c>
      <c r="BR364" s="3298">
        <f t="shared" ref="BR364:BR397" si="232">IF($D364="是",AN364-AO364,0)</f>
        <v>0</v>
      </c>
      <c r="BS364" s="3298">
        <f t="shared" ref="BS364:BS397" si="233">IF($D364="是",AP364-AQ364,0)</f>
        <v>0</v>
      </c>
      <c r="BT364" s="3350">
        <f t="shared" ref="BT364:BT397" si="234">IF($D364="是",AR364-AS364,0)</f>
        <v>0</v>
      </c>
    </row>
    <row r="365" spans="1:72">
      <c r="A365" s="1407"/>
      <c r="B365" s="3296"/>
      <c r="C365" s="3296"/>
      <c r="D365" s="3297"/>
      <c r="E365" s="3298">
        <f t="shared" si="206"/>
        <v>0</v>
      </c>
      <c r="F365" s="3299"/>
      <c r="G365" s="3300">
        <f t="shared" si="210"/>
        <v>0</v>
      </c>
      <c r="H365" s="3301">
        <f t="shared" si="211"/>
        <v>0</v>
      </c>
      <c r="I365" s="3308"/>
      <c r="J365" s="3308"/>
      <c r="K365" s="3308"/>
      <c r="L365" s="3308"/>
      <c r="M365" s="3308"/>
      <c r="N365" s="3308"/>
      <c r="O365" s="3308"/>
      <c r="P365" s="3308"/>
      <c r="Q365" s="3308"/>
      <c r="R365" s="3308"/>
      <c r="S365" s="3308"/>
      <c r="T365" s="3308"/>
      <c r="U365" s="3308"/>
      <c r="V365" s="3308"/>
      <c r="W365" s="3308"/>
      <c r="X365" s="3308"/>
      <c r="Y365" s="3308"/>
      <c r="Z365" s="3308"/>
      <c r="AA365" s="3308"/>
      <c r="AB365" s="3308"/>
      <c r="AC365" s="3298">
        <f t="shared" si="212"/>
        <v>0</v>
      </c>
      <c r="AD365" s="3318"/>
      <c r="AE365" s="3318"/>
      <c r="AF365" s="3318"/>
      <c r="AG365" s="3318"/>
      <c r="AH365" s="3318"/>
      <c r="AI365" s="3318"/>
      <c r="AJ365" s="3318"/>
      <c r="AK365" s="3318"/>
      <c r="AL365" s="3318"/>
      <c r="AM365" s="3318"/>
      <c r="AN365" s="3318"/>
      <c r="AO365" s="3318"/>
      <c r="AP365" s="3318"/>
      <c r="AQ365" s="3318"/>
      <c r="AR365" s="3318"/>
      <c r="AS365" s="3318"/>
      <c r="AT365" s="3328"/>
      <c r="AU365" s="3329"/>
      <c r="AV365" s="963">
        <f t="shared" si="207"/>
        <v>0</v>
      </c>
      <c r="AW365" s="963">
        <f t="shared" si="208"/>
        <v>0</v>
      </c>
      <c r="AX365" s="963">
        <f t="shared" si="209"/>
        <v>0</v>
      </c>
      <c r="AY365" s="3343">
        <f t="shared" si="213"/>
        <v>0</v>
      </c>
      <c r="AZ365" s="3298">
        <f t="shared" si="214"/>
        <v>0</v>
      </c>
      <c r="BA365" s="3298">
        <f t="shared" si="215"/>
        <v>0</v>
      </c>
      <c r="BB365" s="3298">
        <f t="shared" si="216"/>
        <v>0</v>
      </c>
      <c r="BC365" s="3298">
        <f t="shared" si="217"/>
        <v>0</v>
      </c>
      <c r="BD365" s="3298">
        <f t="shared" si="218"/>
        <v>0</v>
      </c>
      <c r="BE365" s="3298">
        <f t="shared" si="219"/>
        <v>0</v>
      </c>
      <c r="BF365" s="3298">
        <f t="shared" si="220"/>
        <v>0</v>
      </c>
      <c r="BG365" s="3298">
        <f t="shared" si="221"/>
        <v>0</v>
      </c>
      <c r="BH365" s="3298">
        <f t="shared" si="222"/>
        <v>0</v>
      </c>
      <c r="BI365" s="3298">
        <f t="shared" si="223"/>
        <v>0</v>
      </c>
      <c r="BJ365" s="3298">
        <f t="shared" si="224"/>
        <v>0</v>
      </c>
      <c r="BK365" s="3298">
        <f t="shared" si="225"/>
        <v>0</v>
      </c>
      <c r="BL365" s="3298">
        <f t="shared" si="226"/>
        <v>0</v>
      </c>
      <c r="BM365" s="3298">
        <f t="shared" si="227"/>
        <v>0</v>
      </c>
      <c r="BN365" s="3298">
        <f t="shared" si="228"/>
        <v>0</v>
      </c>
      <c r="BO365" s="3298">
        <f t="shared" si="229"/>
        <v>0</v>
      </c>
      <c r="BP365" s="3298">
        <f t="shared" si="230"/>
        <v>0</v>
      </c>
      <c r="BQ365" s="3298">
        <f t="shared" si="231"/>
        <v>0</v>
      </c>
      <c r="BR365" s="3298">
        <f t="shared" si="232"/>
        <v>0</v>
      </c>
      <c r="BS365" s="3298">
        <f t="shared" si="233"/>
        <v>0</v>
      </c>
      <c r="BT365" s="3350">
        <f t="shared" si="234"/>
        <v>0</v>
      </c>
    </row>
    <row r="366" spans="1:72">
      <c r="A366" s="1407"/>
      <c r="B366" s="3296"/>
      <c r="C366" s="3296"/>
      <c r="D366" s="3297"/>
      <c r="E366" s="3298">
        <f t="shared" si="206"/>
        <v>0</v>
      </c>
      <c r="F366" s="3299"/>
      <c r="G366" s="3300">
        <f t="shared" si="210"/>
        <v>0</v>
      </c>
      <c r="H366" s="3301">
        <f t="shared" si="211"/>
        <v>0</v>
      </c>
      <c r="I366" s="3308"/>
      <c r="J366" s="3308"/>
      <c r="K366" s="3308"/>
      <c r="L366" s="3308"/>
      <c r="M366" s="3308"/>
      <c r="N366" s="3308"/>
      <c r="O366" s="3308"/>
      <c r="P366" s="3308"/>
      <c r="Q366" s="3308"/>
      <c r="R366" s="3308"/>
      <c r="S366" s="3308"/>
      <c r="T366" s="3308"/>
      <c r="U366" s="3308"/>
      <c r="V366" s="3308"/>
      <c r="W366" s="3308"/>
      <c r="X366" s="3308"/>
      <c r="Y366" s="3308"/>
      <c r="Z366" s="3308"/>
      <c r="AA366" s="3308"/>
      <c r="AB366" s="3308"/>
      <c r="AC366" s="3298">
        <f t="shared" si="212"/>
        <v>0</v>
      </c>
      <c r="AD366" s="3318"/>
      <c r="AE366" s="3318"/>
      <c r="AF366" s="3318"/>
      <c r="AG366" s="3318"/>
      <c r="AH366" s="3318"/>
      <c r="AI366" s="3318"/>
      <c r="AJ366" s="3318"/>
      <c r="AK366" s="3318"/>
      <c r="AL366" s="3318"/>
      <c r="AM366" s="3318"/>
      <c r="AN366" s="3318"/>
      <c r="AO366" s="3318"/>
      <c r="AP366" s="3318"/>
      <c r="AQ366" s="3318"/>
      <c r="AR366" s="3318"/>
      <c r="AS366" s="3318"/>
      <c r="AT366" s="3328"/>
      <c r="AU366" s="3329"/>
      <c r="AV366" s="963">
        <f t="shared" si="207"/>
        <v>0</v>
      </c>
      <c r="AW366" s="963">
        <f t="shared" si="208"/>
        <v>0</v>
      </c>
      <c r="AX366" s="963">
        <f t="shared" si="209"/>
        <v>0</v>
      </c>
      <c r="AY366" s="3343">
        <f t="shared" si="213"/>
        <v>0</v>
      </c>
      <c r="AZ366" s="3298">
        <f t="shared" si="214"/>
        <v>0</v>
      </c>
      <c r="BA366" s="3298">
        <f t="shared" si="215"/>
        <v>0</v>
      </c>
      <c r="BB366" s="3298">
        <f t="shared" si="216"/>
        <v>0</v>
      </c>
      <c r="BC366" s="3298">
        <f t="shared" si="217"/>
        <v>0</v>
      </c>
      <c r="BD366" s="3298">
        <f t="shared" si="218"/>
        <v>0</v>
      </c>
      <c r="BE366" s="3298">
        <f t="shared" si="219"/>
        <v>0</v>
      </c>
      <c r="BF366" s="3298">
        <f t="shared" si="220"/>
        <v>0</v>
      </c>
      <c r="BG366" s="3298">
        <f t="shared" si="221"/>
        <v>0</v>
      </c>
      <c r="BH366" s="3298">
        <f t="shared" si="222"/>
        <v>0</v>
      </c>
      <c r="BI366" s="3298">
        <f t="shared" si="223"/>
        <v>0</v>
      </c>
      <c r="BJ366" s="3298">
        <f t="shared" si="224"/>
        <v>0</v>
      </c>
      <c r="BK366" s="3298">
        <f t="shared" si="225"/>
        <v>0</v>
      </c>
      <c r="BL366" s="3298">
        <f t="shared" si="226"/>
        <v>0</v>
      </c>
      <c r="BM366" s="3298">
        <f t="shared" si="227"/>
        <v>0</v>
      </c>
      <c r="BN366" s="3298">
        <f t="shared" si="228"/>
        <v>0</v>
      </c>
      <c r="BO366" s="3298">
        <f t="shared" si="229"/>
        <v>0</v>
      </c>
      <c r="BP366" s="3298">
        <f t="shared" si="230"/>
        <v>0</v>
      </c>
      <c r="BQ366" s="3298">
        <f t="shared" si="231"/>
        <v>0</v>
      </c>
      <c r="BR366" s="3298">
        <f t="shared" si="232"/>
        <v>0</v>
      </c>
      <c r="BS366" s="3298">
        <f t="shared" si="233"/>
        <v>0</v>
      </c>
      <c r="BT366" s="3350">
        <f t="shared" si="234"/>
        <v>0</v>
      </c>
    </row>
    <row r="367" spans="1:72">
      <c r="A367" s="1407"/>
      <c r="B367" s="3296"/>
      <c r="C367" s="3296"/>
      <c r="D367" s="3297"/>
      <c r="E367" s="3298">
        <f t="shared" ref="E367:E397" si="235">IF($C$3="是",ROUND($A$3*G367/$B$3,2),ROUND($A$3*(G367-AT367)/$B$3,2))</f>
        <v>0</v>
      </c>
      <c r="F367" s="3299"/>
      <c r="G367" s="3300">
        <f t="shared" si="210"/>
        <v>0</v>
      </c>
      <c r="H367" s="3301">
        <f t="shared" si="211"/>
        <v>0</v>
      </c>
      <c r="I367" s="3308"/>
      <c r="J367" s="3308"/>
      <c r="K367" s="3308"/>
      <c r="L367" s="3308"/>
      <c r="M367" s="3308"/>
      <c r="N367" s="3308"/>
      <c r="O367" s="3308"/>
      <c r="P367" s="3308"/>
      <c r="Q367" s="3308"/>
      <c r="R367" s="3308"/>
      <c r="S367" s="3308"/>
      <c r="T367" s="3308"/>
      <c r="U367" s="3308"/>
      <c r="V367" s="3308"/>
      <c r="W367" s="3308"/>
      <c r="X367" s="3308"/>
      <c r="Y367" s="3308"/>
      <c r="Z367" s="3308"/>
      <c r="AA367" s="3308"/>
      <c r="AB367" s="3308"/>
      <c r="AC367" s="3298">
        <f t="shared" si="212"/>
        <v>0</v>
      </c>
      <c r="AD367" s="3318"/>
      <c r="AE367" s="3318"/>
      <c r="AF367" s="3318"/>
      <c r="AG367" s="3318"/>
      <c r="AH367" s="3318"/>
      <c r="AI367" s="3318"/>
      <c r="AJ367" s="3318"/>
      <c r="AK367" s="3318"/>
      <c r="AL367" s="3318"/>
      <c r="AM367" s="3318"/>
      <c r="AN367" s="3318"/>
      <c r="AO367" s="3318"/>
      <c r="AP367" s="3318"/>
      <c r="AQ367" s="3318"/>
      <c r="AR367" s="3318"/>
      <c r="AS367" s="3318"/>
      <c r="AT367" s="3328"/>
      <c r="AU367" s="3329"/>
      <c r="AV367" s="963">
        <f t="shared" ref="AV367:AV397" si="236">A367</f>
        <v>0</v>
      </c>
      <c r="AW367" s="963">
        <f t="shared" ref="AW367:AW397" si="237">B367</f>
        <v>0</v>
      </c>
      <c r="AX367" s="963">
        <f t="shared" ref="AX367:AX397" si="238">C367</f>
        <v>0</v>
      </c>
      <c r="AY367" s="3343">
        <f t="shared" si="213"/>
        <v>0</v>
      </c>
      <c r="AZ367" s="3298">
        <f t="shared" si="214"/>
        <v>0</v>
      </c>
      <c r="BA367" s="3298">
        <f t="shared" si="215"/>
        <v>0</v>
      </c>
      <c r="BB367" s="3298">
        <f t="shared" si="216"/>
        <v>0</v>
      </c>
      <c r="BC367" s="3298">
        <f t="shared" si="217"/>
        <v>0</v>
      </c>
      <c r="BD367" s="3298">
        <f t="shared" si="218"/>
        <v>0</v>
      </c>
      <c r="BE367" s="3298">
        <f t="shared" si="219"/>
        <v>0</v>
      </c>
      <c r="BF367" s="3298">
        <f t="shared" si="220"/>
        <v>0</v>
      </c>
      <c r="BG367" s="3298">
        <f t="shared" si="221"/>
        <v>0</v>
      </c>
      <c r="BH367" s="3298">
        <f t="shared" si="222"/>
        <v>0</v>
      </c>
      <c r="BI367" s="3298">
        <f t="shared" si="223"/>
        <v>0</v>
      </c>
      <c r="BJ367" s="3298">
        <f t="shared" si="224"/>
        <v>0</v>
      </c>
      <c r="BK367" s="3298">
        <f t="shared" si="225"/>
        <v>0</v>
      </c>
      <c r="BL367" s="3298">
        <f t="shared" si="226"/>
        <v>0</v>
      </c>
      <c r="BM367" s="3298">
        <f t="shared" si="227"/>
        <v>0</v>
      </c>
      <c r="BN367" s="3298">
        <f t="shared" si="228"/>
        <v>0</v>
      </c>
      <c r="BO367" s="3298">
        <f t="shared" si="229"/>
        <v>0</v>
      </c>
      <c r="BP367" s="3298">
        <f t="shared" si="230"/>
        <v>0</v>
      </c>
      <c r="BQ367" s="3298">
        <f t="shared" si="231"/>
        <v>0</v>
      </c>
      <c r="BR367" s="3298">
        <f t="shared" si="232"/>
        <v>0</v>
      </c>
      <c r="BS367" s="3298">
        <f t="shared" si="233"/>
        <v>0</v>
      </c>
      <c r="BT367" s="3350">
        <f t="shared" si="234"/>
        <v>0</v>
      </c>
    </row>
    <row r="368" spans="1:72">
      <c r="A368" s="1407"/>
      <c r="B368" s="3296"/>
      <c r="C368" s="3296"/>
      <c r="D368" s="3297"/>
      <c r="E368" s="3298">
        <f t="shared" si="235"/>
        <v>0</v>
      </c>
      <c r="F368" s="3299"/>
      <c r="G368" s="3300">
        <f t="shared" si="210"/>
        <v>0</v>
      </c>
      <c r="H368" s="3301">
        <f t="shared" si="211"/>
        <v>0</v>
      </c>
      <c r="I368" s="3308"/>
      <c r="J368" s="3308"/>
      <c r="K368" s="3308"/>
      <c r="L368" s="3308"/>
      <c r="M368" s="3308"/>
      <c r="N368" s="3308"/>
      <c r="O368" s="3308"/>
      <c r="P368" s="3308"/>
      <c r="Q368" s="3308"/>
      <c r="R368" s="3308"/>
      <c r="S368" s="3308"/>
      <c r="T368" s="3308"/>
      <c r="U368" s="3308"/>
      <c r="V368" s="3308"/>
      <c r="W368" s="3308"/>
      <c r="X368" s="3308"/>
      <c r="Y368" s="3308"/>
      <c r="Z368" s="3308"/>
      <c r="AA368" s="3308"/>
      <c r="AB368" s="3308"/>
      <c r="AC368" s="3298">
        <f t="shared" si="212"/>
        <v>0</v>
      </c>
      <c r="AD368" s="3318"/>
      <c r="AE368" s="3318"/>
      <c r="AF368" s="3318"/>
      <c r="AG368" s="3318"/>
      <c r="AH368" s="3318"/>
      <c r="AI368" s="3318"/>
      <c r="AJ368" s="3318"/>
      <c r="AK368" s="3318"/>
      <c r="AL368" s="3318"/>
      <c r="AM368" s="3318"/>
      <c r="AN368" s="3318"/>
      <c r="AO368" s="3318"/>
      <c r="AP368" s="3318"/>
      <c r="AQ368" s="3318"/>
      <c r="AR368" s="3318"/>
      <c r="AS368" s="3318"/>
      <c r="AT368" s="3328"/>
      <c r="AU368" s="3329"/>
      <c r="AV368" s="963">
        <f t="shared" si="236"/>
        <v>0</v>
      </c>
      <c r="AW368" s="963">
        <f t="shared" si="237"/>
        <v>0</v>
      </c>
      <c r="AX368" s="963">
        <f t="shared" si="238"/>
        <v>0</v>
      </c>
      <c r="AY368" s="3343">
        <f t="shared" si="213"/>
        <v>0</v>
      </c>
      <c r="AZ368" s="3298">
        <f t="shared" si="214"/>
        <v>0</v>
      </c>
      <c r="BA368" s="3298">
        <f t="shared" si="215"/>
        <v>0</v>
      </c>
      <c r="BB368" s="3298">
        <f t="shared" si="216"/>
        <v>0</v>
      </c>
      <c r="BC368" s="3298">
        <f t="shared" si="217"/>
        <v>0</v>
      </c>
      <c r="BD368" s="3298">
        <f t="shared" si="218"/>
        <v>0</v>
      </c>
      <c r="BE368" s="3298">
        <f t="shared" si="219"/>
        <v>0</v>
      </c>
      <c r="BF368" s="3298">
        <f t="shared" si="220"/>
        <v>0</v>
      </c>
      <c r="BG368" s="3298">
        <f t="shared" si="221"/>
        <v>0</v>
      </c>
      <c r="BH368" s="3298">
        <f t="shared" si="222"/>
        <v>0</v>
      </c>
      <c r="BI368" s="3298">
        <f t="shared" si="223"/>
        <v>0</v>
      </c>
      <c r="BJ368" s="3298">
        <f t="shared" si="224"/>
        <v>0</v>
      </c>
      <c r="BK368" s="3298">
        <f t="shared" si="225"/>
        <v>0</v>
      </c>
      <c r="BL368" s="3298">
        <f t="shared" si="226"/>
        <v>0</v>
      </c>
      <c r="BM368" s="3298">
        <f t="shared" si="227"/>
        <v>0</v>
      </c>
      <c r="BN368" s="3298">
        <f t="shared" si="228"/>
        <v>0</v>
      </c>
      <c r="BO368" s="3298">
        <f t="shared" si="229"/>
        <v>0</v>
      </c>
      <c r="BP368" s="3298">
        <f t="shared" si="230"/>
        <v>0</v>
      </c>
      <c r="BQ368" s="3298">
        <f t="shared" si="231"/>
        <v>0</v>
      </c>
      <c r="BR368" s="3298">
        <f t="shared" si="232"/>
        <v>0</v>
      </c>
      <c r="BS368" s="3298">
        <f t="shared" si="233"/>
        <v>0</v>
      </c>
      <c r="BT368" s="3350">
        <f t="shared" si="234"/>
        <v>0</v>
      </c>
    </row>
    <row r="369" spans="1:72">
      <c r="A369" s="1407"/>
      <c r="B369" s="3296"/>
      <c r="C369" s="3296"/>
      <c r="D369" s="3297"/>
      <c r="E369" s="3298">
        <f t="shared" si="235"/>
        <v>0</v>
      </c>
      <c r="F369" s="3299"/>
      <c r="G369" s="3300">
        <f t="shared" si="210"/>
        <v>0</v>
      </c>
      <c r="H369" s="3301">
        <f t="shared" si="211"/>
        <v>0</v>
      </c>
      <c r="I369" s="3308"/>
      <c r="J369" s="3308"/>
      <c r="K369" s="3308"/>
      <c r="L369" s="3308"/>
      <c r="M369" s="3308"/>
      <c r="N369" s="3308"/>
      <c r="O369" s="3308"/>
      <c r="P369" s="3308"/>
      <c r="Q369" s="3308"/>
      <c r="R369" s="3308"/>
      <c r="S369" s="3308"/>
      <c r="T369" s="3308"/>
      <c r="U369" s="3308"/>
      <c r="V369" s="3308"/>
      <c r="W369" s="3308"/>
      <c r="X369" s="3308"/>
      <c r="Y369" s="3308"/>
      <c r="Z369" s="3308"/>
      <c r="AA369" s="3308"/>
      <c r="AB369" s="3308"/>
      <c r="AC369" s="3298">
        <f t="shared" si="212"/>
        <v>0</v>
      </c>
      <c r="AD369" s="3318"/>
      <c r="AE369" s="3318"/>
      <c r="AF369" s="3318"/>
      <c r="AG369" s="3318"/>
      <c r="AH369" s="3318"/>
      <c r="AI369" s="3318"/>
      <c r="AJ369" s="3318"/>
      <c r="AK369" s="3318"/>
      <c r="AL369" s="3318"/>
      <c r="AM369" s="3318"/>
      <c r="AN369" s="3318"/>
      <c r="AO369" s="3318"/>
      <c r="AP369" s="3318"/>
      <c r="AQ369" s="3318"/>
      <c r="AR369" s="3318"/>
      <c r="AS369" s="3318"/>
      <c r="AT369" s="3328"/>
      <c r="AU369" s="3329"/>
      <c r="AV369" s="963">
        <f t="shared" si="236"/>
        <v>0</v>
      </c>
      <c r="AW369" s="963">
        <f t="shared" si="237"/>
        <v>0</v>
      </c>
      <c r="AX369" s="963">
        <f t="shared" si="238"/>
        <v>0</v>
      </c>
      <c r="AY369" s="3343">
        <f t="shared" si="213"/>
        <v>0</v>
      </c>
      <c r="AZ369" s="3298">
        <f t="shared" si="214"/>
        <v>0</v>
      </c>
      <c r="BA369" s="3298">
        <f t="shared" si="215"/>
        <v>0</v>
      </c>
      <c r="BB369" s="3298">
        <f t="shared" si="216"/>
        <v>0</v>
      </c>
      <c r="BC369" s="3298">
        <f t="shared" si="217"/>
        <v>0</v>
      </c>
      <c r="BD369" s="3298">
        <f t="shared" si="218"/>
        <v>0</v>
      </c>
      <c r="BE369" s="3298">
        <f t="shared" si="219"/>
        <v>0</v>
      </c>
      <c r="BF369" s="3298">
        <f t="shared" si="220"/>
        <v>0</v>
      </c>
      <c r="BG369" s="3298">
        <f t="shared" si="221"/>
        <v>0</v>
      </c>
      <c r="BH369" s="3298">
        <f t="shared" si="222"/>
        <v>0</v>
      </c>
      <c r="BI369" s="3298">
        <f t="shared" si="223"/>
        <v>0</v>
      </c>
      <c r="BJ369" s="3298">
        <f t="shared" si="224"/>
        <v>0</v>
      </c>
      <c r="BK369" s="3298">
        <f t="shared" si="225"/>
        <v>0</v>
      </c>
      <c r="BL369" s="3298">
        <f t="shared" si="226"/>
        <v>0</v>
      </c>
      <c r="BM369" s="3298">
        <f t="shared" si="227"/>
        <v>0</v>
      </c>
      <c r="BN369" s="3298">
        <f t="shared" si="228"/>
        <v>0</v>
      </c>
      <c r="BO369" s="3298">
        <f t="shared" si="229"/>
        <v>0</v>
      </c>
      <c r="BP369" s="3298">
        <f t="shared" si="230"/>
        <v>0</v>
      </c>
      <c r="BQ369" s="3298">
        <f t="shared" si="231"/>
        <v>0</v>
      </c>
      <c r="BR369" s="3298">
        <f t="shared" si="232"/>
        <v>0</v>
      </c>
      <c r="BS369" s="3298">
        <f t="shared" si="233"/>
        <v>0</v>
      </c>
      <c r="BT369" s="3350">
        <f t="shared" si="234"/>
        <v>0</v>
      </c>
    </row>
    <row r="370" spans="1:72">
      <c r="A370" s="1407"/>
      <c r="B370" s="3296"/>
      <c r="C370" s="3296"/>
      <c r="D370" s="3297"/>
      <c r="E370" s="3298">
        <f t="shared" si="235"/>
        <v>0</v>
      </c>
      <c r="F370" s="3299"/>
      <c r="G370" s="3300">
        <f t="shared" si="210"/>
        <v>0</v>
      </c>
      <c r="H370" s="3301">
        <f t="shared" si="211"/>
        <v>0</v>
      </c>
      <c r="I370" s="3308"/>
      <c r="J370" s="3308"/>
      <c r="K370" s="3308"/>
      <c r="L370" s="3308"/>
      <c r="M370" s="3308"/>
      <c r="N370" s="3308"/>
      <c r="O370" s="3308"/>
      <c r="P370" s="3308"/>
      <c r="Q370" s="3308"/>
      <c r="R370" s="3308"/>
      <c r="S370" s="3308"/>
      <c r="T370" s="3308"/>
      <c r="U370" s="3308"/>
      <c r="V370" s="3308"/>
      <c r="W370" s="3308"/>
      <c r="X370" s="3308"/>
      <c r="Y370" s="3308"/>
      <c r="Z370" s="3308"/>
      <c r="AA370" s="3308"/>
      <c r="AB370" s="3308"/>
      <c r="AC370" s="3298">
        <f t="shared" si="212"/>
        <v>0</v>
      </c>
      <c r="AD370" s="3318"/>
      <c r="AE370" s="3318"/>
      <c r="AF370" s="3318"/>
      <c r="AG370" s="3318"/>
      <c r="AH370" s="3318"/>
      <c r="AI370" s="3318"/>
      <c r="AJ370" s="3318"/>
      <c r="AK370" s="3318"/>
      <c r="AL370" s="3318"/>
      <c r="AM370" s="3318"/>
      <c r="AN370" s="3318"/>
      <c r="AO370" s="3318"/>
      <c r="AP370" s="3318"/>
      <c r="AQ370" s="3318"/>
      <c r="AR370" s="3318"/>
      <c r="AS370" s="3318"/>
      <c r="AT370" s="3328"/>
      <c r="AU370" s="3329"/>
      <c r="AV370" s="963">
        <f t="shared" si="236"/>
        <v>0</v>
      </c>
      <c r="AW370" s="963">
        <f t="shared" si="237"/>
        <v>0</v>
      </c>
      <c r="AX370" s="963">
        <f t="shared" si="238"/>
        <v>0</v>
      </c>
      <c r="AY370" s="3343">
        <f t="shared" si="213"/>
        <v>0</v>
      </c>
      <c r="AZ370" s="3298">
        <f t="shared" si="214"/>
        <v>0</v>
      </c>
      <c r="BA370" s="3298">
        <f t="shared" si="215"/>
        <v>0</v>
      </c>
      <c r="BB370" s="3298">
        <f t="shared" si="216"/>
        <v>0</v>
      </c>
      <c r="BC370" s="3298">
        <f t="shared" si="217"/>
        <v>0</v>
      </c>
      <c r="BD370" s="3298">
        <f t="shared" si="218"/>
        <v>0</v>
      </c>
      <c r="BE370" s="3298">
        <f t="shared" si="219"/>
        <v>0</v>
      </c>
      <c r="BF370" s="3298">
        <f t="shared" si="220"/>
        <v>0</v>
      </c>
      <c r="BG370" s="3298">
        <f t="shared" si="221"/>
        <v>0</v>
      </c>
      <c r="BH370" s="3298">
        <f t="shared" si="222"/>
        <v>0</v>
      </c>
      <c r="BI370" s="3298">
        <f t="shared" si="223"/>
        <v>0</v>
      </c>
      <c r="BJ370" s="3298">
        <f t="shared" si="224"/>
        <v>0</v>
      </c>
      <c r="BK370" s="3298">
        <f t="shared" si="225"/>
        <v>0</v>
      </c>
      <c r="BL370" s="3298">
        <f t="shared" si="226"/>
        <v>0</v>
      </c>
      <c r="BM370" s="3298">
        <f t="shared" si="227"/>
        <v>0</v>
      </c>
      <c r="BN370" s="3298">
        <f t="shared" si="228"/>
        <v>0</v>
      </c>
      <c r="BO370" s="3298">
        <f t="shared" si="229"/>
        <v>0</v>
      </c>
      <c r="BP370" s="3298">
        <f t="shared" si="230"/>
        <v>0</v>
      </c>
      <c r="BQ370" s="3298">
        <f t="shared" si="231"/>
        <v>0</v>
      </c>
      <c r="BR370" s="3298">
        <f t="shared" si="232"/>
        <v>0</v>
      </c>
      <c r="BS370" s="3298">
        <f t="shared" si="233"/>
        <v>0</v>
      </c>
      <c r="BT370" s="3350">
        <f t="shared" si="234"/>
        <v>0</v>
      </c>
    </row>
    <row r="371" spans="1:72">
      <c r="A371" s="1407"/>
      <c r="B371" s="3296"/>
      <c r="C371" s="3296"/>
      <c r="D371" s="3297"/>
      <c r="E371" s="3298">
        <f t="shared" si="235"/>
        <v>0</v>
      </c>
      <c r="F371" s="3299"/>
      <c r="G371" s="3300">
        <f t="shared" si="210"/>
        <v>0</v>
      </c>
      <c r="H371" s="3301">
        <f t="shared" si="211"/>
        <v>0</v>
      </c>
      <c r="I371" s="3308"/>
      <c r="J371" s="3308"/>
      <c r="K371" s="3308"/>
      <c r="L371" s="3308"/>
      <c r="M371" s="3308"/>
      <c r="N371" s="3308"/>
      <c r="O371" s="3308"/>
      <c r="P371" s="3308"/>
      <c r="Q371" s="3308"/>
      <c r="R371" s="3308"/>
      <c r="S371" s="3308"/>
      <c r="T371" s="3308"/>
      <c r="U371" s="3308"/>
      <c r="V371" s="3308"/>
      <c r="W371" s="3308"/>
      <c r="X371" s="3308"/>
      <c r="Y371" s="3308"/>
      <c r="Z371" s="3308"/>
      <c r="AA371" s="3308"/>
      <c r="AB371" s="3308"/>
      <c r="AC371" s="3298">
        <f t="shared" si="212"/>
        <v>0</v>
      </c>
      <c r="AD371" s="3318"/>
      <c r="AE371" s="3318"/>
      <c r="AF371" s="3318"/>
      <c r="AG371" s="3318"/>
      <c r="AH371" s="3318"/>
      <c r="AI371" s="3318"/>
      <c r="AJ371" s="3318"/>
      <c r="AK371" s="3318"/>
      <c r="AL371" s="3318"/>
      <c r="AM371" s="3318"/>
      <c r="AN371" s="3318"/>
      <c r="AO371" s="3318"/>
      <c r="AP371" s="3318"/>
      <c r="AQ371" s="3318"/>
      <c r="AR371" s="3318"/>
      <c r="AS371" s="3318"/>
      <c r="AT371" s="3328"/>
      <c r="AU371" s="3329"/>
      <c r="AV371" s="963">
        <f t="shared" si="236"/>
        <v>0</v>
      </c>
      <c r="AW371" s="963">
        <f t="shared" si="237"/>
        <v>0</v>
      </c>
      <c r="AX371" s="963">
        <f t="shared" si="238"/>
        <v>0</v>
      </c>
      <c r="AY371" s="3343">
        <f t="shared" si="213"/>
        <v>0</v>
      </c>
      <c r="AZ371" s="3298">
        <f t="shared" si="214"/>
        <v>0</v>
      </c>
      <c r="BA371" s="3298">
        <f t="shared" si="215"/>
        <v>0</v>
      </c>
      <c r="BB371" s="3298">
        <f t="shared" si="216"/>
        <v>0</v>
      </c>
      <c r="BC371" s="3298">
        <f t="shared" si="217"/>
        <v>0</v>
      </c>
      <c r="BD371" s="3298">
        <f t="shared" si="218"/>
        <v>0</v>
      </c>
      <c r="BE371" s="3298">
        <f t="shared" si="219"/>
        <v>0</v>
      </c>
      <c r="BF371" s="3298">
        <f t="shared" si="220"/>
        <v>0</v>
      </c>
      <c r="BG371" s="3298">
        <f t="shared" si="221"/>
        <v>0</v>
      </c>
      <c r="BH371" s="3298">
        <f t="shared" si="222"/>
        <v>0</v>
      </c>
      <c r="BI371" s="3298">
        <f t="shared" si="223"/>
        <v>0</v>
      </c>
      <c r="BJ371" s="3298">
        <f t="shared" si="224"/>
        <v>0</v>
      </c>
      <c r="BK371" s="3298">
        <f t="shared" si="225"/>
        <v>0</v>
      </c>
      <c r="BL371" s="3298">
        <f t="shared" si="226"/>
        <v>0</v>
      </c>
      <c r="BM371" s="3298">
        <f t="shared" si="227"/>
        <v>0</v>
      </c>
      <c r="BN371" s="3298">
        <f t="shared" si="228"/>
        <v>0</v>
      </c>
      <c r="BO371" s="3298">
        <f t="shared" si="229"/>
        <v>0</v>
      </c>
      <c r="BP371" s="3298">
        <f t="shared" si="230"/>
        <v>0</v>
      </c>
      <c r="BQ371" s="3298">
        <f t="shared" si="231"/>
        <v>0</v>
      </c>
      <c r="BR371" s="3298">
        <f t="shared" si="232"/>
        <v>0</v>
      </c>
      <c r="BS371" s="3298">
        <f t="shared" si="233"/>
        <v>0</v>
      </c>
      <c r="BT371" s="3350">
        <f t="shared" si="234"/>
        <v>0</v>
      </c>
    </row>
    <row r="372" spans="1:72">
      <c r="A372" s="1407"/>
      <c r="B372" s="3296"/>
      <c r="C372" s="3296"/>
      <c r="D372" s="3297"/>
      <c r="E372" s="3298">
        <f t="shared" si="235"/>
        <v>0</v>
      </c>
      <c r="F372" s="3299"/>
      <c r="G372" s="3300">
        <f t="shared" si="210"/>
        <v>0</v>
      </c>
      <c r="H372" s="3301">
        <f t="shared" si="211"/>
        <v>0</v>
      </c>
      <c r="I372" s="3308"/>
      <c r="J372" s="3308"/>
      <c r="K372" s="3308"/>
      <c r="L372" s="3308"/>
      <c r="M372" s="3308"/>
      <c r="N372" s="3308"/>
      <c r="O372" s="3308"/>
      <c r="P372" s="3308"/>
      <c r="Q372" s="3308"/>
      <c r="R372" s="3308"/>
      <c r="S372" s="3308"/>
      <c r="T372" s="3308"/>
      <c r="U372" s="3308"/>
      <c r="V372" s="3308"/>
      <c r="W372" s="3308"/>
      <c r="X372" s="3308"/>
      <c r="Y372" s="3308"/>
      <c r="Z372" s="3308"/>
      <c r="AA372" s="3308"/>
      <c r="AB372" s="3308"/>
      <c r="AC372" s="3298">
        <f t="shared" si="212"/>
        <v>0</v>
      </c>
      <c r="AD372" s="3318"/>
      <c r="AE372" s="3318"/>
      <c r="AF372" s="3318"/>
      <c r="AG372" s="3318"/>
      <c r="AH372" s="3318"/>
      <c r="AI372" s="3318"/>
      <c r="AJ372" s="3318"/>
      <c r="AK372" s="3318"/>
      <c r="AL372" s="3318"/>
      <c r="AM372" s="3318"/>
      <c r="AN372" s="3318"/>
      <c r="AO372" s="3318"/>
      <c r="AP372" s="3318"/>
      <c r="AQ372" s="3318"/>
      <c r="AR372" s="3318"/>
      <c r="AS372" s="3318"/>
      <c r="AT372" s="3328"/>
      <c r="AU372" s="3329"/>
      <c r="AV372" s="963">
        <f t="shared" si="236"/>
        <v>0</v>
      </c>
      <c r="AW372" s="963">
        <f t="shared" si="237"/>
        <v>0</v>
      </c>
      <c r="AX372" s="963">
        <f t="shared" si="238"/>
        <v>0</v>
      </c>
      <c r="AY372" s="3343">
        <f t="shared" si="213"/>
        <v>0</v>
      </c>
      <c r="AZ372" s="3298">
        <f t="shared" si="214"/>
        <v>0</v>
      </c>
      <c r="BA372" s="3298">
        <f t="shared" si="215"/>
        <v>0</v>
      </c>
      <c r="BB372" s="3298">
        <f t="shared" si="216"/>
        <v>0</v>
      </c>
      <c r="BC372" s="3298">
        <f t="shared" si="217"/>
        <v>0</v>
      </c>
      <c r="BD372" s="3298">
        <f t="shared" si="218"/>
        <v>0</v>
      </c>
      <c r="BE372" s="3298">
        <f t="shared" si="219"/>
        <v>0</v>
      </c>
      <c r="BF372" s="3298">
        <f t="shared" si="220"/>
        <v>0</v>
      </c>
      <c r="BG372" s="3298">
        <f t="shared" si="221"/>
        <v>0</v>
      </c>
      <c r="BH372" s="3298">
        <f t="shared" si="222"/>
        <v>0</v>
      </c>
      <c r="BI372" s="3298">
        <f t="shared" si="223"/>
        <v>0</v>
      </c>
      <c r="BJ372" s="3298">
        <f t="shared" si="224"/>
        <v>0</v>
      </c>
      <c r="BK372" s="3298">
        <f t="shared" si="225"/>
        <v>0</v>
      </c>
      <c r="BL372" s="3298">
        <f t="shared" si="226"/>
        <v>0</v>
      </c>
      <c r="BM372" s="3298">
        <f t="shared" si="227"/>
        <v>0</v>
      </c>
      <c r="BN372" s="3298">
        <f t="shared" si="228"/>
        <v>0</v>
      </c>
      <c r="BO372" s="3298">
        <f t="shared" si="229"/>
        <v>0</v>
      </c>
      <c r="BP372" s="3298">
        <f t="shared" si="230"/>
        <v>0</v>
      </c>
      <c r="BQ372" s="3298">
        <f t="shared" si="231"/>
        <v>0</v>
      </c>
      <c r="BR372" s="3298">
        <f t="shared" si="232"/>
        <v>0</v>
      </c>
      <c r="BS372" s="3298">
        <f t="shared" si="233"/>
        <v>0</v>
      </c>
      <c r="BT372" s="3350">
        <f t="shared" si="234"/>
        <v>0</v>
      </c>
    </row>
    <row r="373" spans="1:72">
      <c r="A373" s="1407"/>
      <c r="B373" s="3296"/>
      <c r="C373" s="3296"/>
      <c r="D373" s="3297"/>
      <c r="E373" s="3298">
        <f t="shared" si="235"/>
        <v>0</v>
      </c>
      <c r="F373" s="3299"/>
      <c r="G373" s="3300">
        <f t="shared" si="210"/>
        <v>0</v>
      </c>
      <c r="H373" s="3301">
        <f t="shared" si="211"/>
        <v>0</v>
      </c>
      <c r="I373" s="3308"/>
      <c r="J373" s="3308"/>
      <c r="K373" s="3308"/>
      <c r="L373" s="3308"/>
      <c r="M373" s="3308"/>
      <c r="N373" s="3308"/>
      <c r="O373" s="3308"/>
      <c r="P373" s="3308"/>
      <c r="Q373" s="3308"/>
      <c r="R373" s="3308"/>
      <c r="S373" s="3308"/>
      <c r="T373" s="3308"/>
      <c r="U373" s="3308"/>
      <c r="V373" s="3308"/>
      <c r="W373" s="3308"/>
      <c r="X373" s="3308"/>
      <c r="Y373" s="3308"/>
      <c r="Z373" s="3308"/>
      <c r="AA373" s="3308"/>
      <c r="AB373" s="3308"/>
      <c r="AC373" s="3298">
        <f t="shared" si="212"/>
        <v>0</v>
      </c>
      <c r="AD373" s="3318"/>
      <c r="AE373" s="3318"/>
      <c r="AF373" s="3318"/>
      <c r="AG373" s="3318"/>
      <c r="AH373" s="3318"/>
      <c r="AI373" s="3318"/>
      <c r="AJ373" s="3318"/>
      <c r="AK373" s="3318"/>
      <c r="AL373" s="3318"/>
      <c r="AM373" s="3318"/>
      <c r="AN373" s="3318"/>
      <c r="AO373" s="3318"/>
      <c r="AP373" s="3318"/>
      <c r="AQ373" s="3318"/>
      <c r="AR373" s="3318"/>
      <c r="AS373" s="3318"/>
      <c r="AT373" s="3328"/>
      <c r="AU373" s="3329"/>
      <c r="AV373" s="963">
        <f t="shared" si="236"/>
        <v>0</v>
      </c>
      <c r="AW373" s="963">
        <f t="shared" si="237"/>
        <v>0</v>
      </c>
      <c r="AX373" s="963">
        <f t="shared" si="238"/>
        <v>0</v>
      </c>
      <c r="AY373" s="3343">
        <f t="shared" si="213"/>
        <v>0</v>
      </c>
      <c r="AZ373" s="3298">
        <f t="shared" si="214"/>
        <v>0</v>
      </c>
      <c r="BA373" s="3298">
        <f t="shared" si="215"/>
        <v>0</v>
      </c>
      <c r="BB373" s="3298">
        <f t="shared" si="216"/>
        <v>0</v>
      </c>
      <c r="BC373" s="3298">
        <f t="shared" si="217"/>
        <v>0</v>
      </c>
      <c r="BD373" s="3298">
        <f t="shared" si="218"/>
        <v>0</v>
      </c>
      <c r="BE373" s="3298">
        <f t="shared" si="219"/>
        <v>0</v>
      </c>
      <c r="BF373" s="3298">
        <f t="shared" si="220"/>
        <v>0</v>
      </c>
      <c r="BG373" s="3298">
        <f t="shared" si="221"/>
        <v>0</v>
      </c>
      <c r="BH373" s="3298">
        <f t="shared" si="222"/>
        <v>0</v>
      </c>
      <c r="BI373" s="3298">
        <f t="shared" si="223"/>
        <v>0</v>
      </c>
      <c r="BJ373" s="3298">
        <f t="shared" si="224"/>
        <v>0</v>
      </c>
      <c r="BK373" s="3298">
        <f t="shared" si="225"/>
        <v>0</v>
      </c>
      <c r="BL373" s="3298">
        <f t="shared" si="226"/>
        <v>0</v>
      </c>
      <c r="BM373" s="3298">
        <f t="shared" si="227"/>
        <v>0</v>
      </c>
      <c r="BN373" s="3298">
        <f t="shared" si="228"/>
        <v>0</v>
      </c>
      <c r="BO373" s="3298">
        <f t="shared" si="229"/>
        <v>0</v>
      </c>
      <c r="BP373" s="3298">
        <f t="shared" si="230"/>
        <v>0</v>
      </c>
      <c r="BQ373" s="3298">
        <f t="shared" si="231"/>
        <v>0</v>
      </c>
      <c r="BR373" s="3298">
        <f t="shared" si="232"/>
        <v>0</v>
      </c>
      <c r="BS373" s="3298">
        <f t="shared" si="233"/>
        <v>0</v>
      </c>
      <c r="BT373" s="3350">
        <f t="shared" si="234"/>
        <v>0</v>
      </c>
    </row>
    <row r="374" spans="1:72">
      <c r="A374" s="1407"/>
      <c r="B374" s="3296"/>
      <c r="C374" s="3296"/>
      <c r="D374" s="3297"/>
      <c r="E374" s="3298">
        <f t="shared" si="235"/>
        <v>0</v>
      </c>
      <c r="F374" s="3299"/>
      <c r="G374" s="3300">
        <f t="shared" si="210"/>
        <v>0</v>
      </c>
      <c r="H374" s="3301">
        <f t="shared" si="211"/>
        <v>0</v>
      </c>
      <c r="I374" s="3308"/>
      <c r="J374" s="3308"/>
      <c r="K374" s="3308"/>
      <c r="L374" s="3308"/>
      <c r="M374" s="3308"/>
      <c r="N374" s="3308"/>
      <c r="O374" s="3308"/>
      <c r="P374" s="3308"/>
      <c r="Q374" s="3308"/>
      <c r="R374" s="3308"/>
      <c r="S374" s="3308"/>
      <c r="T374" s="3308"/>
      <c r="U374" s="3308"/>
      <c r="V374" s="3308"/>
      <c r="W374" s="3308"/>
      <c r="X374" s="3308"/>
      <c r="Y374" s="3308"/>
      <c r="Z374" s="3308"/>
      <c r="AA374" s="3308"/>
      <c r="AB374" s="3308"/>
      <c r="AC374" s="3298">
        <f t="shared" si="212"/>
        <v>0</v>
      </c>
      <c r="AD374" s="3318"/>
      <c r="AE374" s="3318"/>
      <c r="AF374" s="3318"/>
      <c r="AG374" s="3318"/>
      <c r="AH374" s="3318"/>
      <c r="AI374" s="3318"/>
      <c r="AJ374" s="3318"/>
      <c r="AK374" s="3318"/>
      <c r="AL374" s="3318"/>
      <c r="AM374" s="3318"/>
      <c r="AN374" s="3318"/>
      <c r="AO374" s="3318"/>
      <c r="AP374" s="3318"/>
      <c r="AQ374" s="3318"/>
      <c r="AR374" s="3318"/>
      <c r="AS374" s="3318"/>
      <c r="AT374" s="3328"/>
      <c r="AU374" s="3329"/>
      <c r="AV374" s="963">
        <f t="shared" si="236"/>
        <v>0</v>
      </c>
      <c r="AW374" s="963">
        <f t="shared" si="237"/>
        <v>0</v>
      </c>
      <c r="AX374" s="963">
        <f t="shared" si="238"/>
        <v>0</v>
      </c>
      <c r="AY374" s="3343">
        <f t="shared" si="213"/>
        <v>0</v>
      </c>
      <c r="AZ374" s="3298">
        <f t="shared" si="214"/>
        <v>0</v>
      </c>
      <c r="BA374" s="3298">
        <f t="shared" si="215"/>
        <v>0</v>
      </c>
      <c r="BB374" s="3298">
        <f t="shared" si="216"/>
        <v>0</v>
      </c>
      <c r="BC374" s="3298">
        <f t="shared" si="217"/>
        <v>0</v>
      </c>
      <c r="BD374" s="3298">
        <f t="shared" si="218"/>
        <v>0</v>
      </c>
      <c r="BE374" s="3298">
        <f t="shared" si="219"/>
        <v>0</v>
      </c>
      <c r="BF374" s="3298">
        <f t="shared" si="220"/>
        <v>0</v>
      </c>
      <c r="BG374" s="3298">
        <f t="shared" si="221"/>
        <v>0</v>
      </c>
      <c r="BH374" s="3298">
        <f t="shared" si="222"/>
        <v>0</v>
      </c>
      <c r="BI374" s="3298">
        <f t="shared" si="223"/>
        <v>0</v>
      </c>
      <c r="BJ374" s="3298">
        <f t="shared" si="224"/>
        <v>0</v>
      </c>
      <c r="BK374" s="3298">
        <f t="shared" si="225"/>
        <v>0</v>
      </c>
      <c r="BL374" s="3298">
        <f t="shared" si="226"/>
        <v>0</v>
      </c>
      <c r="BM374" s="3298">
        <f t="shared" si="227"/>
        <v>0</v>
      </c>
      <c r="BN374" s="3298">
        <f t="shared" si="228"/>
        <v>0</v>
      </c>
      <c r="BO374" s="3298">
        <f t="shared" si="229"/>
        <v>0</v>
      </c>
      <c r="BP374" s="3298">
        <f t="shared" si="230"/>
        <v>0</v>
      </c>
      <c r="BQ374" s="3298">
        <f t="shared" si="231"/>
        <v>0</v>
      </c>
      <c r="BR374" s="3298">
        <f t="shared" si="232"/>
        <v>0</v>
      </c>
      <c r="BS374" s="3298">
        <f t="shared" si="233"/>
        <v>0</v>
      </c>
      <c r="BT374" s="3350">
        <f t="shared" si="234"/>
        <v>0</v>
      </c>
    </row>
    <row r="375" spans="1:72">
      <c r="A375" s="1407"/>
      <c r="B375" s="3296"/>
      <c r="C375" s="3296"/>
      <c r="D375" s="3297"/>
      <c r="E375" s="3298">
        <f t="shared" si="235"/>
        <v>0</v>
      </c>
      <c r="F375" s="3299"/>
      <c r="G375" s="3300">
        <f t="shared" si="210"/>
        <v>0</v>
      </c>
      <c r="H375" s="3301">
        <f t="shared" si="211"/>
        <v>0</v>
      </c>
      <c r="I375" s="3308"/>
      <c r="J375" s="3308"/>
      <c r="K375" s="3308"/>
      <c r="L375" s="3308"/>
      <c r="M375" s="3308"/>
      <c r="N375" s="3308"/>
      <c r="O375" s="3308"/>
      <c r="P375" s="3308"/>
      <c r="Q375" s="3308"/>
      <c r="R375" s="3308"/>
      <c r="S375" s="3308"/>
      <c r="T375" s="3308"/>
      <c r="U375" s="3308"/>
      <c r="V375" s="3308"/>
      <c r="W375" s="3308"/>
      <c r="X375" s="3308"/>
      <c r="Y375" s="3308"/>
      <c r="Z375" s="3308"/>
      <c r="AA375" s="3308"/>
      <c r="AB375" s="3308"/>
      <c r="AC375" s="3298">
        <f t="shared" si="212"/>
        <v>0</v>
      </c>
      <c r="AD375" s="3318"/>
      <c r="AE375" s="3318"/>
      <c r="AF375" s="3318"/>
      <c r="AG375" s="3318"/>
      <c r="AH375" s="3318"/>
      <c r="AI375" s="3318"/>
      <c r="AJ375" s="3318"/>
      <c r="AK375" s="3318"/>
      <c r="AL375" s="3318"/>
      <c r="AM375" s="3318"/>
      <c r="AN375" s="3318"/>
      <c r="AO375" s="3318"/>
      <c r="AP375" s="3318"/>
      <c r="AQ375" s="3318"/>
      <c r="AR375" s="3318"/>
      <c r="AS375" s="3318"/>
      <c r="AT375" s="3328"/>
      <c r="AU375" s="3329"/>
      <c r="AV375" s="963">
        <f t="shared" si="236"/>
        <v>0</v>
      </c>
      <c r="AW375" s="963">
        <f t="shared" si="237"/>
        <v>0</v>
      </c>
      <c r="AX375" s="963">
        <f t="shared" si="238"/>
        <v>0</v>
      </c>
      <c r="AY375" s="3343">
        <f t="shared" si="213"/>
        <v>0</v>
      </c>
      <c r="AZ375" s="3298">
        <f t="shared" si="214"/>
        <v>0</v>
      </c>
      <c r="BA375" s="3298">
        <f t="shared" si="215"/>
        <v>0</v>
      </c>
      <c r="BB375" s="3298">
        <f t="shared" si="216"/>
        <v>0</v>
      </c>
      <c r="BC375" s="3298">
        <f t="shared" si="217"/>
        <v>0</v>
      </c>
      <c r="BD375" s="3298">
        <f t="shared" si="218"/>
        <v>0</v>
      </c>
      <c r="BE375" s="3298">
        <f t="shared" si="219"/>
        <v>0</v>
      </c>
      <c r="BF375" s="3298">
        <f t="shared" si="220"/>
        <v>0</v>
      </c>
      <c r="BG375" s="3298">
        <f t="shared" si="221"/>
        <v>0</v>
      </c>
      <c r="BH375" s="3298">
        <f t="shared" si="222"/>
        <v>0</v>
      </c>
      <c r="BI375" s="3298">
        <f t="shared" si="223"/>
        <v>0</v>
      </c>
      <c r="BJ375" s="3298">
        <f t="shared" si="224"/>
        <v>0</v>
      </c>
      <c r="BK375" s="3298">
        <f t="shared" si="225"/>
        <v>0</v>
      </c>
      <c r="BL375" s="3298">
        <f t="shared" si="226"/>
        <v>0</v>
      </c>
      <c r="BM375" s="3298">
        <f t="shared" si="227"/>
        <v>0</v>
      </c>
      <c r="BN375" s="3298">
        <f t="shared" si="228"/>
        <v>0</v>
      </c>
      <c r="BO375" s="3298">
        <f t="shared" si="229"/>
        <v>0</v>
      </c>
      <c r="BP375" s="3298">
        <f t="shared" si="230"/>
        <v>0</v>
      </c>
      <c r="BQ375" s="3298">
        <f t="shared" si="231"/>
        <v>0</v>
      </c>
      <c r="BR375" s="3298">
        <f t="shared" si="232"/>
        <v>0</v>
      </c>
      <c r="BS375" s="3298">
        <f t="shared" si="233"/>
        <v>0</v>
      </c>
      <c r="BT375" s="3350">
        <f t="shared" si="234"/>
        <v>0</v>
      </c>
    </row>
    <row r="376" spans="1:72">
      <c r="A376" s="1407"/>
      <c r="B376" s="3296"/>
      <c r="C376" s="3296"/>
      <c r="D376" s="3297"/>
      <c r="E376" s="3298">
        <f t="shared" si="235"/>
        <v>0</v>
      </c>
      <c r="F376" s="3299"/>
      <c r="G376" s="3300">
        <f t="shared" si="210"/>
        <v>0</v>
      </c>
      <c r="H376" s="3301">
        <f t="shared" si="211"/>
        <v>0</v>
      </c>
      <c r="I376" s="3308"/>
      <c r="J376" s="3308"/>
      <c r="K376" s="3308"/>
      <c r="L376" s="3308"/>
      <c r="M376" s="3308"/>
      <c r="N376" s="3308"/>
      <c r="O376" s="3308"/>
      <c r="P376" s="3308"/>
      <c r="Q376" s="3308"/>
      <c r="R376" s="3308"/>
      <c r="S376" s="3308"/>
      <c r="T376" s="3308"/>
      <c r="U376" s="3308"/>
      <c r="V376" s="3308"/>
      <c r="W376" s="3308"/>
      <c r="X376" s="3308"/>
      <c r="Y376" s="3308"/>
      <c r="Z376" s="3308"/>
      <c r="AA376" s="3308"/>
      <c r="AB376" s="3308"/>
      <c r="AC376" s="3298">
        <f t="shared" si="212"/>
        <v>0</v>
      </c>
      <c r="AD376" s="3318"/>
      <c r="AE376" s="3318"/>
      <c r="AF376" s="3318"/>
      <c r="AG376" s="3318"/>
      <c r="AH376" s="3318"/>
      <c r="AI376" s="3318"/>
      <c r="AJ376" s="3318"/>
      <c r="AK376" s="3318"/>
      <c r="AL376" s="3318"/>
      <c r="AM376" s="3318"/>
      <c r="AN376" s="3318"/>
      <c r="AO376" s="3318"/>
      <c r="AP376" s="3318"/>
      <c r="AQ376" s="3318"/>
      <c r="AR376" s="3318"/>
      <c r="AS376" s="3318"/>
      <c r="AT376" s="3328"/>
      <c r="AU376" s="3329"/>
      <c r="AV376" s="963">
        <f t="shared" si="236"/>
        <v>0</v>
      </c>
      <c r="AW376" s="963">
        <f t="shared" si="237"/>
        <v>0</v>
      </c>
      <c r="AX376" s="963">
        <f t="shared" si="238"/>
        <v>0</v>
      </c>
      <c r="AY376" s="3343">
        <f t="shared" si="213"/>
        <v>0</v>
      </c>
      <c r="AZ376" s="3298">
        <f t="shared" si="214"/>
        <v>0</v>
      </c>
      <c r="BA376" s="3298">
        <f t="shared" si="215"/>
        <v>0</v>
      </c>
      <c r="BB376" s="3298">
        <f t="shared" si="216"/>
        <v>0</v>
      </c>
      <c r="BC376" s="3298">
        <f t="shared" si="217"/>
        <v>0</v>
      </c>
      <c r="BD376" s="3298">
        <f t="shared" si="218"/>
        <v>0</v>
      </c>
      <c r="BE376" s="3298">
        <f t="shared" si="219"/>
        <v>0</v>
      </c>
      <c r="BF376" s="3298">
        <f t="shared" si="220"/>
        <v>0</v>
      </c>
      <c r="BG376" s="3298">
        <f t="shared" si="221"/>
        <v>0</v>
      </c>
      <c r="BH376" s="3298">
        <f t="shared" si="222"/>
        <v>0</v>
      </c>
      <c r="BI376" s="3298">
        <f t="shared" si="223"/>
        <v>0</v>
      </c>
      <c r="BJ376" s="3298">
        <f t="shared" si="224"/>
        <v>0</v>
      </c>
      <c r="BK376" s="3298">
        <f t="shared" si="225"/>
        <v>0</v>
      </c>
      <c r="BL376" s="3298">
        <f t="shared" si="226"/>
        <v>0</v>
      </c>
      <c r="BM376" s="3298">
        <f t="shared" si="227"/>
        <v>0</v>
      </c>
      <c r="BN376" s="3298">
        <f t="shared" si="228"/>
        <v>0</v>
      </c>
      <c r="BO376" s="3298">
        <f t="shared" si="229"/>
        <v>0</v>
      </c>
      <c r="BP376" s="3298">
        <f t="shared" si="230"/>
        <v>0</v>
      </c>
      <c r="BQ376" s="3298">
        <f t="shared" si="231"/>
        <v>0</v>
      </c>
      <c r="BR376" s="3298">
        <f t="shared" si="232"/>
        <v>0</v>
      </c>
      <c r="BS376" s="3298">
        <f t="shared" si="233"/>
        <v>0</v>
      </c>
      <c r="BT376" s="3350">
        <f t="shared" si="234"/>
        <v>0</v>
      </c>
    </row>
    <row r="377" spans="1:72">
      <c r="A377" s="1407"/>
      <c r="B377" s="3296"/>
      <c r="C377" s="3296"/>
      <c r="D377" s="3297"/>
      <c r="E377" s="3298">
        <f t="shared" si="235"/>
        <v>0</v>
      </c>
      <c r="F377" s="3299"/>
      <c r="G377" s="3300">
        <f t="shared" si="210"/>
        <v>0</v>
      </c>
      <c r="H377" s="3301">
        <f t="shared" si="211"/>
        <v>0</v>
      </c>
      <c r="I377" s="3308"/>
      <c r="J377" s="3308"/>
      <c r="K377" s="3308"/>
      <c r="L377" s="3308"/>
      <c r="M377" s="3308"/>
      <c r="N377" s="3308"/>
      <c r="O377" s="3308"/>
      <c r="P377" s="3308"/>
      <c r="Q377" s="3308"/>
      <c r="R377" s="3308"/>
      <c r="S377" s="3308"/>
      <c r="T377" s="3308"/>
      <c r="U377" s="3308"/>
      <c r="V377" s="3308"/>
      <c r="W377" s="3308"/>
      <c r="X377" s="3308"/>
      <c r="Y377" s="3308"/>
      <c r="Z377" s="3308"/>
      <c r="AA377" s="3308"/>
      <c r="AB377" s="3308"/>
      <c r="AC377" s="3298">
        <f t="shared" si="212"/>
        <v>0</v>
      </c>
      <c r="AD377" s="3318"/>
      <c r="AE377" s="3318"/>
      <c r="AF377" s="3318"/>
      <c r="AG377" s="3318"/>
      <c r="AH377" s="3318"/>
      <c r="AI377" s="3318"/>
      <c r="AJ377" s="3318"/>
      <c r="AK377" s="3318"/>
      <c r="AL377" s="3318"/>
      <c r="AM377" s="3318"/>
      <c r="AN377" s="3318"/>
      <c r="AO377" s="3318"/>
      <c r="AP377" s="3318"/>
      <c r="AQ377" s="3318"/>
      <c r="AR377" s="3318"/>
      <c r="AS377" s="3318"/>
      <c r="AT377" s="3328"/>
      <c r="AU377" s="3329"/>
      <c r="AV377" s="963">
        <f t="shared" si="236"/>
        <v>0</v>
      </c>
      <c r="AW377" s="963">
        <f t="shared" si="237"/>
        <v>0</v>
      </c>
      <c r="AX377" s="963">
        <f t="shared" si="238"/>
        <v>0</v>
      </c>
      <c r="AY377" s="3343">
        <f t="shared" si="213"/>
        <v>0</v>
      </c>
      <c r="AZ377" s="3298">
        <f t="shared" si="214"/>
        <v>0</v>
      </c>
      <c r="BA377" s="3298">
        <f t="shared" si="215"/>
        <v>0</v>
      </c>
      <c r="BB377" s="3298">
        <f t="shared" si="216"/>
        <v>0</v>
      </c>
      <c r="BC377" s="3298">
        <f t="shared" si="217"/>
        <v>0</v>
      </c>
      <c r="BD377" s="3298">
        <f t="shared" si="218"/>
        <v>0</v>
      </c>
      <c r="BE377" s="3298">
        <f t="shared" si="219"/>
        <v>0</v>
      </c>
      <c r="BF377" s="3298">
        <f t="shared" si="220"/>
        <v>0</v>
      </c>
      <c r="BG377" s="3298">
        <f t="shared" si="221"/>
        <v>0</v>
      </c>
      <c r="BH377" s="3298">
        <f t="shared" si="222"/>
        <v>0</v>
      </c>
      <c r="BI377" s="3298">
        <f t="shared" si="223"/>
        <v>0</v>
      </c>
      <c r="BJ377" s="3298">
        <f t="shared" si="224"/>
        <v>0</v>
      </c>
      <c r="BK377" s="3298">
        <f t="shared" si="225"/>
        <v>0</v>
      </c>
      <c r="BL377" s="3298">
        <f t="shared" si="226"/>
        <v>0</v>
      </c>
      <c r="BM377" s="3298">
        <f t="shared" si="227"/>
        <v>0</v>
      </c>
      <c r="BN377" s="3298">
        <f t="shared" si="228"/>
        <v>0</v>
      </c>
      <c r="BO377" s="3298">
        <f t="shared" si="229"/>
        <v>0</v>
      </c>
      <c r="BP377" s="3298">
        <f t="shared" si="230"/>
        <v>0</v>
      </c>
      <c r="BQ377" s="3298">
        <f t="shared" si="231"/>
        <v>0</v>
      </c>
      <c r="BR377" s="3298">
        <f t="shared" si="232"/>
        <v>0</v>
      </c>
      <c r="BS377" s="3298">
        <f t="shared" si="233"/>
        <v>0</v>
      </c>
      <c r="BT377" s="3350">
        <f t="shared" si="234"/>
        <v>0</v>
      </c>
    </row>
    <row r="378" spans="1:72">
      <c r="A378" s="1407"/>
      <c r="B378" s="3296"/>
      <c r="C378" s="3296"/>
      <c r="D378" s="3297"/>
      <c r="E378" s="3298">
        <f t="shared" si="235"/>
        <v>0</v>
      </c>
      <c r="F378" s="3299"/>
      <c r="G378" s="3300">
        <f t="shared" si="210"/>
        <v>0</v>
      </c>
      <c r="H378" s="3301">
        <f t="shared" si="211"/>
        <v>0</v>
      </c>
      <c r="I378" s="3308"/>
      <c r="J378" s="3308"/>
      <c r="K378" s="3308"/>
      <c r="L378" s="3308"/>
      <c r="M378" s="3308"/>
      <c r="N378" s="3308"/>
      <c r="O378" s="3308"/>
      <c r="P378" s="3308"/>
      <c r="Q378" s="3308"/>
      <c r="R378" s="3308"/>
      <c r="S378" s="3308"/>
      <c r="T378" s="3308"/>
      <c r="U378" s="3308"/>
      <c r="V378" s="3308"/>
      <c r="W378" s="3308"/>
      <c r="X378" s="3308"/>
      <c r="Y378" s="3308"/>
      <c r="Z378" s="3308"/>
      <c r="AA378" s="3308"/>
      <c r="AB378" s="3308"/>
      <c r="AC378" s="3298">
        <f t="shared" si="212"/>
        <v>0</v>
      </c>
      <c r="AD378" s="3318"/>
      <c r="AE378" s="3318"/>
      <c r="AF378" s="3318"/>
      <c r="AG378" s="3318"/>
      <c r="AH378" s="3318"/>
      <c r="AI378" s="3318"/>
      <c r="AJ378" s="3318"/>
      <c r="AK378" s="3318"/>
      <c r="AL378" s="3318"/>
      <c r="AM378" s="3318"/>
      <c r="AN378" s="3318"/>
      <c r="AO378" s="3318"/>
      <c r="AP378" s="3318"/>
      <c r="AQ378" s="3318"/>
      <c r="AR378" s="3318"/>
      <c r="AS378" s="3318"/>
      <c r="AT378" s="3328"/>
      <c r="AU378" s="3329"/>
      <c r="AV378" s="963">
        <f t="shared" si="236"/>
        <v>0</v>
      </c>
      <c r="AW378" s="963">
        <f t="shared" si="237"/>
        <v>0</v>
      </c>
      <c r="AX378" s="963">
        <f t="shared" si="238"/>
        <v>0</v>
      </c>
      <c r="AY378" s="3343">
        <f t="shared" si="213"/>
        <v>0</v>
      </c>
      <c r="AZ378" s="3298">
        <f t="shared" si="214"/>
        <v>0</v>
      </c>
      <c r="BA378" s="3298">
        <f t="shared" si="215"/>
        <v>0</v>
      </c>
      <c r="BB378" s="3298">
        <f t="shared" si="216"/>
        <v>0</v>
      </c>
      <c r="BC378" s="3298">
        <f t="shared" si="217"/>
        <v>0</v>
      </c>
      <c r="BD378" s="3298">
        <f t="shared" si="218"/>
        <v>0</v>
      </c>
      <c r="BE378" s="3298">
        <f t="shared" si="219"/>
        <v>0</v>
      </c>
      <c r="BF378" s="3298">
        <f t="shared" si="220"/>
        <v>0</v>
      </c>
      <c r="BG378" s="3298">
        <f t="shared" si="221"/>
        <v>0</v>
      </c>
      <c r="BH378" s="3298">
        <f t="shared" si="222"/>
        <v>0</v>
      </c>
      <c r="BI378" s="3298">
        <f t="shared" si="223"/>
        <v>0</v>
      </c>
      <c r="BJ378" s="3298">
        <f t="shared" si="224"/>
        <v>0</v>
      </c>
      <c r="BK378" s="3298">
        <f t="shared" si="225"/>
        <v>0</v>
      </c>
      <c r="BL378" s="3298">
        <f t="shared" si="226"/>
        <v>0</v>
      </c>
      <c r="BM378" s="3298">
        <f t="shared" si="227"/>
        <v>0</v>
      </c>
      <c r="BN378" s="3298">
        <f t="shared" si="228"/>
        <v>0</v>
      </c>
      <c r="BO378" s="3298">
        <f t="shared" si="229"/>
        <v>0</v>
      </c>
      <c r="BP378" s="3298">
        <f t="shared" si="230"/>
        <v>0</v>
      </c>
      <c r="BQ378" s="3298">
        <f t="shared" si="231"/>
        <v>0</v>
      </c>
      <c r="BR378" s="3298">
        <f t="shared" si="232"/>
        <v>0</v>
      </c>
      <c r="BS378" s="3298">
        <f t="shared" si="233"/>
        <v>0</v>
      </c>
      <c r="BT378" s="3350">
        <f t="shared" si="234"/>
        <v>0</v>
      </c>
    </row>
    <row r="379" spans="1:72">
      <c r="A379" s="1407"/>
      <c r="B379" s="3296"/>
      <c r="C379" s="3296"/>
      <c r="D379" s="3297"/>
      <c r="E379" s="3298">
        <f t="shared" si="235"/>
        <v>0</v>
      </c>
      <c r="F379" s="3299"/>
      <c r="G379" s="3300">
        <f t="shared" si="210"/>
        <v>0</v>
      </c>
      <c r="H379" s="3301">
        <f t="shared" si="211"/>
        <v>0</v>
      </c>
      <c r="I379" s="3308"/>
      <c r="J379" s="3308"/>
      <c r="K379" s="3308"/>
      <c r="L379" s="3308"/>
      <c r="M379" s="3308"/>
      <c r="N379" s="3308"/>
      <c r="O379" s="3308"/>
      <c r="P379" s="3308"/>
      <c r="Q379" s="3308"/>
      <c r="R379" s="3308"/>
      <c r="S379" s="3308"/>
      <c r="T379" s="3308"/>
      <c r="U379" s="3308"/>
      <c r="V379" s="3308"/>
      <c r="W379" s="3308"/>
      <c r="X379" s="3308"/>
      <c r="Y379" s="3308"/>
      <c r="Z379" s="3308"/>
      <c r="AA379" s="3308"/>
      <c r="AB379" s="3308"/>
      <c r="AC379" s="3298">
        <f t="shared" si="212"/>
        <v>0</v>
      </c>
      <c r="AD379" s="3318"/>
      <c r="AE379" s="3318"/>
      <c r="AF379" s="3318"/>
      <c r="AG379" s="3318"/>
      <c r="AH379" s="3318"/>
      <c r="AI379" s="3318"/>
      <c r="AJ379" s="3318"/>
      <c r="AK379" s="3318"/>
      <c r="AL379" s="3318"/>
      <c r="AM379" s="3318"/>
      <c r="AN379" s="3318"/>
      <c r="AO379" s="3318"/>
      <c r="AP379" s="3318"/>
      <c r="AQ379" s="3318"/>
      <c r="AR379" s="3318"/>
      <c r="AS379" s="3318"/>
      <c r="AT379" s="3328"/>
      <c r="AU379" s="3329"/>
      <c r="AV379" s="963">
        <f t="shared" si="236"/>
        <v>0</v>
      </c>
      <c r="AW379" s="963">
        <f t="shared" si="237"/>
        <v>0</v>
      </c>
      <c r="AX379" s="963">
        <f t="shared" si="238"/>
        <v>0</v>
      </c>
      <c r="AY379" s="3343">
        <f t="shared" si="213"/>
        <v>0</v>
      </c>
      <c r="AZ379" s="3298">
        <f t="shared" si="214"/>
        <v>0</v>
      </c>
      <c r="BA379" s="3298">
        <f t="shared" si="215"/>
        <v>0</v>
      </c>
      <c r="BB379" s="3298">
        <f t="shared" si="216"/>
        <v>0</v>
      </c>
      <c r="BC379" s="3298">
        <f t="shared" si="217"/>
        <v>0</v>
      </c>
      <c r="BD379" s="3298">
        <f t="shared" si="218"/>
        <v>0</v>
      </c>
      <c r="BE379" s="3298">
        <f t="shared" si="219"/>
        <v>0</v>
      </c>
      <c r="BF379" s="3298">
        <f t="shared" si="220"/>
        <v>0</v>
      </c>
      <c r="BG379" s="3298">
        <f t="shared" si="221"/>
        <v>0</v>
      </c>
      <c r="BH379" s="3298">
        <f t="shared" si="222"/>
        <v>0</v>
      </c>
      <c r="BI379" s="3298">
        <f t="shared" si="223"/>
        <v>0</v>
      </c>
      <c r="BJ379" s="3298">
        <f t="shared" si="224"/>
        <v>0</v>
      </c>
      <c r="BK379" s="3298">
        <f t="shared" si="225"/>
        <v>0</v>
      </c>
      <c r="BL379" s="3298">
        <f t="shared" si="226"/>
        <v>0</v>
      </c>
      <c r="BM379" s="3298">
        <f t="shared" si="227"/>
        <v>0</v>
      </c>
      <c r="BN379" s="3298">
        <f t="shared" si="228"/>
        <v>0</v>
      </c>
      <c r="BO379" s="3298">
        <f t="shared" si="229"/>
        <v>0</v>
      </c>
      <c r="BP379" s="3298">
        <f t="shared" si="230"/>
        <v>0</v>
      </c>
      <c r="BQ379" s="3298">
        <f t="shared" si="231"/>
        <v>0</v>
      </c>
      <c r="BR379" s="3298">
        <f t="shared" si="232"/>
        <v>0</v>
      </c>
      <c r="BS379" s="3298">
        <f t="shared" si="233"/>
        <v>0</v>
      </c>
      <c r="BT379" s="3350">
        <f t="shared" si="234"/>
        <v>0</v>
      </c>
    </row>
    <row r="380" spans="1:72">
      <c r="A380" s="1407"/>
      <c r="B380" s="3296"/>
      <c r="C380" s="3296"/>
      <c r="D380" s="3297"/>
      <c r="E380" s="3298">
        <f t="shared" si="235"/>
        <v>0</v>
      </c>
      <c r="F380" s="3299"/>
      <c r="G380" s="3300">
        <f t="shared" si="210"/>
        <v>0</v>
      </c>
      <c r="H380" s="3301">
        <f t="shared" si="211"/>
        <v>0</v>
      </c>
      <c r="I380" s="3308"/>
      <c r="J380" s="3308"/>
      <c r="K380" s="3308"/>
      <c r="L380" s="3308"/>
      <c r="M380" s="3308"/>
      <c r="N380" s="3308"/>
      <c r="O380" s="3308"/>
      <c r="P380" s="3308"/>
      <c r="Q380" s="3308"/>
      <c r="R380" s="3308"/>
      <c r="S380" s="3308"/>
      <c r="T380" s="3308"/>
      <c r="U380" s="3308"/>
      <c r="V380" s="3308"/>
      <c r="W380" s="3308"/>
      <c r="X380" s="3308"/>
      <c r="Y380" s="3308"/>
      <c r="Z380" s="3308"/>
      <c r="AA380" s="3308"/>
      <c r="AB380" s="3308"/>
      <c r="AC380" s="3298">
        <f t="shared" si="212"/>
        <v>0</v>
      </c>
      <c r="AD380" s="3318"/>
      <c r="AE380" s="3318"/>
      <c r="AF380" s="3318"/>
      <c r="AG380" s="3318"/>
      <c r="AH380" s="3318"/>
      <c r="AI380" s="3318"/>
      <c r="AJ380" s="3318"/>
      <c r="AK380" s="3318"/>
      <c r="AL380" s="3318"/>
      <c r="AM380" s="3318"/>
      <c r="AN380" s="3318"/>
      <c r="AO380" s="3318"/>
      <c r="AP380" s="3318"/>
      <c r="AQ380" s="3318"/>
      <c r="AR380" s="3318"/>
      <c r="AS380" s="3318"/>
      <c r="AT380" s="3328"/>
      <c r="AU380" s="3329"/>
      <c r="AV380" s="963">
        <f t="shared" si="236"/>
        <v>0</v>
      </c>
      <c r="AW380" s="963">
        <f t="shared" si="237"/>
        <v>0</v>
      </c>
      <c r="AX380" s="963">
        <f t="shared" si="238"/>
        <v>0</v>
      </c>
      <c r="AY380" s="3343">
        <f t="shared" si="213"/>
        <v>0</v>
      </c>
      <c r="AZ380" s="3298">
        <f t="shared" si="214"/>
        <v>0</v>
      </c>
      <c r="BA380" s="3298">
        <f t="shared" si="215"/>
        <v>0</v>
      </c>
      <c r="BB380" s="3298">
        <f t="shared" si="216"/>
        <v>0</v>
      </c>
      <c r="BC380" s="3298">
        <f t="shared" si="217"/>
        <v>0</v>
      </c>
      <c r="BD380" s="3298">
        <f t="shared" si="218"/>
        <v>0</v>
      </c>
      <c r="BE380" s="3298">
        <f t="shared" si="219"/>
        <v>0</v>
      </c>
      <c r="BF380" s="3298">
        <f t="shared" si="220"/>
        <v>0</v>
      </c>
      <c r="BG380" s="3298">
        <f t="shared" si="221"/>
        <v>0</v>
      </c>
      <c r="BH380" s="3298">
        <f t="shared" si="222"/>
        <v>0</v>
      </c>
      <c r="BI380" s="3298">
        <f t="shared" si="223"/>
        <v>0</v>
      </c>
      <c r="BJ380" s="3298">
        <f t="shared" si="224"/>
        <v>0</v>
      </c>
      <c r="BK380" s="3298">
        <f t="shared" si="225"/>
        <v>0</v>
      </c>
      <c r="BL380" s="3298">
        <f t="shared" si="226"/>
        <v>0</v>
      </c>
      <c r="BM380" s="3298">
        <f t="shared" si="227"/>
        <v>0</v>
      </c>
      <c r="BN380" s="3298">
        <f t="shared" si="228"/>
        <v>0</v>
      </c>
      <c r="BO380" s="3298">
        <f t="shared" si="229"/>
        <v>0</v>
      </c>
      <c r="BP380" s="3298">
        <f t="shared" si="230"/>
        <v>0</v>
      </c>
      <c r="BQ380" s="3298">
        <f t="shared" si="231"/>
        <v>0</v>
      </c>
      <c r="BR380" s="3298">
        <f t="shared" si="232"/>
        <v>0</v>
      </c>
      <c r="BS380" s="3298">
        <f t="shared" si="233"/>
        <v>0</v>
      </c>
      <c r="BT380" s="3350">
        <f t="shared" si="234"/>
        <v>0</v>
      </c>
    </row>
    <row r="381" spans="1:72">
      <c r="A381" s="1407"/>
      <c r="B381" s="3296"/>
      <c r="C381" s="3296"/>
      <c r="D381" s="3297"/>
      <c r="E381" s="3298">
        <f t="shared" si="235"/>
        <v>0</v>
      </c>
      <c r="F381" s="3299"/>
      <c r="G381" s="3300">
        <f t="shared" si="210"/>
        <v>0</v>
      </c>
      <c r="H381" s="3301">
        <f t="shared" si="211"/>
        <v>0</v>
      </c>
      <c r="I381" s="3308"/>
      <c r="J381" s="3308"/>
      <c r="K381" s="3308"/>
      <c r="L381" s="3308"/>
      <c r="M381" s="3308"/>
      <c r="N381" s="3308"/>
      <c r="O381" s="3308"/>
      <c r="P381" s="3308"/>
      <c r="Q381" s="3308"/>
      <c r="R381" s="3308"/>
      <c r="S381" s="3308"/>
      <c r="T381" s="3308"/>
      <c r="U381" s="3308"/>
      <c r="V381" s="3308"/>
      <c r="W381" s="3308"/>
      <c r="X381" s="3308"/>
      <c r="Y381" s="3308"/>
      <c r="Z381" s="3308"/>
      <c r="AA381" s="3308"/>
      <c r="AB381" s="3308"/>
      <c r="AC381" s="3298">
        <f t="shared" si="212"/>
        <v>0</v>
      </c>
      <c r="AD381" s="3318"/>
      <c r="AE381" s="3318"/>
      <c r="AF381" s="3318"/>
      <c r="AG381" s="3318"/>
      <c r="AH381" s="3318"/>
      <c r="AI381" s="3318"/>
      <c r="AJ381" s="3318"/>
      <c r="AK381" s="3318"/>
      <c r="AL381" s="3318"/>
      <c r="AM381" s="3318"/>
      <c r="AN381" s="3318"/>
      <c r="AO381" s="3318"/>
      <c r="AP381" s="3318"/>
      <c r="AQ381" s="3318"/>
      <c r="AR381" s="3318"/>
      <c r="AS381" s="3318"/>
      <c r="AT381" s="3328"/>
      <c r="AU381" s="3329"/>
      <c r="AV381" s="963">
        <f t="shared" si="236"/>
        <v>0</v>
      </c>
      <c r="AW381" s="963">
        <f t="shared" si="237"/>
        <v>0</v>
      </c>
      <c r="AX381" s="963">
        <f t="shared" si="238"/>
        <v>0</v>
      </c>
      <c r="AY381" s="3343">
        <f t="shared" si="213"/>
        <v>0</v>
      </c>
      <c r="AZ381" s="3298">
        <f t="shared" si="214"/>
        <v>0</v>
      </c>
      <c r="BA381" s="3298">
        <f t="shared" si="215"/>
        <v>0</v>
      </c>
      <c r="BB381" s="3298">
        <f t="shared" si="216"/>
        <v>0</v>
      </c>
      <c r="BC381" s="3298">
        <f t="shared" si="217"/>
        <v>0</v>
      </c>
      <c r="BD381" s="3298">
        <f t="shared" si="218"/>
        <v>0</v>
      </c>
      <c r="BE381" s="3298">
        <f t="shared" si="219"/>
        <v>0</v>
      </c>
      <c r="BF381" s="3298">
        <f t="shared" si="220"/>
        <v>0</v>
      </c>
      <c r="BG381" s="3298">
        <f t="shared" si="221"/>
        <v>0</v>
      </c>
      <c r="BH381" s="3298">
        <f t="shared" si="222"/>
        <v>0</v>
      </c>
      <c r="BI381" s="3298">
        <f t="shared" si="223"/>
        <v>0</v>
      </c>
      <c r="BJ381" s="3298">
        <f t="shared" si="224"/>
        <v>0</v>
      </c>
      <c r="BK381" s="3298">
        <f t="shared" si="225"/>
        <v>0</v>
      </c>
      <c r="BL381" s="3298">
        <f t="shared" si="226"/>
        <v>0</v>
      </c>
      <c r="BM381" s="3298">
        <f t="shared" si="227"/>
        <v>0</v>
      </c>
      <c r="BN381" s="3298">
        <f t="shared" si="228"/>
        <v>0</v>
      </c>
      <c r="BO381" s="3298">
        <f t="shared" si="229"/>
        <v>0</v>
      </c>
      <c r="BP381" s="3298">
        <f t="shared" si="230"/>
        <v>0</v>
      </c>
      <c r="BQ381" s="3298">
        <f t="shared" si="231"/>
        <v>0</v>
      </c>
      <c r="BR381" s="3298">
        <f t="shared" si="232"/>
        <v>0</v>
      </c>
      <c r="BS381" s="3298">
        <f t="shared" si="233"/>
        <v>0</v>
      </c>
      <c r="BT381" s="3350">
        <f t="shared" si="234"/>
        <v>0</v>
      </c>
    </row>
    <row r="382" spans="1:72">
      <c r="A382" s="1407"/>
      <c r="B382" s="3296"/>
      <c r="C382" s="3296"/>
      <c r="D382" s="3297"/>
      <c r="E382" s="3298">
        <f t="shared" si="235"/>
        <v>0</v>
      </c>
      <c r="F382" s="3299"/>
      <c r="G382" s="3300">
        <f t="shared" si="210"/>
        <v>0</v>
      </c>
      <c r="H382" s="3301">
        <f t="shared" si="211"/>
        <v>0</v>
      </c>
      <c r="I382" s="3308"/>
      <c r="J382" s="3308"/>
      <c r="K382" s="3308"/>
      <c r="L382" s="3308"/>
      <c r="M382" s="3308"/>
      <c r="N382" s="3308"/>
      <c r="O382" s="3308"/>
      <c r="P382" s="3308"/>
      <c r="Q382" s="3308"/>
      <c r="R382" s="3308"/>
      <c r="S382" s="3308"/>
      <c r="T382" s="3308"/>
      <c r="U382" s="3308"/>
      <c r="V382" s="3308"/>
      <c r="W382" s="3308"/>
      <c r="X382" s="3308"/>
      <c r="Y382" s="3308"/>
      <c r="Z382" s="3308"/>
      <c r="AA382" s="3308"/>
      <c r="AB382" s="3308"/>
      <c r="AC382" s="3298">
        <f t="shared" si="212"/>
        <v>0</v>
      </c>
      <c r="AD382" s="3318"/>
      <c r="AE382" s="3318"/>
      <c r="AF382" s="3318"/>
      <c r="AG382" s="3318"/>
      <c r="AH382" s="3318"/>
      <c r="AI382" s="3318"/>
      <c r="AJ382" s="3318"/>
      <c r="AK382" s="3318"/>
      <c r="AL382" s="3318"/>
      <c r="AM382" s="3318"/>
      <c r="AN382" s="3318"/>
      <c r="AO382" s="3318"/>
      <c r="AP382" s="3318"/>
      <c r="AQ382" s="3318"/>
      <c r="AR382" s="3318"/>
      <c r="AS382" s="3318"/>
      <c r="AT382" s="3328"/>
      <c r="AU382" s="3329"/>
      <c r="AV382" s="963">
        <f t="shared" si="236"/>
        <v>0</v>
      </c>
      <c r="AW382" s="963">
        <f t="shared" si="237"/>
        <v>0</v>
      </c>
      <c r="AX382" s="963">
        <f t="shared" si="238"/>
        <v>0</v>
      </c>
      <c r="AY382" s="3343">
        <f t="shared" si="213"/>
        <v>0</v>
      </c>
      <c r="AZ382" s="3298">
        <f t="shared" si="214"/>
        <v>0</v>
      </c>
      <c r="BA382" s="3298">
        <f t="shared" si="215"/>
        <v>0</v>
      </c>
      <c r="BB382" s="3298">
        <f t="shared" si="216"/>
        <v>0</v>
      </c>
      <c r="BC382" s="3298">
        <f t="shared" si="217"/>
        <v>0</v>
      </c>
      <c r="BD382" s="3298">
        <f t="shared" si="218"/>
        <v>0</v>
      </c>
      <c r="BE382" s="3298">
        <f t="shared" si="219"/>
        <v>0</v>
      </c>
      <c r="BF382" s="3298">
        <f t="shared" si="220"/>
        <v>0</v>
      </c>
      <c r="BG382" s="3298">
        <f t="shared" si="221"/>
        <v>0</v>
      </c>
      <c r="BH382" s="3298">
        <f t="shared" si="222"/>
        <v>0</v>
      </c>
      <c r="BI382" s="3298">
        <f t="shared" si="223"/>
        <v>0</v>
      </c>
      <c r="BJ382" s="3298">
        <f t="shared" si="224"/>
        <v>0</v>
      </c>
      <c r="BK382" s="3298">
        <f t="shared" si="225"/>
        <v>0</v>
      </c>
      <c r="BL382" s="3298">
        <f t="shared" si="226"/>
        <v>0</v>
      </c>
      <c r="BM382" s="3298">
        <f t="shared" si="227"/>
        <v>0</v>
      </c>
      <c r="BN382" s="3298">
        <f t="shared" si="228"/>
        <v>0</v>
      </c>
      <c r="BO382" s="3298">
        <f t="shared" si="229"/>
        <v>0</v>
      </c>
      <c r="BP382" s="3298">
        <f t="shared" si="230"/>
        <v>0</v>
      </c>
      <c r="BQ382" s="3298">
        <f t="shared" si="231"/>
        <v>0</v>
      </c>
      <c r="BR382" s="3298">
        <f t="shared" si="232"/>
        <v>0</v>
      </c>
      <c r="BS382" s="3298">
        <f t="shared" si="233"/>
        <v>0</v>
      </c>
      <c r="BT382" s="3350">
        <f t="shared" si="234"/>
        <v>0</v>
      </c>
    </row>
    <row r="383" spans="1:72">
      <c r="A383" s="1407"/>
      <c r="B383" s="3296"/>
      <c r="C383" s="3296"/>
      <c r="D383" s="3297"/>
      <c r="E383" s="3298">
        <f t="shared" si="235"/>
        <v>0</v>
      </c>
      <c r="F383" s="3299"/>
      <c r="G383" s="3300">
        <f t="shared" si="210"/>
        <v>0</v>
      </c>
      <c r="H383" s="3301">
        <f t="shared" si="211"/>
        <v>0</v>
      </c>
      <c r="I383" s="3308"/>
      <c r="J383" s="3308"/>
      <c r="K383" s="3308"/>
      <c r="L383" s="3308"/>
      <c r="M383" s="3308"/>
      <c r="N383" s="3308"/>
      <c r="O383" s="3308"/>
      <c r="P383" s="3308"/>
      <c r="Q383" s="3308"/>
      <c r="R383" s="3308"/>
      <c r="S383" s="3308"/>
      <c r="T383" s="3308"/>
      <c r="U383" s="3308"/>
      <c r="V383" s="3308"/>
      <c r="W383" s="3308"/>
      <c r="X383" s="3308"/>
      <c r="Y383" s="3308"/>
      <c r="Z383" s="3308"/>
      <c r="AA383" s="3308"/>
      <c r="AB383" s="3308"/>
      <c r="AC383" s="3298">
        <f t="shared" si="212"/>
        <v>0</v>
      </c>
      <c r="AD383" s="3318"/>
      <c r="AE383" s="3318"/>
      <c r="AF383" s="3318"/>
      <c r="AG383" s="3318"/>
      <c r="AH383" s="3318"/>
      <c r="AI383" s="3318"/>
      <c r="AJ383" s="3318"/>
      <c r="AK383" s="3318"/>
      <c r="AL383" s="3318"/>
      <c r="AM383" s="3318"/>
      <c r="AN383" s="3318"/>
      <c r="AO383" s="3318"/>
      <c r="AP383" s="3318"/>
      <c r="AQ383" s="3318"/>
      <c r="AR383" s="3318"/>
      <c r="AS383" s="3318"/>
      <c r="AT383" s="3328"/>
      <c r="AU383" s="3329"/>
      <c r="AV383" s="963">
        <f t="shared" si="236"/>
        <v>0</v>
      </c>
      <c r="AW383" s="963">
        <f t="shared" si="237"/>
        <v>0</v>
      </c>
      <c r="AX383" s="963">
        <f t="shared" si="238"/>
        <v>0</v>
      </c>
      <c r="AY383" s="3343">
        <f t="shared" si="213"/>
        <v>0</v>
      </c>
      <c r="AZ383" s="3298">
        <f t="shared" si="214"/>
        <v>0</v>
      </c>
      <c r="BA383" s="3298">
        <f t="shared" si="215"/>
        <v>0</v>
      </c>
      <c r="BB383" s="3298">
        <f t="shared" si="216"/>
        <v>0</v>
      </c>
      <c r="BC383" s="3298">
        <f t="shared" si="217"/>
        <v>0</v>
      </c>
      <c r="BD383" s="3298">
        <f t="shared" si="218"/>
        <v>0</v>
      </c>
      <c r="BE383" s="3298">
        <f t="shared" si="219"/>
        <v>0</v>
      </c>
      <c r="BF383" s="3298">
        <f t="shared" si="220"/>
        <v>0</v>
      </c>
      <c r="BG383" s="3298">
        <f t="shared" si="221"/>
        <v>0</v>
      </c>
      <c r="BH383" s="3298">
        <f t="shared" si="222"/>
        <v>0</v>
      </c>
      <c r="BI383" s="3298">
        <f t="shared" si="223"/>
        <v>0</v>
      </c>
      <c r="BJ383" s="3298">
        <f t="shared" si="224"/>
        <v>0</v>
      </c>
      <c r="BK383" s="3298">
        <f t="shared" si="225"/>
        <v>0</v>
      </c>
      <c r="BL383" s="3298">
        <f t="shared" si="226"/>
        <v>0</v>
      </c>
      <c r="BM383" s="3298">
        <f t="shared" si="227"/>
        <v>0</v>
      </c>
      <c r="BN383" s="3298">
        <f t="shared" si="228"/>
        <v>0</v>
      </c>
      <c r="BO383" s="3298">
        <f t="shared" si="229"/>
        <v>0</v>
      </c>
      <c r="BP383" s="3298">
        <f t="shared" si="230"/>
        <v>0</v>
      </c>
      <c r="BQ383" s="3298">
        <f t="shared" si="231"/>
        <v>0</v>
      </c>
      <c r="BR383" s="3298">
        <f t="shared" si="232"/>
        <v>0</v>
      </c>
      <c r="BS383" s="3298">
        <f t="shared" si="233"/>
        <v>0</v>
      </c>
      <c r="BT383" s="3350">
        <f t="shared" si="234"/>
        <v>0</v>
      </c>
    </row>
    <row r="384" spans="1:72">
      <c r="A384" s="1407"/>
      <c r="B384" s="3296"/>
      <c r="C384" s="3296"/>
      <c r="D384" s="3297"/>
      <c r="E384" s="3298">
        <f t="shared" si="235"/>
        <v>0</v>
      </c>
      <c r="F384" s="3299"/>
      <c r="G384" s="3300">
        <f t="shared" si="210"/>
        <v>0</v>
      </c>
      <c r="H384" s="3301">
        <f t="shared" si="211"/>
        <v>0</v>
      </c>
      <c r="I384" s="3308"/>
      <c r="J384" s="3308"/>
      <c r="K384" s="3308"/>
      <c r="L384" s="3308"/>
      <c r="M384" s="3308"/>
      <c r="N384" s="3308"/>
      <c r="O384" s="3308"/>
      <c r="P384" s="3308"/>
      <c r="Q384" s="3308"/>
      <c r="R384" s="3308"/>
      <c r="S384" s="3308"/>
      <c r="T384" s="3308"/>
      <c r="U384" s="3308"/>
      <c r="V384" s="3308"/>
      <c r="W384" s="3308"/>
      <c r="X384" s="3308"/>
      <c r="Y384" s="3308"/>
      <c r="Z384" s="3308"/>
      <c r="AA384" s="3308"/>
      <c r="AB384" s="3308"/>
      <c r="AC384" s="3298">
        <f t="shared" si="212"/>
        <v>0</v>
      </c>
      <c r="AD384" s="3318"/>
      <c r="AE384" s="3318"/>
      <c r="AF384" s="3318"/>
      <c r="AG384" s="3318"/>
      <c r="AH384" s="3318"/>
      <c r="AI384" s="3318"/>
      <c r="AJ384" s="3318"/>
      <c r="AK384" s="3318"/>
      <c r="AL384" s="3318"/>
      <c r="AM384" s="3318"/>
      <c r="AN384" s="3318"/>
      <c r="AO384" s="3318"/>
      <c r="AP384" s="3318"/>
      <c r="AQ384" s="3318"/>
      <c r="AR384" s="3318"/>
      <c r="AS384" s="3318"/>
      <c r="AT384" s="3328"/>
      <c r="AU384" s="3329"/>
      <c r="AV384" s="963">
        <f t="shared" si="236"/>
        <v>0</v>
      </c>
      <c r="AW384" s="963">
        <f t="shared" si="237"/>
        <v>0</v>
      </c>
      <c r="AX384" s="963">
        <f t="shared" si="238"/>
        <v>0</v>
      </c>
      <c r="AY384" s="3343">
        <f t="shared" si="213"/>
        <v>0</v>
      </c>
      <c r="AZ384" s="3298">
        <f t="shared" si="214"/>
        <v>0</v>
      </c>
      <c r="BA384" s="3298">
        <f t="shared" si="215"/>
        <v>0</v>
      </c>
      <c r="BB384" s="3298">
        <f t="shared" si="216"/>
        <v>0</v>
      </c>
      <c r="BC384" s="3298">
        <f t="shared" si="217"/>
        <v>0</v>
      </c>
      <c r="BD384" s="3298">
        <f t="shared" si="218"/>
        <v>0</v>
      </c>
      <c r="BE384" s="3298">
        <f t="shared" si="219"/>
        <v>0</v>
      </c>
      <c r="BF384" s="3298">
        <f t="shared" si="220"/>
        <v>0</v>
      </c>
      <c r="BG384" s="3298">
        <f t="shared" si="221"/>
        <v>0</v>
      </c>
      <c r="BH384" s="3298">
        <f t="shared" si="222"/>
        <v>0</v>
      </c>
      <c r="BI384" s="3298">
        <f t="shared" si="223"/>
        <v>0</v>
      </c>
      <c r="BJ384" s="3298">
        <f t="shared" si="224"/>
        <v>0</v>
      </c>
      <c r="BK384" s="3298">
        <f t="shared" si="225"/>
        <v>0</v>
      </c>
      <c r="BL384" s="3298">
        <f t="shared" si="226"/>
        <v>0</v>
      </c>
      <c r="BM384" s="3298">
        <f t="shared" si="227"/>
        <v>0</v>
      </c>
      <c r="BN384" s="3298">
        <f t="shared" si="228"/>
        <v>0</v>
      </c>
      <c r="BO384" s="3298">
        <f t="shared" si="229"/>
        <v>0</v>
      </c>
      <c r="BP384" s="3298">
        <f t="shared" si="230"/>
        <v>0</v>
      </c>
      <c r="BQ384" s="3298">
        <f t="shared" si="231"/>
        <v>0</v>
      </c>
      <c r="BR384" s="3298">
        <f t="shared" si="232"/>
        <v>0</v>
      </c>
      <c r="BS384" s="3298">
        <f t="shared" si="233"/>
        <v>0</v>
      </c>
      <c r="BT384" s="3350">
        <f t="shared" si="234"/>
        <v>0</v>
      </c>
    </row>
    <row r="385" spans="1:72">
      <c r="A385" s="1407"/>
      <c r="B385" s="3296"/>
      <c r="C385" s="3296"/>
      <c r="D385" s="3297"/>
      <c r="E385" s="3298">
        <f t="shared" si="235"/>
        <v>0</v>
      </c>
      <c r="F385" s="3299"/>
      <c r="G385" s="3300">
        <f t="shared" si="210"/>
        <v>0</v>
      </c>
      <c r="H385" s="3301">
        <f t="shared" si="211"/>
        <v>0</v>
      </c>
      <c r="I385" s="3308"/>
      <c r="J385" s="3308"/>
      <c r="K385" s="3308"/>
      <c r="L385" s="3308"/>
      <c r="M385" s="3308"/>
      <c r="N385" s="3308"/>
      <c r="O385" s="3308"/>
      <c r="P385" s="3308"/>
      <c r="Q385" s="3308"/>
      <c r="R385" s="3308"/>
      <c r="S385" s="3308"/>
      <c r="T385" s="3308"/>
      <c r="U385" s="3308"/>
      <c r="V385" s="3308"/>
      <c r="W385" s="3308"/>
      <c r="X385" s="3308"/>
      <c r="Y385" s="3308"/>
      <c r="Z385" s="3308"/>
      <c r="AA385" s="3308"/>
      <c r="AB385" s="3308"/>
      <c r="AC385" s="3298">
        <f t="shared" si="212"/>
        <v>0</v>
      </c>
      <c r="AD385" s="3318"/>
      <c r="AE385" s="3318"/>
      <c r="AF385" s="3318"/>
      <c r="AG385" s="3318"/>
      <c r="AH385" s="3318"/>
      <c r="AI385" s="3318"/>
      <c r="AJ385" s="3318"/>
      <c r="AK385" s="3318"/>
      <c r="AL385" s="3318"/>
      <c r="AM385" s="3318"/>
      <c r="AN385" s="3318"/>
      <c r="AO385" s="3318"/>
      <c r="AP385" s="3318"/>
      <c r="AQ385" s="3318"/>
      <c r="AR385" s="3318"/>
      <c r="AS385" s="3318"/>
      <c r="AT385" s="3328"/>
      <c r="AU385" s="3329"/>
      <c r="AV385" s="963">
        <f t="shared" si="236"/>
        <v>0</v>
      </c>
      <c r="AW385" s="963">
        <f t="shared" si="237"/>
        <v>0</v>
      </c>
      <c r="AX385" s="963">
        <f t="shared" si="238"/>
        <v>0</v>
      </c>
      <c r="AY385" s="3343">
        <f t="shared" si="213"/>
        <v>0</v>
      </c>
      <c r="AZ385" s="3298">
        <f t="shared" si="214"/>
        <v>0</v>
      </c>
      <c r="BA385" s="3298">
        <f t="shared" si="215"/>
        <v>0</v>
      </c>
      <c r="BB385" s="3298">
        <f t="shared" si="216"/>
        <v>0</v>
      </c>
      <c r="BC385" s="3298">
        <f t="shared" si="217"/>
        <v>0</v>
      </c>
      <c r="BD385" s="3298">
        <f t="shared" si="218"/>
        <v>0</v>
      </c>
      <c r="BE385" s="3298">
        <f t="shared" si="219"/>
        <v>0</v>
      </c>
      <c r="BF385" s="3298">
        <f t="shared" si="220"/>
        <v>0</v>
      </c>
      <c r="BG385" s="3298">
        <f t="shared" si="221"/>
        <v>0</v>
      </c>
      <c r="BH385" s="3298">
        <f t="shared" si="222"/>
        <v>0</v>
      </c>
      <c r="BI385" s="3298">
        <f t="shared" si="223"/>
        <v>0</v>
      </c>
      <c r="BJ385" s="3298">
        <f t="shared" si="224"/>
        <v>0</v>
      </c>
      <c r="BK385" s="3298">
        <f t="shared" si="225"/>
        <v>0</v>
      </c>
      <c r="BL385" s="3298">
        <f t="shared" si="226"/>
        <v>0</v>
      </c>
      <c r="BM385" s="3298">
        <f t="shared" si="227"/>
        <v>0</v>
      </c>
      <c r="BN385" s="3298">
        <f t="shared" si="228"/>
        <v>0</v>
      </c>
      <c r="BO385" s="3298">
        <f t="shared" si="229"/>
        <v>0</v>
      </c>
      <c r="BP385" s="3298">
        <f t="shared" si="230"/>
        <v>0</v>
      </c>
      <c r="BQ385" s="3298">
        <f t="shared" si="231"/>
        <v>0</v>
      </c>
      <c r="BR385" s="3298">
        <f t="shared" si="232"/>
        <v>0</v>
      </c>
      <c r="BS385" s="3298">
        <f t="shared" si="233"/>
        <v>0</v>
      </c>
      <c r="BT385" s="3350">
        <f t="shared" si="234"/>
        <v>0</v>
      </c>
    </row>
    <row r="386" spans="1:72">
      <c r="A386" s="1407"/>
      <c r="B386" s="3296"/>
      <c r="C386" s="3296"/>
      <c r="D386" s="3297"/>
      <c r="E386" s="3298">
        <f t="shared" si="235"/>
        <v>0</v>
      </c>
      <c r="F386" s="3299"/>
      <c r="G386" s="3300">
        <f t="shared" si="210"/>
        <v>0</v>
      </c>
      <c r="H386" s="3301">
        <f t="shared" si="211"/>
        <v>0</v>
      </c>
      <c r="I386" s="3308"/>
      <c r="J386" s="3308"/>
      <c r="K386" s="3308"/>
      <c r="L386" s="3308"/>
      <c r="M386" s="3308"/>
      <c r="N386" s="3308"/>
      <c r="O386" s="3308"/>
      <c r="P386" s="3308"/>
      <c r="Q386" s="3308"/>
      <c r="R386" s="3308"/>
      <c r="S386" s="3308"/>
      <c r="T386" s="3308"/>
      <c r="U386" s="3308"/>
      <c r="V386" s="3308"/>
      <c r="W386" s="3308"/>
      <c r="X386" s="3308"/>
      <c r="Y386" s="3308"/>
      <c r="Z386" s="3308"/>
      <c r="AA386" s="3308"/>
      <c r="AB386" s="3308"/>
      <c r="AC386" s="3298">
        <f t="shared" si="212"/>
        <v>0</v>
      </c>
      <c r="AD386" s="3318"/>
      <c r="AE386" s="3318"/>
      <c r="AF386" s="3318"/>
      <c r="AG386" s="3318"/>
      <c r="AH386" s="3318"/>
      <c r="AI386" s="3318"/>
      <c r="AJ386" s="3318"/>
      <c r="AK386" s="3318"/>
      <c r="AL386" s="3318"/>
      <c r="AM386" s="3318"/>
      <c r="AN386" s="3318"/>
      <c r="AO386" s="3318"/>
      <c r="AP386" s="3318"/>
      <c r="AQ386" s="3318"/>
      <c r="AR386" s="3318"/>
      <c r="AS386" s="3318"/>
      <c r="AT386" s="3328"/>
      <c r="AU386" s="3329"/>
      <c r="AV386" s="963">
        <f t="shared" si="236"/>
        <v>0</v>
      </c>
      <c r="AW386" s="963">
        <f t="shared" si="237"/>
        <v>0</v>
      </c>
      <c r="AX386" s="963">
        <f t="shared" si="238"/>
        <v>0</v>
      </c>
      <c r="AY386" s="3343">
        <f t="shared" si="213"/>
        <v>0</v>
      </c>
      <c r="AZ386" s="3298">
        <f t="shared" si="214"/>
        <v>0</v>
      </c>
      <c r="BA386" s="3298">
        <f t="shared" si="215"/>
        <v>0</v>
      </c>
      <c r="BB386" s="3298">
        <f t="shared" si="216"/>
        <v>0</v>
      </c>
      <c r="BC386" s="3298">
        <f t="shared" si="217"/>
        <v>0</v>
      </c>
      <c r="BD386" s="3298">
        <f t="shared" si="218"/>
        <v>0</v>
      </c>
      <c r="BE386" s="3298">
        <f t="shared" si="219"/>
        <v>0</v>
      </c>
      <c r="BF386" s="3298">
        <f t="shared" si="220"/>
        <v>0</v>
      </c>
      <c r="BG386" s="3298">
        <f t="shared" si="221"/>
        <v>0</v>
      </c>
      <c r="BH386" s="3298">
        <f t="shared" si="222"/>
        <v>0</v>
      </c>
      <c r="BI386" s="3298">
        <f t="shared" si="223"/>
        <v>0</v>
      </c>
      <c r="BJ386" s="3298">
        <f t="shared" si="224"/>
        <v>0</v>
      </c>
      <c r="BK386" s="3298">
        <f t="shared" si="225"/>
        <v>0</v>
      </c>
      <c r="BL386" s="3298">
        <f t="shared" si="226"/>
        <v>0</v>
      </c>
      <c r="BM386" s="3298">
        <f t="shared" si="227"/>
        <v>0</v>
      </c>
      <c r="BN386" s="3298">
        <f t="shared" si="228"/>
        <v>0</v>
      </c>
      <c r="BO386" s="3298">
        <f t="shared" si="229"/>
        <v>0</v>
      </c>
      <c r="BP386" s="3298">
        <f t="shared" si="230"/>
        <v>0</v>
      </c>
      <c r="BQ386" s="3298">
        <f t="shared" si="231"/>
        <v>0</v>
      </c>
      <c r="BR386" s="3298">
        <f t="shared" si="232"/>
        <v>0</v>
      </c>
      <c r="BS386" s="3298">
        <f t="shared" si="233"/>
        <v>0</v>
      </c>
      <c r="BT386" s="3350">
        <f t="shared" si="234"/>
        <v>0</v>
      </c>
    </row>
    <row r="387" spans="1:72">
      <c r="A387" s="1407"/>
      <c r="B387" s="3296"/>
      <c r="C387" s="3296"/>
      <c r="D387" s="3297"/>
      <c r="E387" s="3298">
        <f t="shared" si="235"/>
        <v>0</v>
      </c>
      <c r="F387" s="3299"/>
      <c r="G387" s="3300">
        <f t="shared" si="210"/>
        <v>0</v>
      </c>
      <c r="H387" s="3301">
        <f t="shared" si="211"/>
        <v>0</v>
      </c>
      <c r="I387" s="3308"/>
      <c r="J387" s="3308"/>
      <c r="K387" s="3308"/>
      <c r="L387" s="3308"/>
      <c r="M387" s="3308"/>
      <c r="N387" s="3308"/>
      <c r="O387" s="3308"/>
      <c r="P387" s="3308"/>
      <c r="Q387" s="3308"/>
      <c r="R387" s="3308"/>
      <c r="S387" s="3308"/>
      <c r="T387" s="3308"/>
      <c r="U387" s="3308"/>
      <c r="V387" s="3308"/>
      <c r="W387" s="3308"/>
      <c r="X387" s="3308"/>
      <c r="Y387" s="3308"/>
      <c r="Z387" s="3308"/>
      <c r="AA387" s="3308"/>
      <c r="AB387" s="3308"/>
      <c r="AC387" s="3298">
        <f t="shared" si="212"/>
        <v>0</v>
      </c>
      <c r="AD387" s="3318"/>
      <c r="AE387" s="3318"/>
      <c r="AF387" s="3318"/>
      <c r="AG387" s="3318"/>
      <c r="AH387" s="3318"/>
      <c r="AI387" s="3318"/>
      <c r="AJ387" s="3318"/>
      <c r="AK387" s="3318"/>
      <c r="AL387" s="3318"/>
      <c r="AM387" s="3318"/>
      <c r="AN387" s="3318"/>
      <c r="AO387" s="3318"/>
      <c r="AP387" s="3318"/>
      <c r="AQ387" s="3318"/>
      <c r="AR387" s="3318"/>
      <c r="AS387" s="3318"/>
      <c r="AT387" s="3328"/>
      <c r="AU387" s="3329"/>
      <c r="AV387" s="963">
        <f t="shared" si="236"/>
        <v>0</v>
      </c>
      <c r="AW387" s="963">
        <f t="shared" si="237"/>
        <v>0</v>
      </c>
      <c r="AX387" s="963">
        <f t="shared" si="238"/>
        <v>0</v>
      </c>
      <c r="AY387" s="3343">
        <f t="shared" si="213"/>
        <v>0</v>
      </c>
      <c r="AZ387" s="3298">
        <f t="shared" si="214"/>
        <v>0</v>
      </c>
      <c r="BA387" s="3298">
        <f t="shared" si="215"/>
        <v>0</v>
      </c>
      <c r="BB387" s="3298">
        <f t="shared" si="216"/>
        <v>0</v>
      </c>
      <c r="BC387" s="3298">
        <f t="shared" si="217"/>
        <v>0</v>
      </c>
      <c r="BD387" s="3298">
        <f t="shared" si="218"/>
        <v>0</v>
      </c>
      <c r="BE387" s="3298">
        <f t="shared" si="219"/>
        <v>0</v>
      </c>
      <c r="BF387" s="3298">
        <f t="shared" si="220"/>
        <v>0</v>
      </c>
      <c r="BG387" s="3298">
        <f t="shared" si="221"/>
        <v>0</v>
      </c>
      <c r="BH387" s="3298">
        <f t="shared" si="222"/>
        <v>0</v>
      </c>
      <c r="BI387" s="3298">
        <f t="shared" si="223"/>
        <v>0</v>
      </c>
      <c r="BJ387" s="3298">
        <f t="shared" si="224"/>
        <v>0</v>
      </c>
      <c r="BK387" s="3298">
        <f t="shared" si="225"/>
        <v>0</v>
      </c>
      <c r="BL387" s="3298">
        <f t="shared" si="226"/>
        <v>0</v>
      </c>
      <c r="BM387" s="3298">
        <f t="shared" si="227"/>
        <v>0</v>
      </c>
      <c r="BN387" s="3298">
        <f t="shared" si="228"/>
        <v>0</v>
      </c>
      <c r="BO387" s="3298">
        <f t="shared" si="229"/>
        <v>0</v>
      </c>
      <c r="BP387" s="3298">
        <f t="shared" si="230"/>
        <v>0</v>
      </c>
      <c r="BQ387" s="3298">
        <f t="shared" si="231"/>
        <v>0</v>
      </c>
      <c r="BR387" s="3298">
        <f t="shared" si="232"/>
        <v>0</v>
      </c>
      <c r="BS387" s="3298">
        <f t="shared" si="233"/>
        <v>0</v>
      </c>
      <c r="BT387" s="3350">
        <f t="shared" si="234"/>
        <v>0</v>
      </c>
    </row>
    <row r="388" spans="1:72">
      <c r="A388" s="1407"/>
      <c r="B388" s="3296"/>
      <c r="C388" s="3296"/>
      <c r="D388" s="3297"/>
      <c r="E388" s="3298">
        <f t="shared" si="235"/>
        <v>0</v>
      </c>
      <c r="F388" s="3299"/>
      <c r="G388" s="3300">
        <f t="shared" si="210"/>
        <v>0</v>
      </c>
      <c r="H388" s="3301">
        <f t="shared" si="211"/>
        <v>0</v>
      </c>
      <c r="I388" s="3308"/>
      <c r="J388" s="3308"/>
      <c r="K388" s="3308"/>
      <c r="L388" s="3308"/>
      <c r="M388" s="3308"/>
      <c r="N388" s="3308"/>
      <c r="O388" s="3308"/>
      <c r="P388" s="3308"/>
      <c r="Q388" s="3308"/>
      <c r="R388" s="3308"/>
      <c r="S388" s="3308"/>
      <c r="T388" s="3308"/>
      <c r="U388" s="3308"/>
      <c r="V388" s="3308"/>
      <c r="W388" s="3308"/>
      <c r="X388" s="3308"/>
      <c r="Y388" s="3308"/>
      <c r="Z388" s="3308"/>
      <c r="AA388" s="3308"/>
      <c r="AB388" s="3308"/>
      <c r="AC388" s="3298">
        <f t="shared" si="212"/>
        <v>0</v>
      </c>
      <c r="AD388" s="3318"/>
      <c r="AE388" s="3318"/>
      <c r="AF388" s="3318"/>
      <c r="AG388" s="3318"/>
      <c r="AH388" s="3318"/>
      <c r="AI388" s="3318"/>
      <c r="AJ388" s="3318"/>
      <c r="AK388" s="3318"/>
      <c r="AL388" s="3318"/>
      <c r="AM388" s="3318"/>
      <c r="AN388" s="3318"/>
      <c r="AO388" s="3318"/>
      <c r="AP388" s="3318"/>
      <c r="AQ388" s="3318"/>
      <c r="AR388" s="3318"/>
      <c r="AS388" s="3318"/>
      <c r="AT388" s="3328"/>
      <c r="AU388" s="3329"/>
      <c r="AV388" s="963">
        <f t="shared" si="236"/>
        <v>0</v>
      </c>
      <c r="AW388" s="963">
        <f t="shared" si="237"/>
        <v>0</v>
      </c>
      <c r="AX388" s="963">
        <f t="shared" si="238"/>
        <v>0</v>
      </c>
      <c r="AY388" s="3343">
        <f t="shared" si="213"/>
        <v>0</v>
      </c>
      <c r="AZ388" s="3298">
        <f t="shared" si="214"/>
        <v>0</v>
      </c>
      <c r="BA388" s="3298">
        <f t="shared" si="215"/>
        <v>0</v>
      </c>
      <c r="BB388" s="3298">
        <f t="shared" si="216"/>
        <v>0</v>
      </c>
      <c r="BC388" s="3298">
        <f t="shared" si="217"/>
        <v>0</v>
      </c>
      <c r="BD388" s="3298">
        <f t="shared" si="218"/>
        <v>0</v>
      </c>
      <c r="BE388" s="3298">
        <f t="shared" si="219"/>
        <v>0</v>
      </c>
      <c r="BF388" s="3298">
        <f t="shared" si="220"/>
        <v>0</v>
      </c>
      <c r="BG388" s="3298">
        <f t="shared" si="221"/>
        <v>0</v>
      </c>
      <c r="BH388" s="3298">
        <f t="shared" si="222"/>
        <v>0</v>
      </c>
      <c r="BI388" s="3298">
        <f t="shared" si="223"/>
        <v>0</v>
      </c>
      <c r="BJ388" s="3298">
        <f t="shared" si="224"/>
        <v>0</v>
      </c>
      <c r="BK388" s="3298">
        <f t="shared" si="225"/>
        <v>0</v>
      </c>
      <c r="BL388" s="3298">
        <f t="shared" si="226"/>
        <v>0</v>
      </c>
      <c r="BM388" s="3298">
        <f t="shared" si="227"/>
        <v>0</v>
      </c>
      <c r="BN388" s="3298">
        <f t="shared" si="228"/>
        <v>0</v>
      </c>
      <c r="BO388" s="3298">
        <f t="shared" si="229"/>
        <v>0</v>
      </c>
      <c r="BP388" s="3298">
        <f t="shared" si="230"/>
        <v>0</v>
      </c>
      <c r="BQ388" s="3298">
        <f t="shared" si="231"/>
        <v>0</v>
      </c>
      <c r="BR388" s="3298">
        <f t="shared" si="232"/>
        <v>0</v>
      </c>
      <c r="BS388" s="3298">
        <f t="shared" si="233"/>
        <v>0</v>
      </c>
      <c r="BT388" s="3350">
        <f t="shared" si="234"/>
        <v>0</v>
      </c>
    </row>
    <row r="389" spans="1:72">
      <c r="A389" s="1407"/>
      <c r="B389" s="3296"/>
      <c r="C389" s="3296"/>
      <c r="D389" s="3297"/>
      <c r="E389" s="3298">
        <f t="shared" si="235"/>
        <v>0</v>
      </c>
      <c r="F389" s="3299"/>
      <c r="G389" s="3300">
        <f t="shared" si="210"/>
        <v>0</v>
      </c>
      <c r="H389" s="3301">
        <f t="shared" si="211"/>
        <v>0</v>
      </c>
      <c r="I389" s="3308"/>
      <c r="J389" s="3308"/>
      <c r="K389" s="3308"/>
      <c r="L389" s="3308"/>
      <c r="M389" s="3308"/>
      <c r="N389" s="3308"/>
      <c r="O389" s="3308"/>
      <c r="P389" s="3308"/>
      <c r="Q389" s="3308"/>
      <c r="R389" s="3308"/>
      <c r="S389" s="3308"/>
      <c r="T389" s="3308"/>
      <c r="U389" s="3308"/>
      <c r="V389" s="3308"/>
      <c r="W389" s="3308"/>
      <c r="X389" s="3308"/>
      <c r="Y389" s="3308"/>
      <c r="Z389" s="3308"/>
      <c r="AA389" s="3308"/>
      <c r="AB389" s="3308"/>
      <c r="AC389" s="3298">
        <f t="shared" si="212"/>
        <v>0</v>
      </c>
      <c r="AD389" s="3318"/>
      <c r="AE389" s="3318"/>
      <c r="AF389" s="3318"/>
      <c r="AG389" s="3318"/>
      <c r="AH389" s="3318"/>
      <c r="AI389" s="3318"/>
      <c r="AJ389" s="3318"/>
      <c r="AK389" s="3318"/>
      <c r="AL389" s="3318"/>
      <c r="AM389" s="3318"/>
      <c r="AN389" s="3318"/>
      <c r="AO389" s="3318"/>
      <c r="AP389" s="3318"/>
      <c r="AQ389" s="3318"/>
      <c r="AR389" s="3318"/>
      <c r="AS389" s="3318"/>
      <c r="AT389" s="3328"/>
      <c r="AU389" s="3329"/>
      <c r="AV389" s="963">
        <f t="shared" si="236"/>
        <v>0</v>
      </c>
      <c r="AW389" s="963">
        <f t="shared" si="237"/>
        <v>0</v>
      </c>
      <c r="AX389" s="963">
        <f t="shared" si="238"/>
        <v>0</v>
      </c>
      <c r="AY389" s="3343">
        <f t="shared" si="213"/>
        <v>0</v>
      </c>
      <c r="AZ389" s="3298">
        <f t="shared" si="214"/>
        <v>0</v>
      </c>
      <c r="BA389" s="3298">
        <f t="shared" si="215"/>
        <v>0</v>
      </c>
      <c r="BB389" s="3298">
        <f t="shared" si="216"/>
        <v>0</v>
      </c>
      <c r="BC389" s="3298">
        <f t="shared" si="217"/>
        <v>0</v>
      </c>
      <c r="BD389" s="3298">
        <f t="shared" si="218"/>
        <v>0</v>
      </c>
      <c r="BE389" s="3298">
        <f t="shared" si="219"/>
        <v>0</v>
      </c>
      <c r="BF389" s="3298">
        <f t="shared" si="220"/>
        <v>0</v>
      </c>
      <c r="BG389" s="3298">
        <f t="shared" si="221"/>
        <v>0</v>
      </c>
      <c r="BH389" s="3298">
        <f t="shared" si="222"/>
        <v>0</v>
      </c>
      <c r="BI389" s="3298">
        <f t="shared" si="223"/>
        <v>0</v>
      </c>
      <c r="BJ389" s="3298">
        <f t="shared" si="224"/>
        <v>0</v>
      </c>
      <c r="BK389" s="3298">
        <f t="shared" si="225"/>
        <v>0</v>
      </c>
      <c r="BL389" s="3298">
        <f t="shared" si="226"/>
        <v>0</v>
      </c>
      <c r="BM389" s="3298">
        <f t="shared" si="227"/>
        <v>0</v>
      </c>
      <c r="BN389" s="3298">
        <f t="shared" si="228"/>
        <v>0</v>
      </c>
      <c r="BO389" s="3298">
        <f t="shared" si="229"/>
        <v>0</v>
      </c>
      <c r="BP389" s="3298">
        <f t="shared" si="230"/>
        <v>0</v>
      </c>
      <c r="BQ389" s="3298">
        <f t="shared" si="231"/>
        <v>0</v>
      </c>
      <c r="BR389" s="3298">
        <f t="shared" si="232"/>
        <v>0</v>
      </c>
      <c r="BS389" s="3298">
        <f t="shared" si="233"/>
        <v>0</v>
      </c>
      <c r="BT389" s="3350">
        <f t="shared" si="234"/>
        <v>0</v>
      </c>
    </row>
    <row r="390" spans="1:72">
      <c r="A390" s="1407"/>
      <c r="B390" s="3296"/>
      <c r="C390" s="3296"/>
      <c r="D390" s="3297"/>
      <c r="E390" s="3298">
        <f t="shared" si="235"/>
        <v>0</v>
      </c>
      <c r="F390" s="3299"/>
      <c r="G390" s="3300">
        <f t="shared" si="210"/>
        <v>0</v>
      </c>
      <c r="H390" s="3301">
        <f t="shared" si="211"/>
        <v>0</v>
      </c>
      <c r="I390" s="3308"/>
      <c r="J390" s="3308"/>
      <c r="K390" s="3308"/>
      <c r="L390" s="3308"/>
      <c r="M390" s="3308"/>
      <c r="N390" s="3308"/>
      <c r="O390" s="3308"/>
      <c r="P390" s="3308"/>
      <c r="Q390" s="3308"/>
      <c r="R390" s="3308"/>
      <c r="S390" s="3308"/>
      <c r="T390" s="3308"/>
      <c r="U390" s="3308"/>
      <c r="V390" s="3308"/>
      <c r="W390" s="3308"/>
      <c r="X390" s="3308"/>
      <c r="Y390" s="3308"/>
      <c r="Z390" s="3308"/>
      <c r="AA390" s="3308"/>
      <c r="AB390" s="3308"/>
      <c r="AC390" s="3298">
        <f t="shared" si="212"/>
        <v>0</v>
      </c>
      <c r="AD390" s="3318"/>
      <c r="AE390" s="3318"/>
      <c r="AF390" s="3318"/>
      <c r="AG390" s="3318"/>
      <c r="AH390" s="3318"/>
      <c r="AI390" s="3318"/>
      <c r="AJ390" s="3318"/>
      <c r="AK390" s="3318"/>
      <c r="AL390" s="3318"/>
      <c r="AM390" s="3318"/>
      <c r="AN390" s="3318"/>
      <c r="AO390" s="3318"/>
      <c r="AP390" s="3318"/>
      <c r="AQ390" s="3318"/>
      <c r="AR390" s="3318"/>
      <c r="AS390" s="3318"/>
      <c r="AT390" s="3328"/>
      <c r="AU390" s="3329"/>
      <c r="AV390" s="963">
        <f t="shared" si="236"/>
        <v>0</v>
      </c>
      <c r="AW390" s="963">
        <f t="shared" si="237"/>
        <v>0</v>
      </c>
      <c r="AX390" s="963">
        <f t="shared" si="238"/>
        <v>0</v>
      </c>
      <c r="AY390" s="3343">
        <f t="shared" si="213"/>
        <v>0</v>
      </c>
      <c r="AZ390" s="3298">
        <f t="shared" si="214"/>
        <v>0</v>
      </c>
      <c r="BA390" s="3298">
        <f t="shared" si="215"/>
        <v>0</v>
      </c>
      <c r="BB390" s="3298">
        <f t="shared" si="216"/>
        <v>0</v>
      </c>
      <c r="BC390" s="3298">
        <f t="shared" si="217"/>
        <v>0</v>
      </c>
      <c r="BD390" s="3298">
        <f t="shared" si="218"/>
        <v>0</v>
      </c>
      <c r="BE390" s="3298">
        <f t="shared" si="219"/>
        <v>0</v>
      </c>
      <c r="BF390" s="3298">
        <f t="shared" si="220"/>
        <v>0</v>
      </c>
      <c r="BG390" s="3298">
        <f t="shared" si="221"/>
        <v>0</v>
      </c>
      <c r="BH390" s="3298">
        <f t="shared" si="222"/>
        <v>0</v>
      </c>
      <c r="BI390" s="3298">
        <f t="shared" si="223"/>
        <v>0</v>
      </c>
      <c r="BJ390" s="3298">
        <f t="shared" si="224"/>
        <v>0</v>
      </c>
      <c r="BK390" s="3298">
        <f t="shared" si="225"/>
        <v>0</v>
      </c>
      <c r="BL390" s="3298">
        <f t="shared" si="226"/>
        <v>0</v>
      </c>
      <c r="BM390" s="3298">
        <f t="shared" si="227"/>
        <v>0</v>
      </c>
      <c r="BN390" s="3298">
        <f t="shared" si="228"/>
        <v>0</v>
      </c>
      <c r="BO390" s="3298">
        <f t="shared" si="229"/>
        <v>0</v>
      </c>
      <c r="BP390" s="3298">
        <f t="shared" si="230"/>
        <v>0</v>
      </c>
      <c r="BQ390" s="3298">
        <f t="shared" si="231"/>
        <v>0</v>
      </c>
      <c r="BR390" s="3298">
        <f t="shared" si="232"/>
        <v>0</v>
      </c>
      <c r="BS390" s="3298">
        <f t="shared" si="233"/>
        <v>0</v>
      </c>
      <c r="BT390" s="3350">
        <f t="shared" si="234"/>
        <v>0</v>
      </c>
    </row>
    <row r="391" spans="1:72">
      <c r="A391" s="1407"/>
      <c r="B391" s="3296"/>
      <c r="C391" s="3296"/>
      <c r="D391" s="3297"/>
      <c r="E391" s="3298">
        <f t="shared" si="235"/>
        <v>0</v>
      </c>
      <c r="F391" s="3299"/>
      <c r="G391" s="3300">
        <f t="shared" si="210"/>
        <v>0</v>
      </c>
      <c r="H391" s="3301">
        <f t="shared" si="211"/>
        <v>0</v>
      </c>
      <c r="I391" s="3308"/>
      <c r="J391" s="3308"/>
      <c r="K391" s="3308"/>
      <c r="L391" s="3308"/>
      <c r="M391" s="3308"/>
      <c r="N391" s="3308"/>
      <c r="O391" s="3308"/>
      <c r="P391" s="3308"/>
      <c r="Q391" s="3308"/>
      <c r="R391" s="3308"/>
      <c r="S391" s="3308"/>
      <c r="T391" s="3308"/>
      <c r="U391" s="3308"/>
      <c r="V391" s="3308"/>
      <c r="W391" s="3308"/>
      <c r="X391" s="3308"/>
      <c r="Y391" s="3308"/>
      <c r="Z391" s="3308"/>
      <c r="AA391" s="3308"/>
      <c r="AB391" s="3308"/>
      <c r="AC391" s="3298">
        <f t="shared" si="212"/>
        <v>0</v>
      </c>
      <c r="AD391" s="3318"/>
      <c r="AE391" s="3318"/>
      <c r="AF391" s="3318"/>
      <c r="AG391" s="3318"/>
      <c r="AH391" s="3318"/>
      <c r="AI391" s="3318"/>
      <c r="AJ391" s="3318"/>
      <c r="AK391" s="3318"/>
      <c r="AL391" s="3318"/>
      <c r="AM391" s="3318"/>
      <c r="AN391" s="3318"/>
      <c r="AO391" s="3318"/>
      <c r="AP391" s="3318"/>
      <c r="AQ391" s="3318"/>
      <c r="AR391" s="3318"/>
      <c r="AS391" s="3318"/>
      <c r="AT391" s="3328"/>
      <c r="AU391" s="3329"/>
      <c r="AV391" s="963">
        <f t="shared" si="236"/>
        <v>0</v>
      </c>
      <c r="AW391" s="963">
        <f t="shared" si="237"/>
        <v>0</v>
      </c>
      <c r="AX391" s="963">
        <f t="shared" si="238"/>
        <v>0</v>
      </c>
      <c r="AY391" s="3343">
        <f t="shared" si="213"/>
        <v>0</v>
      </c>
      <c r="AZ391" s="3298">
        <f t="shared" si="214"/>
        <v>0</v>
      </c>
      <c r="BA391" s="3298">
        <f t="shared" si="215"/>
        <v>0</v>
      </c>
      <c r="BB391" s="3298">
        <f t="shared" si="216"/>
        <v>0</v>
      </c>
      <c r="BC391" s="3298">
        <f t="shared" si="217"/>
        <v>0</v>
      </c>
      <c r="BD391" s="3298">
        <f t="shared" si="218"/>
        <v>0</v>
      </c>
      <c r="BE391" s="3298">
        <f t="shared" si="219"/>
        <v>0</v>
      </c>
      <c r="BF391" s="3298">
        <f t="shared" si="220"/>
        <v>0</v>
      </c>
      <c r="BG391" s="3298">
        <f t="shared" si="221"/>
        <v>0</v>
      </c>
      <c r="BH391" s="3298">
        <f t="shared" si="222"/>
        <v>0</v>
      </c>
      <c r="BI391" s="3298">
        <f t="shared" si="223"/>
        <v>0</v>
      </c>
      <c r="BJ391" s="3298">
        <f t="shared" si="224"/>
        <v>0</v>
      </c>
      <c r="BK391" s="3298">
        <f t="shared" si="225"/>
        <v>0</v>
      </c>
      <c r="BL391" s="3298">
        <f t="shared" si="226"/>
        <v>0</v>
      </c>
      <c r="BM391" s="3298">
        <f t="shared" si="227"/>
        <v>0</v>
      </c>
      <c r="BN391" s="3298">
        <f t="shared" si="228"/>
        <v>0</v>
      </c>
      <c r="BO391" s="3298">
        <f t="shared" si="229"/>
        <v>0</v>
      </c>
      <c r="BP391" s="3298">
        <f t="shared" si="230"/>
        <v>0</v>
      </c>
      <c r="BQ391" s="3298">
        <f t="shared" si="231"/>
        <v>0</v>
      </c>
      <c r="BR391" s="3298">
        <f t="shared" si="232"/>
        <v>0</v>
      </c>
      <c r="BS391" s="3298">
        <f t="shared" si="233"/>
        <v>0</v>
      </c>
      <c r="BT391" s="3350">
        <f t="shared" si="234"/>
        <v>0</v>
      </c>
    </row>
    <row r="392" spans="1:72">
      <c r="A392" s="1407"/>
      <c r="B392" s="3296"/>
      <c r="C392" s="3296"/>
      <c r="D392" s="3297"/>
      <c r="E392" s="3298">
        <f t="shared" si="235"/>
        <v>0</v>
      </c>
      <c r="F392" s="3299"/>
      <c r="G392" s="3300">
        <f t="shared" si="210"/>
        <v>0</v>
      </c>
      <c r="H392" s="3301">
        <f t="shared" si="211"/>
        <v>0</v>
      </c>
      <c r="I392" s="3308"/>
      <c r="J392" s="3308"/>
      <c r="K392" s="3308"/>
      <c r="L392" s="3308"/>
      <c r="M392" s="3308"/>
      <c r="N392" s="3308"/>
      <c r="O392" s="3308"/>
      <c r="P392" s="3308"/>
      <c r="Q392" s="3308"/>
      <c r="R392" s="3308"/>
      <c r="S392" s="3308"/>
      <c r="T392" s="3308"/>
      <c r="U392" s="3308"/>
      <c r="V392" s="3308"/>
      <c r="W392" s="3308"/>
      <c r="X392" s="3308"/>
      <c r="Y392" s="3308"/>
      <c r="Z392" s="3308"/>
      <c r="AA392" s="3308"/>
      <c r="AB392" s="3308"/>
      <c r="AC392" s="3298">
        <f t="shared" si="212"/>
        <v>0</v>
      </c>
      <c r="AD392" s="3318"/>
      <c r="AE392" s="3318"/>
      <c r="AF392" s="3318"/>
      <c r="AG392" s="3318"/>
      <c r="AH392" s="3318"/>
      <c r="AI392" s="3318"/>
      <c r="AJ392" s="3318"/>
      <c r="AK392" s="3318"/>
      <c r="AL392" s="3318"/>
      <c r="AM392" s="3318"/>
      <c r="AN392" s="3318"/>
      <c r="AO392" s="3318"/>
      <c r="AP392" s="3318"/>
      <c r="AQ392" s="3318"/>
      <c r="AR392" s="3318"/>
      <c r="AS392" s="3318"/>
      <c r="AT392" s="3328"/>
      <c r="AU392" s="3329"/>
      <c r="AV392" s="963">
        <f t="shared" si="236"/>
        <v>0</v>
      </c>
      <c r="AW392" s="963">
        <f t="shared" si="237"/>
        <v>0</v>
      </c>
      <c r="AX392" s="963">
        <f t="shared" si="238"/>
        <v>0</v>
      </c>
      <c r="AY392" s="3343">
        <f t="shared" si="213"/>
        <v>0</v>
      </c>
      <c r="AZ392" s="3298">
        <f t="shared" si="214"/>
        <v>0</v>
      </c>
      <c r="BA392" s="3298">
        <f t="shared" si="215"/>
        <v>0</v>
      </c>
      <c r="BB392" s="3298">
        <f t="shared" si="216"/>
        <v>0</v>
      </c>
      <c r="BC392" s="3298">
        <f t="shared" si="217"/>
        <v>0</v>
      </c>
      <c r="BD392" s="3298">
        <f t="shared" si="218"/>
        <v>0</v>
      </c>
      <c r="BE392" s="3298">
        <f t="shared" si="219"/>
        <v>0</v>
      </c>
      <c r="BF392" s="3298">
        <f t="shared" si="220"/>
        <v>0</v>
      </c>
      <c r="BG392" s="3298">
        <f t="shared" si="221"/>
        <v>0</v>
      </c>
      <c r="BH392" s="3298">
        <f t="shared" si="222"/>
        <v>0</v>
      </c>
      <c r="BI392" s="3298">
        <f t="shared" si="223"/>
        <v>0</v>
      </c>
      <c r="BJ392" s="3298">
        <f t="shared" si="224"/>
        <v>0</v>
      </c>
      <c r="BK392" s="3298">
        <f t="shared" si="225"/>
        <v>0</v>
      </c>
      <c r="BL392" s="3298">
        <f t="shared" si="226"/>
        <v>0</v>
      </c>
      <c r="BM392" s="3298">
        <f t="shared" si="227"/>
        <v>0</v>
      </c>
      <c r="BN392" s="3298">
        <f t="shared" si="228"/>
        <v>0</v>
      </c>
      <c r="BO392" s="3298">
        <f t="shared" si="229"/>
        <v>0</v>
      </c>
      <c r="BP392" s="3298">
        <f t="shared" si="230"/>
        <v>0</v>
      </c>
      <c r="BQ392" s="3298">
        <f t="shared" si="231"/>
        <v>0</v>
      </c>
      <c r="BR392" s="3298">
        <f t="shared" si="232"/>
        <v>0</v>
      </c>
      <c r="BS392" s="3298">
        <f t="shared" si="233"/>
        <v>0</v>
      </c>
      <c r="BT392" s="3350">
        <f t="shared" si="234"/>
        <v>0</v>
      </c>
    </row>
    <row r="393" spans="1:72">
      <c r="A393" s="1407"/>
      <c r="B393" s="3296"/>
      <c r="C393" s="3296"/>
      <c r="D393" s="3297"/>
      <c r="E393" s="3298">
        <f t="shared" si="235"/>
        <v>0</v>
      </c>
      <c r="F393" s="3299"/>
      <c r="G393" s="3300">
        <f t="shared" si="210"/>
        <v>0</v>
      </c>
      <c r="H393" s="3301">
        <f t="shared" si="211"/>
        <v>0</v>
      </c>
      <c r="I393" s="3308"/>
      <c r="J393" s="3308"/>
      <c r="K393" s="3308"/>
      <c r="L393" s="3308"/>
      <c r="M393" s="3308"/>
      <c r="N393" s="3308"/>
      <c r="O393" s="3308"/>
      <c r="P393" s="3308"/>
      <c r="Q393" s="3308"/>
      <c r="R393" s="3308"/>
      <c r="S393" s="3308"/>
      <c r="T393" s="3308"/>
      <c r="U393" s="3308"/>
      <c r="V393" s="3308"/>
      <c r="W393" s="3308"/>
      <c r="X393" s="3308"/>
      <c r="Y393" s="3308"/>
      <c r="Z393" s="3308"/>
      <c r="AA393" s="3308"/>
      <c r="AB393" s="3308"/>
      <c r="AC393" s="3298">
        <f t="shared" si="212"/>
        <v>0</v>
      </c>
      <c r="AD393" s="3318"/>
      <c r="AE393" s="3318"/>
      <c r="AF393" s="3318"/>
      <c r="AG393" s="3318"/>
      <c r="AH393" s="3318"/>
      <c r="AI393" s="3318"/>
      <c r="AJ393" s="3318"/>
      <c r="AK393" s="3318"/>
      <c r="AL393" s="3318"/>
      <c r="AM393" s="3318"/>
      <c r="AN393" s="3318"/>
      <c r="AO393" s="3318"/>
      <c r="AP393" s="3318"/>
      <c r="AQ393" s="3318"/>
      <c r="AR393" s="3318"/>
      <c r="AS393" s="3318"/>
      <c r="AT393" s="3328"/>
      <c r="AU393" s="3329"/>
      <c r="AV393" s="963">
        <f t="shared" si="236"/>
        <v>0</v>
      </c>
      <c r="AW393" s="963">
        <f t="shared" si="237"/>
        <v>0</v>
      </c>
      <c r="AX393" s="963">
        <f t="shared" si="238"/>
        <v>0</v>
      </c>
      <c r="AY393" s="3343">
        <f t="shared" si="213"/>
        <v>0</v>
      </c>
      <c r="AZ393" s="3298">
        <f t="shared" si="214"/>
        <v>0</v>
      </c>
      <c r="BA393" s="3298">
        <f t="shared" si="215"/>
        <v>0</v>
      </c>
      <c r="BB393" s="3298">
        <f t="shared" si="216"/>
        <v>0</v>
      </c>
      <c r="BC393" s="3298">
        <f t="shared" si="217"/>
        <v>0</v>
      </c>
      <c r="BD393" s="3298">
        <f t="shared" si="218"/>
        <v>0</v>
      </c>
      <c r="BE393" s="3298">
        <f t="shared" si="219"/>
        <v>0</v>
      </c>
      <c r="BF393" s="3298">
        <f t="shared" si="220"/>
        <v>0</v>
      </c>
      <c r="BG393" s="3298">
        <f t="shared" si="221"/>
        <v>0</v>
      </c>
      <c r="BH393" s="3298">
        <f t="shared" si="222"/>
        <v>0</v>
      </c>
      <c r="BI393" s="3298">
        <f t="shared" si="223"/>
        <v>0</v>
      </c>
      <c r="BJ393" s="3298">
        <f t="shared" si="224"/>
        <v>0</v>
      </c>
      <c r="BK393" s="3298">
        <f t="shared" si="225"/>
        <v>0</v>
      </c>
      <c r="BL393" s="3298">
        <f t="shared" si="226"/>
        <v>0</v>
      </c>
      <c r="BM393" s="3298">
        <f t="shared" si="227"/>
        <v>0</v>
      </c>
      <c r="BN393" s="3298">
        <f t="shared" si="228"/>
        <v>0</v>
      </c>
      <c r="BO393" s="3298">
        <f t="shared" si="229"/>
        <v>0</v>
      </c>
      <c r="BP393" s="3298">
        <f t="shared" si="230"/>
        <v>0</v>
      </c>
      <c r="BQ393" s="3298">
        <f t="shared" si="231"/>
        <v>0</v>
      </c>
      <c r="BR393" s="3298">
        <f t="shared" si="232"/>
        <v>0</v>
      </c>
      <c r="BS393" s="3298">
        <f t="shared" si="233"/>
        <v>0</v>
      </c>
      <c r="BT393" s="3350">
        <f t="shared" si="234"/>
        <v>0</v>
      </c>
    </row>
    <row r="394" spans="1:72">
      <c r="A394" s="1407"/>
      <c r="B394" s="3296"/>
      <c r="C394" s="3296"/>
      <c r="D394" s="3297"/>
      <c r="E394" s="3298">
        <f t="shared" si="235"/>
        <v>0</v>
      </c>
      <c r="F394" s="3299"/>
      <c r="G394" s="3300">
        <f t="shared" si="210"/>
        <v>0</v>
      </c>
      <c r="H394" s="3301">
        <f t="shared" si="211"/>
        <v>0</v>
      </c>
      <c r="I394" s="3308"/>
      <c r="J394" s="3308"/>
      <c r="K394" s="3308"/>
      <c r="L394" s="3308"/>
      <c r="M394" s="3308"/>
      <c r="N394" s="3308"/>
      <c r="O394" s="3308"/>
      <c r="P394" s="3308"/>
      <c r="Q394" s="3308"/>
      <c r="R394" s="3308"/>
      <c r="S394" s="3308"/>
      <c r="T394" s="3308"/>
      <c r="U394" s="3308"/>
      <c r="V394" s="3308"/>
      <c r="W394" s="3308"/>
      <c r="X394" s="3308"/>
      <c r="Y394" s="3308"/>
      <c r="Z394" s="3308"/>
      <c r="AA394" s="3308"/>
      <c r="AB394" s="3308"/>
      <c r="AC394" s="3298">
        <f t="shared" si="212"/>
        <v>0</v>
      </c>
      <c r="AD394" s="3318"/>
      <c r="AE394" s="3318"/>
      <c r="AF394" s="3318"/>
      <c r="AG394" s="3318"/>
      <c r="AH394" s="3318"/>
      <c r="AI394" s="3318"/>
      <c r="AJ394" s="3318"/>
      <c r="AK394" s="3318"/>
      <c r="AL394" s="3318"/>
      <c r="AM394" s="3318"/>
      <c r="AN394" s="3318"/>
      <c r="AO394" s="3318"/>
      <c r="AP394" s="3318"/>
      <c r="AQ394" s="3318"/>
      <c r="AR394" s="3318"/>
      <c r="AS394" s="3318"/>
      <c r="AT394" s="3328"/>
      <c r="AU394" s="3329"/>
      <c r="AV394" s="963">
        <f t="shared" si="236"/>
        <v>0</v>
      </c>
      <c r="AW394" s="963">
        <f t="shared" si="237"/>
        <v>0</v>
      </c>
      <c r="AX394" s="963">
        <f t="shared" si="238"/>
        <v>0</v>
      </c>
      <c r="AY394" s="3343">
        <f t="shared" si="213"/>
        <v>0</v>
      </c>
      <c r="AZ394" s="3298">
        <f t="shared" si="214"/>
        <v>0</v>
      </c>
      <c r="BA394" s="3298">
        <f t="shared" si="215"/>
        <v>0</v>
      </c>
      <c r="BB394" s="3298">
        <f t="shared" si="216"/>
        <v>0</v>
      </c>
      <c r="BC394" s="3298">
        <f t="shared" si="217"/>
        <v>0</v>
      </c>
      <c r="BD394" s="3298">
        <f t="shared" si="218"/>
        <v>0</v>
      </c>
      <c r="BE394" s="3298">
        <f t="shared" si="219"/>
        <v>0</v>
      </c>
      <c r="BF394" s="3298">
        <f t="shared" si="220"/>
        <v>0</v>
      </c>
      <c r="BG394" s="3298">
        <f t="shared" si="221"/>
        <v>0</v>
      </c>
      <c r="BH394" s="3298">
        <f t="shared" si="222"/>
        <v>0</v>
      </c>
      <c r="BI394" s="3298">
        <f t="shared" si="223"/>
        <v>0</v>
      </c>
      <c r="BJ394" s="3298">
        <f t="shared" si="224"/>
        <v>0</v>
      </c>
      <c r="BK394" s="3298">
        <f t="shared" si="225"/>
        <v>0</v>
      </c>
      <c r="BL394" s="3298">
        <f t="shared" si="226"/>
        <v>0</v>
      </c>
      <c r="BM394" s="3298">
        <f t="shared" si="227"/>
        <v>0</v>
      </c>
      <c r="BN394" s="3298">
        <f t="shared" si="228"/>
        <v>0</v>
      </c>
      <c r="BO394" s="3298">
        <f t="shared" si="229"/>
        <v>0</v>
      </c>
      <c r="BP394" s="3298">
        <f t="shared" si="230"/>
        <v>0</v>
      </c>
      <c r="BQ394" s="3298">
        <f t="shared" si="231"/>
        <v>0</v>
      </c>
      <c r="BR394" s="3298">
        <f t="shared" si="232"/>
        <v>0</v>
      </c>
      <c r="BS394" s="3298">
        <f t="shared" si="233"/>
        <v>0</v>
      </c>
      <c r="BT394" s="3350">
        <f t="shared" si="234"/>
        <v>0</v>
      </c>
    </row>
    <row r="395" spans="1:72">
      <c r="A395" s="1407"/>
      <c r="B395" s="1407"/>
      <c r="C395" s="1407"/>
      <c r="D395" s="3297"/>
      <c r="E395" s="3298">
        <f t="shared" si="235"/>
        <v>0</v>
      </c>
      <c r="F395" s="3351"/>
      <c r="G395" s="3300">
        <f t="shared" si="210"/>
        <v>0</v>
      </c>
      <c r="H395" s="3301">
        <f t="shared" si="211"/>
        <v>0</v>
      </c>
      <c r="I395" s="3352"/>
      <c r="J395" s="3352"/>
      <c r="K395" s="3308"/>
      <c r="L395" s="3308"/>
      <c r="M395" s="3308"/>
      <c r="N395" s="3308"/>
      <c r="O395" s="3308"/>
      <c r="P395" s="3308"/>
      <c r="Q395" s="3308"/>
      <c r="R395" s="3308"/>
      <c r="S395" s="3308"/>
      <c r="T395" s="3308"/>
      <c r="U395" s="3308"/>
      <c r="V395" s="3308"/>
      <c r="W395" s="3308"/>
      <c r="X395" s="3308"/>
      <c r="Y395" s="3308"/>
      <c r="Z395" s="3308"/>
      <c r="AA395" s="3308"/>
      <c r="AB395" s="3308"/>
      <c r="AC395" s="3298">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53"/>
      <c r="AV395" s="963">
        <f t="shared" si="236"/>
        <v>0</v>
      </c>
      <c r="AW395" s="963">
        <f t="shared" si="237"/>
        <v>0</v>
      </c>
      <c r="AX395" s="963">
        <f t="shared" si="238"/>
        <v>0</v>
      </c>
      <c r="AY395" s="3343">
        <f t="shared" si="213"/>
        <v>0</v>
      </c>
      <c r="AZ395" s="3298">
        <f t="shared" si="214"/>
        <v>0</v>
      </c>
      <c r="BA395" s="3298">
        <f t="shared" si="215"/>
        <v>0</v>
      </c>
      <c r="BB395" s="3298">
        <f t="shared" si="216"/>
        <v>0</v>
      </c>
      <c r="BC395" s="3298">
        <f t="shared" si="217"/>
        <v>0</v>
      </c>
      <c r="BD395" s="3298">
        <f t="shared" si="218"/>
        <v>0</v>
      </c>
      <c r="BE395" s="3298">
        <f t="shared" si="219"/>
        <v>0</v>
      </c>
      <c r="BF395" s="3298">
        <f t="shared" si="220"/>
        <v>0</v>
      </c>
      <c r="BG395" s="3298">
        <f t="shared" si="221"/>
        <v>0</v>
      </c>
      <c r="BH395" s="3298">
        <f t="shared" si="222"/>
        <v>0</v>
      </c>
      <c r="BI395" s="3298">
        <f t="shared" si="223"/>
        <v>0</v>
      </c>
      <c r="BJ395" s="3298">
        <f t="shared" si="224"/>
        <v>0</v>
      </c>
      <c r="BK395" s="3298">
        <f t="shared" si="225"/>
        <v>0</v>
      </c>
      <c r="BL395" s="3298">
        <f t="shared" si="226"/>
        <v>0</v>
      </c>
      <c r="BM395" s="3298">
        <f t="shared" si="227"/>
        <v>0</v>
      </c>
      <c r="BN395" s="3298">
        <f t="shared" si="228"/>
        <v>0</v>
      </c>
      <c r="BO395" s="3298">
        <f t="shared" si="229"/>
        <v>0</v>
      </c>
      <c r="BP395" s="3298">
        <f t="shared" si="230"/>
        <v>0</v>
      </c>
      <c r="BQ395" s="3298">
        <f t="shared" si="231"/>
        <v>0</v>
      </c>
      <c r="BR395" s="3298">
        <f t="shared" si="232"/>
        <v>0</v>
      </c>
      <c r="BS395" s="3298">
        <f t="shared" si="233"/>
        <v>0</v>
      </c>
      <c r="BT395" s="3350">
        <f t="shared" si="234"/>
        <v>0</v>
      </c>
    </row>
    <row r="396" spans="1:72">
      <c r="A396" s="1407"/>
      <c r="B396" s="1407"/>
      <c r="C396" s="1407"/>
      <c r="D396" s="3297"/>
      <c r="E396" s="3298">
        <f t="shared" si="235"/>
        <v>0</v>
      </c>
      <c r="F396" s="3351"/>
      <c r="G396" s="3300">
        <f t="shared" si="210"/>
        <v>0</v>
      </c>
      <c r="H396" s="3301">
        <f t="shared" si="211"/>
        <v>0</v>
      </c>
      <c r="I396" s="3308"/>
      <c r="J396" s="3308"/>
      <c r="K396" s="3308"/>
      <c r="L396" s="3308"/>
      <c r="M396" s="3308"/>
      <c r="N396" s="3308"/>
      <c r="O396" s="3308"/>
      <c r="P396" s="3308"/>
      <c r="Q396" s="3308"/>
      <c r="R396" s="3308"/>
      <c r="S396" s="3308"/>
      <c r="T396" s="3308"/>
      <c r="U396" s="3308"/>
      <c r="V396" s="3308"/>
      <c r="W396" s="3308"/>
      <c r="X396" s="3308"/>
      <c r="Y396" s="3308"/>
      <c r="Z396" s="3308"/>
      <c r="AA396" s="3308"/>
      <c r="AB396" s="3308"/>
      <c r="AC396" s="3298">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53"/>
      <c r="AV396" s="963">
        <f t="shared" si="236"/>
        <v>0</v>
      </c>
      <c r="AW396" s="963">
        <f t="shared" si="237"/>
        <v>0</v>
      </c>
      <c r="AX396" s="963">
        <f t="shared" si="238"/>
        <v>0</v>
      </c>
      <c r="AY396" s="3343">
        <f t="shared" si="213"/>
        <v>0</v>
      </c>
      <c r="AZ396" s="3298">
        <f t="shared" si="214"/>
        <v>0</v>
      </c>
      <c r="BA396" s="3298">
        <f t="shared" si="215"/>
        <v>0</v>
      </c>
      <c r="BB396" s="3298">
        <f t="shared" si="216"/>
        <v>0</v>
      </c>
      <c r="BC396" s="3298">
        <f t="shared" si="217"/>
        <v>0</v>
      </c>
      <c r="BD396" s="3298">
        <f t="shared" si="218"/>
        <v>0</v>
      </c>
      <c r="BE396" s="3298">
        <f t="shared" si="219"/>
        <v>0</v>
      </c>
      <c r="BF396" s="3298">
        <f t="shared" si="220"/>
        <v>0</v>
      </c>
      <c r="BG396" s="3298">
        <f t="shared" si="221"/>
        <v>0</v>
      </c>
      <c r="BH396" s="3298">
        <f t="shared" si="222"/>
        <v>0</v>
      </c>
      <c r="BI396" s="3298">
        <f t="shared" si="223"/>
        <v>0</v>
      </c>
      <c r="BJ396" s="3298">
        <f t="shared" si="224"/>
        <v>0</v>
      </c>
      <c r="BK396" s="3298">
        <f t="shared" si="225"/>
        <v>0</v>
      </c>
      <c r="BL396" s="3298">
        <f t="shared" si="226"/>
        <v>0</v>
      </c>
      <c r="BM396" s="3298">
        <f t="shared" si="227"/>
        <v>0</v>
      </c>
      <c r="BN396" s="3298">
        <f t="shared" si="228"/>
        <v>0</v>
      </c>
      <c r="BO396" s="3298">
        <f t="shared" si="229"/>
        <v>0</v>
      </c>
      <c r="BP396" s="3298">
        <f t="shared" si="230"/>
        <v>0</v>
      </c>
      <c r="BQ396" s="3298">
        <f t="shared" si="231"/>
        <v>0</v>
      </c>
      <c r="BR396" s="3298">
        <f t="shared" si="232"/>
        <v>0</v>
      </c>
      <c r="BS396" s="3298">
        <f t="shared" si="233"/>
        <v>0</v>
      </c>
      <c r="BT396" s="3350">
        <f t="shared" si="234"/>
        <v>0</v>
      </c>
    </row>
    <row r="397" spans="1:72">
      <c r="A397" s="1407"/>
      <c r="B397" s="1407"/>
      <c r="C397" s="1407"/>
      <c r="D397" s="3297"/>
      <c r="E397" s="3298">
        <f t="shared" si="235"/>
        <v>0</v>
      </c>
      <c r="F397" s="3351"/>
      <c r="G397" s="3300">
        <f t="shared" si="210"/>
        <v>0</v>
      </c>
      <c r="H397" s="3301">
        <f t="shared" si="211"/>
        <v>0</v>
      </c>
      <c r="I397" s="3308"/>
      <c r="J397" s="3308"/>
      <c r="K397" s="3308"/>
      <c r="L397" s="3308"/>
      <c r="M397" s="3308"/>
      <c r="N397" s="3308"/>
      <c r="O397" s="3308"/>
      <c r="P397" s="3308"/>
      <c r="Q397" s="3308"/>
      <c r="R397" s="3308"/>
      <c r="S397" s="3308"/>
      <c r="T397" s="3308"/>
      <c r="U397" s="3308"/>
      <c r="V397" s="3308"/>
      <c r="W397" s="3308"/>
      <c r="X397" s="3308"/>
      <c r="Y397" s="3308"/>
      <c r="Z397" s="3308"/>
      <c r="AA397" s="3308"/>
      <c r="AB397" s="3308"/>
      <c r="AC397" s="3298">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53"/>
      <c r="AV397" s="963">
        <f t="shared" si="236"/>
        <v>0</v>
      </c>
      <c r="AW397" s="963">
        <f t="shared" si="237"/>
        <v>0</v>
      </c>
      <c r="AX397" s="963">
        <f t="shared" si="238"/>
        <v>0</v>
      </c>
      <c r="AY397" s="3343">
        <f t="shared" si="213"/>
        <v>0</v>
      </c>
      <c r="AZ397" s="3298">
        <f t="shared" si="214"/>
        <v>0</v>
      </c>
      <c r="BA397" s="3298">
        <f t="shared" si="215"/>
        <v>0</v>
      </c>
      <c r="BB397" s="3298">
        <f t="shared" si="216"/>
        <v>0</v>
      </c>
      <c r="BC397" s="3298">
        <f t="shared" si="217"/>
        <v>0</v>
      </c>
      <c r="BD397" s="3298">
        <f t="shared" si="218"/>
        <v>0</v>
      </c>
      <c r="BE397" s="3298">
        <f t="shared" si="219"/>
        <v>0</v>
      </c>
      <c r="BF397" s="3298">
        <f t="shared" si="220"/>
        <v>0</v>
      </c>
      <c r="BG397" s="3298">
        <f t="shared" si="221"/>
        <v>0</v>
      </c>
      <c r="BH397" s="3298">
        <f t="shared" si="222"/>
        <v>0</v>
      </c>
      <c r="BI397" s="3298">
        <f t="shared" si="223"/>
        <v>0</v>
      </c>
      <c r="BJ397" s="3298">
        <f t="shared" si="224"/>
        <v>0</v>
      </c>
      <c r="BK397" s="3298">
        <f t="shared" si="225"/>
        <v>0</v>
      </c>
      <c r="BL397" s="3298">
        <f t="shared" si="226"/>
        <v>0</v>
      </c>
      <c r="BM397" s="3298">
        <f t="shared" si="227"/>
        <v>0</v>
      </c>
      <c r="BN397" s="3298">
        <f t="shared" si="228"/>
        <v>0</v>
      </c>
      <c r="BO397" s="3298">
        <f t="shared" si="229"/>
        <v>0</v>
      </c>
      <c r="BP397" s="3298">
        <f t="shared" si="230"/>
        <v>0</v>
      </c>
      <c r="BQ397" s="3298">
        <f t="shared" si="231"/>
        <v>0</v>
      </c>
      <c r="BR397" s="3298">
        <f t="shared" si="232"/>
        <v>0</v>
      </c>
      <c r="BS397" s="3298">
        <f t="shared" si="233"/>
        <v>0</v>
      </c>
      <c r="BT397" s="3350">
        <f t="shared" si="234"/>
        <v>0</v>
      </c>
    </row>
    <row r="398" spans="1:72">
      <c r="A398" s="1407"/>
      <c r="B398" s="3296"/>
      <c r="C398" s="3296"/>
      <c r="D398" s="3297"/>
      <c r="E398" s="3298">
        <f t="shared" ref="E398:E492" si="239">IF($C$3="是",ROUND($A$3*G398/$B$3,2),ROUND($A$3*(G398-AT398)/$B$3,2))</f>
        <v>0</v>
      </c>
      <c r="F398" s="3299"/>
      <c r="G398" s="3300">
        <f t="shared" ref="G398:G489" si="240">H398+AC398+AT398</f>
        <v>0</v>
      </c>
      <c r="H398" s="3301">
        <f t="shared" ref="H398:H489" si="241">SUMIF(I$12:AB$12,"总值",I398:AB398)</f>
        <v>0</v>
      </c>
      <c r="I398" s="3308"/>
      <c r="J398" s="3308"/>
      <c r="K398" s="3308"/>
      <c r="L398" s="3308"/>
      <c r="M398" s="3308"/>
      <c r="N398" s="3308"/>
      <c r="O398" s="3308"/>
      <c r="P398" s="3308"/>
      <c r="Q398" s="3308"/>
      <c r="R398" s="3308"/>
      <c r="S398" s="3308"/>
      <c r="T398" s="3308"/>
      <c r="U398" s="3308"/>
      <c r="V398" s="3308"/>
      <c r="W398" s="3308"/>
      <c r="X398" s="3308"/>
      <c r="Y398" s="3308"/>
      <c r="Z398" s="3308"/>
      <c r="AA398" s="3308"/>
      <c r="AB398" s="3308"/>
      <c r="AC398" s="3298">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28"/>
      <c r="AU398" s="3329"/>
      <c r="AV398" s="963">
        <f t="shared" ref="AV398:AV492" si="243">A398</f>
        <v>0</v>
      </c>
      <c r="AW398" s="963">
        <f t="shared" ref="AW398:AW492" si="244">B398</f>
        <v>0</v>
      </c>
      <c r="AX398" s="963">
        <f t="shared" ref="AX398:AX492" si="245">C398</f>
        <v>0</v>
      </c>
      <c r="AY398" s="3343">
        <f t="shared" ref="AY398:AY489" si="246">ROUND($AY$6*AZ398/$AZ$5,2)</f>
        <v>0</v>
      </c>
      <c r="AZ398" s="3298">
        <f t="shared" ref="AZ398:AZ489" si="247">BA398+BL398</f>
        <v>0</v>
      </c>
      <c r="BA398" s="3298">
        <f t="shared" ref="BA398:BA489" si="248">SUM(BB398:BK398)</f>
        <v>0</v>
      </c>
      <c r="BB398" s="3298">
        <f t="shared" ref="BB398:BB489" si="249">IF($D398="是",I398-J398,0)</f>
        <v>0</v>
      </c>
      <c r="BC398" s="3298">
        <f t="shared" ref="BC398:BC489" si="250">IF($D398="是",K398-L398,0)</f>
        <v>0</v>
      </c>
      <c r="BD398" s="3298">
        <f t="shared" ref="BD398:BD489" si="251">IF($D398="是",M398-N398,0)</f>
        <v>0</v>
      </c>
      <c r="BE398" s="3298">
        <f t="shared" ref="BE398:BE489" si="252">IF($D398="是",O398-P398,0)</f>
        <v>0</v>
      </c>
      <c r="BF398" s="3298">
        <f t="shared" ref="BF398:BF489" si="253">IF($D398="是",Q398-R398,0)</f>
        <v>0</v>
      </c>
      <c r="BG398" s="3298">
        <f t="shared" ref="BG398:BG489" si="254">IF($D398="是",S398-T398,0)</f>
        <v>0</v>
      </c>
      <c r="BH398" s="3298">
        <f t="shared" ref="BH398:BH489" si="255">IF($D398="是",U398-V398,0)</f>
        <v>0</v>
      </c>
      <c r="BI398" s="3298">
        <f t="shared" ref="BI398:BI489" si="256">IF($D398="是",W398-X398,0)</f>
        <v>0</v>
      </c>
      <c r="BJ398" s="3298">
        <f t="shared" ref="BJ398:BJ489" si="257">IF($D398="是",Y398-Z398,0)</f>
        <v>0</v>
      </c>
      <c r="BK398" s="3298">
        <f t="shared" ref="BK398:BK489" si="258">IF($D398="是",AA398-AB398,0)</f>
        <v>0</v>
      </c>
      <c r="BL398" s="3298">
        <f t="shared" ref="BL398:BL489" si="259">SUM(BM398:BT398)</f>
        <v>0</v>
      </c>
      <c r="BM398" s="3298">
        <f t="shared" ref="BM398:BM489" si="260">IF($D398="是",AD398-AE398,0)</f>
        <v>0</v>
      </c>
      <c r="BN398" s="3298">
        <f t="shared" ref="BN398:BN489" si="261">IF($D398="是",AF398-AG398,0)</f>
        <v>0</v>
      </c>
      <c r="BO398" s="3298">
        <f t="shared" ref="BO398:BO489" si="262">IF($D398="是",AH398-AI398,0)</f>
        <v>0</v>
      </c>
      <c r="BP398" s="3298">
        <f t="shared" ref="BP398:BP489" si="263">IF($D398="是",AJ398-AK398,0)</f>
        <v>0</v>
      </c>
      <c r="BQ398" s="3298">
        <f t="shared" ref="BQ398:BQ489" si="264">IF($D398="是",AL398-AM398,0)</f>
        <v>0</v>
      </c>
      <c r="BR398" s="3298">
        <f t="shared" ref="BR398:BR489" si="265">IF($D398="是",AN398-AO398,0)</f>
        <v>0</v>
      </c>
      <c r="BS398" s="3298">
        <f t="shared" ref="BS398:BS489" si="266">IF($D398="是",AP398-AQ398,0)</f>
        <v>0</v>
      </c>
      <c r="BT398" s="3350">
        <f t="shared" ref="BT398:BT489" si="267">IF($D398="是",AR398-AS398,0)</f>
        <v>0</v>
      </c>
    </row>
    <row r="399" spans="1:72">
      <c r="A399" s="1407"/>
      <c r="B399" s="3296"/>
      <c r="C399" s="3296"/>
      <c r="D399" s="3297"/>
      <c r="E399" s="3298">
        <f t="shared" si="239"/>
        <v>0</v>
      </c>
      <c r="F399" s="3299"/>
      <c r="G399" s="3300">
        <f t="shared" si="240"/>
        <v>0</v>
      </c>
      <c r="H399" s="3301">
        <f t="shared" si="241"/>
        <v>0</v>
      </c>
      <c r="I399" s="3308"/>
      <c r="J399" s="3308"/>
      <c r="K399" s="3308"/>
      <c r="L399" s="3308"/>
      <c r="M399" s="3308"/>
      <c r="N399" s="3308"/>
      <c r="O399" s="3308"/>
      <c r="P399" s="3308"/>
      <c r="Q399" s="3308"/>
      <c r="R399" s="3308"/>
      <c r="S399" s="3308"/>
      <c r="T399" s="3308"/>
      <c r="U399" s="3308"/>
      <c r="V399" s="3308"/>
      <c r="W399" s="3308"/>
      <c r="X399" s="3308"/>
      <c r="Y399" s="3308"/>
      <c r="Z399" s="3308"/>
      <c r="AA399" s="3308"/>
      <c r="AB399" s="3308"/>
      <c r="AC399" s="3298">
        <f t="shared" si="242"/>
        <v>0</v>
      </c>
      <c r="AD399" s="3318"/>
      <c r="AE399" s="3318"/>
      <c r="AF399" s="3318"/>
      <c r="AG399" s="3318"/>
      <c r="AH399" s="3318"/>
      <c r="AI399" s="3318"/>
      <c r="AJ399" s="3318"/>
      <c r="AK399" s="3318"/>
      <c r="AL399" s="3318"/>
      <c r="AM399" s="3318"/>
      <c r="AN399" s="3318"/>
      <c r="AO399" s="3318"/>
      <c r="AP399" s="3318"/>
      <c r="AQ399" s="3318"/>
      <c r="AR399" s="3318"/>
      <c r="AS399" s="3318"/>
      <c r="AT399" s="3328"/>
      <c r="AU399" s="3329"/>
      <c r="AV399" s="963">
        <f t="shared" si="243"/>
        <v>0</v>
      </c>
      <c r="AW399" s="963">
        <f t="shared" si="244"/>
        <v>0</v>
      </c>
      <c r="AX399" s="963">
        <f t="shared" si="245"/>
        <v>0</v>
      </c>
      <c r="AY399" s="3343">
        <f t="shared" si="246"/>
        <v>0</v>
      </c>
      <c r="AZ399" s="3298">
        <f t="shared" si="247"/>
        <v>0</v>
      </c>
      <c r="BA399" s="3298">
        <f t="shared" si="248"/>
        <v>0</v>
      </c>
      <c r="BB399" s="3298">
        <f t="shared" si="249"/>
        <v>0</v>
      </c>
      <c r="BC399" s="3298">
        <f t="shared" si="250"/>
        <v>0</v>
      </c>
      <c r="BD399" s="3298">
        <f t="shared" si="251"/>
        <v>0</v>
      </c>
      <c r="BE399" s="3298">
        <f t="shared" si="252"/>
        <v>0</v>
      </c>
      <c r="BF399" s="3298">
        <f t="shared" si="253"/>
        <v>0</v>
      </c>
      <c r="BG399" s="3298">
        <f t="shared" si="254"/>
        <v>0</v>
      </c>
      <c r="BH399" s="3298">
        <f t="shared" si="255"/>
        <v>0</v>
      </c>
      <c r="BI399" s="3298">
        <f t="shared" si="256"/>
        <v>0</v>
      </c>
      <c r="BJ399" s="3298">
        <f t="shared" si="257"/>
        <v>0</v>
      </c>
      <c r="BK399" s="3298">
        <f t="shared" si="258"/>
        <v>0</v>
      </c>
      <c r="BL399" s="3298">
        <f t="shared" si="259"/>
        <v>0</v>
      </c>
      <c r="BM399" s="3298">
        <f t="shared" si="260"/>
        <v>0</v>
      </c>
      <c r="BN399" s="3298">
        <f t="shared" si="261"/>
        <v>0</v>
      </c>
      <c r="BO399" s="3298">
        <f t="shared" si="262"/>
        <v>0</v>
      </c>
      <c r="BP399" s="3298">
        <f t="shared" si="263"/>
        <v>0</v>
      </c>
      <c r="BQ399" s="3298">
        <f t="shared" si="264"/>
        <v>0</v>
      </c>
      <c r="BR399" s="3298">
        <f t="shared" si="265"/>
        <v>0</v>
      </c>
      <c r="BS399" s="3298">
        <f t="shared" si="266"/>
        <v>0</v>
      </c>
      <c r="BT399" s="3350">
        <f t="shared" si="267"/>
        <v>0</v>
      </c>
    </row>
    <row r="400" spans="1:72">
      <c r="A400" s="1407"/>
      <c r="B400" s="3296"/>
      <c r="C400" s="3296"/>
      <c r="D400" s="3297"/>
      <c r="E400" s="3298">
        <f t="shared" si="239"/>
        <v>0</v>
      </c>
      <c r="F400" s="3299"/>
      <c r="G400" s="3300">
        <f t="shared" si="240"/>
        <v>0</v>
      </c>
      <c r="H400" s="3301">
        <f t="shared" si="241"/>
        <v>0</v>
      </c>
      <c r="I400" s="3308"/>
      <c r="J400" s="3308"/>
      <c r="K400" s="3308"/>
      <c r="L400" s="3308"/>
      <c r="M400" s="3308"/>
      <c r="N400" s="3308"/>
      <c r="O400" s="3308"/>
      <c r="P400" s="3308"/>
      <c r="Q400" s="3308"/>
      <c r="R400" s="3308"/>
      <c r="S400" s="3308"/>
      <c r="T400" s="3308"/>
      <c r="U400" s="3308"/>
      <c r="V400" s="3308"/>
      <c r="W400" s="3308"/>
      <c r="X400" s="3308"/>
      <c r="Y400" s="3308"/>
      <c r="Z400" s="3308"/>
      <c r="AA400" s="3308"/>
      <c r="AB400" s="3308"/>
      <c r="AC400" s="3298">
        <f t="shared" si="242"/>
        <v>0</v>
      </c>
      <c r="AD400" s="3318"/>
      <c r="AE400" s="3318"/>
      <c r="AF400" s="3318"/>
      <c r="AG400" s="3318"/>
      <c r="AH400" s="3318"/>
      <c r="AI400" s="3318"/>
      <c r="AJ400" s="3318"/>
      <c r="AK400" s="3318"/>
      <c r="AL400" s="3318"/>
      <c r="AM400" s="3318"/>
      <c r="AN400" s="3318"/>
      <c r="AO400" s="3318"/>
      <c r="AP400" s="3318"/>
      <c r="AQ400" s="3318"/>
      <c r="AR400" s="3318"/>
      <c r="AS400" s="3318"/>
      <c r="AT400" s="3328"/>
      <c r="AU400" s="3329"/>
      <c r="AV400" s="963">
        <f t="shared" si="243"/>
        <v>0</v>
      </c>
      <c r="AW400" s="963">
        <f t="shared" si="244"/>
        <v>0</v>
      </c>
      <c r="AX400" s="963">
        <f t="shared" si="245"/>
        <v>0</v>
      </c>
      <c r="AY400" s="3343">
        <f t="shared" si="246"/>
        <v>0</v>
      </c>
      <c r="AZ400" s="3298">
        <f t="shared" si="247"/>
        <v>0</v>
      </c>
      <c r="BA400" s="3298">
        <f t="shared" si="248"/>
        <v>0</v>
      </c>
      <c r="BB400" s="3298">
        <f t="shared" si="249"/>
        <v>0</v>
      </c>
      <c r="BC400" s="3298">
        <f t="shared" si="250"/>
        <v>0</v>
      </c>
      <c r="BD400" s="3298">
        <f t="shared" si="251"/>
        <v>0</v>
      </c>
      <c r="BE400" s="3298">
        <f t="shared" si="252"/>
        <v>0</v>
      </c>
      <c r="BF400" s="3298">
        <f t="shared" si="253"/>
        <v>0</v>
      </c>
      <c r="BG400" s="3298">
        <f t="shared" si="254"/>
        <v>0</v>
      </c>
      <c r="BH400" s="3298">
        <f t="shared" si="255"/>
        <v>0</v>
      </c>
      <c r="BI400" s="3298">
        <f t="shared" si="256"/>
        <v>0</v>
      </c>
      <c r="BJ400" s="3298">
        <f t="shared" si="257"/>
        <v>0</v>
      </c>
      <c r="BK400" s="3298">
        <f t="shared" si="258"/>
        <v>0</v>
      </c>
      <c r="BL400" s="3298">
        <f t="shared" si="259"/>
        <v>0</v>
      </c>
      <c r="BM400" s="3298">
        <f t="shared" si="260"/>
        <v>0</v>
      </c>
      <c r="BN400" s="3298">
        <f t="shared" si="261"/>
        <v>0</v>
      </c>
      <c r="BO400" s="3298">
        <f t="shared" si="262"/>
        <v>0</v>
      </c>
      <c r="BP400" s="3298">
        <f t="shared" si="263"/>
        <v>0</v>
      </c>
      <c r="BQ400" s="3298">
        <f t="shared" si="264"/>
        <v>0</v>
      </c>
      <c r="BR400" s="3298">
        <f t="shared" si="265"/>
        <v>0</v>
      </c>
      <c r="BS400" s="3298">
        <f t="shared" si="266"/>
        <v>0</v>
      </c>
      <c r="BT400" s="3350">
        <f t="shared" si="267"/>
        <v>0</v>
      </c>
    </row>
    <row r="401" spans="1:72">
      <c r="A401" s="1407"/>
      <c r="B401" s="3296"/>
      <c r="C401" s="3296"/>
      <c r="D401" s="3297"/>
      <c r="E401" s="3298">
        <f t="shared" si="239"/>
        <v>0</v>
      </c>
      <c r="F401" s="3299"/>
      <c r="G401" s="3300">
        <f t="shared" si="240"/>
        <v>0</v>
      </c>
      <c r="H401" s="3301">
        <f t="shared" si="241"/>
        <v>0</v>
      </c>
      <c r="I401" s="3308"/>
      <c r="J401" s="3308"/>
      <c r="K401" s="3308"/>
      <c r="L401" s="3308"/>
      <c r="M401" s="3308"/>
      <c r="N401" s="3308"/>
      <c r="O401" s="3308"/>
      <c r="P401" s="3308"/>
      <c r="Q401" s="3308"/>
      <c r="R401" s="3308"/>
      <c r="S401" s="3308"/>
      <c r="T401" s="3308"/>
      <c r="U401" s="3308"/>
      <c r="V401" s="3308"/>
      <c r="W401" s="3308"/>
      <c r="X401" s="3308"/>
      <c r="Y401" s="3308"/>
      <c r="Z401" s="3308"/>
      <c r="AA401" s="3308"/>
      <c r="AB401" s="3308"/>
      <c r="AC401" s="3298">
        <f t="shared" si="242"/>
        <v>0</v>
      </c>
      <c r="AD401" s="3318"/>
      <c r="AE401" s="3318"/>
      <c r="AF401" s="3318"/>
      <c r="AG401" s="3318"/>
      <c r="AH401" s="3318"/>
      <c r="AI401" s="3318"/>
      <c r="AJ401" s="3318"/>
      <c r="AK401" s="3318"/>
      <c r="AL401" s="3318"/>
      <c r="AM401" s="3318"/>
      <c r="AN401" s="3318"/>
      <c r="AO401" s="3318"/>
      <c r="AP401" s="3318"/>
      <c r="AQ401" s="3318"/>
      <c r="AR401" s="3318"/>
      <c r="AS401" s="3318"/>
      <c r="AT401" s="3328"/>
      <c r="AU401" s="3329"/>
      <c r="AV401" s="963">
        <f t="shared" si="243"/>
        <v>0</v>
      </c>
      <c r="AW401" s="963">
        <f t="shared" si="244"/>
        <v>0</v>
      </c>
      <c r="AX401" s="963">
        <f t="shared" si="245"/>
        <v>0</v>
      </c>
      <c r="AY401" s="3343">
        <f t="shared" si="246"/>
        <v>0</v>
      </c>
      <c r="AZ401" s="3298">
        <f t="shared" si="247"/>
        <v>0</v>
      </c>
      <c r="BA401" s="3298">
        <f t="shared" si="248"/>
        <v>0</v>
      </c>
      <c r="BB401" s="3298">
        <f t="shared" si="249"/>
        <v>0</v>
      </c>
      <c r="BC401" s="3298">
        <f t="shared" si="250"/>
        <v>0</v>
      </c>
      <c r="BD401" s="3298">
        <f t="shared" si="251"/>
        <v>0</v>
      </c>
      <c r="BE401" s="3298">
        <f t="shared" si="252"/>
        <v>0</v>
      </c>
      <c r="BF401" s="3298">
        <f t="shared" si="253"/>
        <v>0</v>
      </c>
      <c r="BG401" s="3298">
        <f t="shared" si="254"/>
        <v>0</v>
      </c>
      <c r="BH401" s="3298">
        <f t="shared" si="255"/>
        <v>0</v>
      </c>
      <c r="BI401" s="3298">
        <f t="shared" si="256"/>
        <v>0</v>
      </c>
      <c r="BJ401" s="3298">
        <f t="shared" si="257"/>
        <v>0</v>
      </c>
      <c r="BK401" s="3298">
        <f t="shared" si="258"/>
        <v>0</v>
      </c>
      <c r="BL401" s="3298">
        <f t="shared" si="259"/>
        <v>0</v>
      </c>
      <c r="BM401" s="3298">
        <f t="shared" si="260"/>
        <v>0</v>
      </c>
      <c r="BN401" s="3298">
        <f t="shared" si="261"/>
        <v>0</v>
      </c>
      <c r="BO401" s="3298">
        <f t="shared" si="262"/>
        <v>0</v>
      </c>
      <c r="BP401" s="3298">
        <f t="shared" si="263"/>
        <v>0</v>
      </c>
      <c r="BQ401" s="3298">
        <f t="shared" si="264"/>
        <v>0</v>
      </c>
      <c r="BR401" s="3298">
        <f t="shared" si="265"/>
        <v>0</v>
      </c>
      <c r="BS401" s="3298">
        <f t="shared" si="266"/>
        <v>0</v>
      </c>
      <c r="BT401" s="3350">
        <f t="shared" si="267"/>
        <v>0</v>
      </c>
    </row>
    <row r="402" spans="1:72">
      <c r="A402" s="1407"/>
      <c r="B402" s="3296"/>
      <c r="C402" s="3296"/>
      <c r="D402" s="3297"/>
      <c r="E402" s="3298">
        <f t="shared" si="239"/>
        <v>0</v>
      </c>
      <c r="F402" s="3299"/>
      <c r="G402" s="3300">
        <f t="shared" si="240"/>
        <v>0</v>
      </c>
      <c r="H402" s="3301">
        <f t="shared" si="241"/>
        <v>0</v>
      </c>
      <c r="I402" s="3308"/>
      <c r="J402" s="3308"/>
      <c r="K402" s="3308"/>
      <c r="L402" s="3308"/>
      <c r="M402" s="3308"/>
      <c r="N402" s="3308"/>
      <c r="O402" s="3308"/>
      <c r="P402" s="3308"/>
      <c r="Q402" s="3308"/>
      <c r="R402" s="3308"/>
      <c r="S402" s="3308"/>
      <c r="T402" s="3308"/>
      <c r="U402" s="3308"/>
      <c r="V402" s="3308"/>
      <c r="W402" s="3308"/>
      <c r="X402" s="3308"/>
      <c r="Y402" s="3308"/>
      <c r="Z402" s="3308"/>
      <c r="AA402" s="3308"/>
      <c r="AB402" s="3308"/>
      <c r="AC402" s="3298">
        <f t="shared" si="242"/>
        <v>0</v>
      </c>
      <c r="AD402" s="3318"/>
      <c r="AE402" s="3318"/>
      <c r="AF402" s="3318"/>
      <c r="AG402" s="3318"/>
      <c r="AH402" s="3318"/>
      <c r="AI402" s="3318"/>
      <c r="AJ402" s="3318"/>
      <c r="AK402" s="3318"/>
      <c r="AL402" s="3318"/>
      <c r="AM402" s="3318"/>
      <c r="AN402" s="3318"/>
      <c r="AO402" s="3318"/>
      <c r="AP402" s="3318"/>
      <c r="AQ402" s="3318"/>
      <c r="AR402" s="3318"/>
      <c r="AS402" s="3318"/>
      <c r="AT402" s="3328"/>
      <c r="AU402" s="3329"/>
      <c r="AV402" s="963">
        <f t="shared" si="243"/>
        <v>0</v>
      </c>
      <c r="AW402" s="963">
        <f t="shared" si="244"/>
        <v>0</v>
      </c>
      <c r="AX402" s="963">
        <f t="shared" si="245"/>
        <v>0</v>
      </c>
      <c r="AY402" s="3343">
        <f t="shared" si="246"/>
        <v>0</v>
      </c>
      <c r="AZ402" s="3298">
        <f t="shared" si="247"/>
        <v>0</v>
      </c>
      <c r="BA402" s="3298">
        <f t="shared" si="248"/>
        <v>0</v>
      </c>
      <c r="BB402" s="3298">
        <f t="shared" si="249"/>
        <v>0</v>
      </c>
      <c r="BC402" s="3298">
        <f t="shared" si="250"/>
        <v>0</v>
      </c>
      <c r="BD402" s="3298">
        <f t="shared" si="251"/>
        <v>0</v>
      </c>
      <c r="BE402" s="3298">
        <f t="shared" si="252"/>
        <v>0</v>
      </c>
      <c r="BF402" s="3298">
        <f t="shared" si="253"/>
        <v>0</v>
      </c>
      <c r="BG402" s="3298">
        <f t="shared" si="254"/>
        <v>0</v>
      </c>
      <c r="BH402" s="3298">
        <f t="shared" si="255"/>
        <v>0</v>
      </c>
      <c r="BI402" s="3298">
        <f t="shared" si="256"/>
        <v>0</v>
      </c>
      <c r="BJ402" s="3298">
        <f t="shared" si="257"/>
        <v>0</v>
      </c>
      <c r="BK402" s="3298">
        <f t="shared" si="258"/>
        <v>0</v>
      </c>
      <c r="BL402" s="3298">
        <f t="shared" si="259"/>
        <v>0</v>
      </c>
      <c r="BM402" s="3298">
        <f t="shared" si="260"/>
        <v>0</v>
      </c>
      <c r="BN402" s="3298">
        <f t="shared" si="261"/>
        <v>0</v>
      </c>
      <c r="BO402" s="3298">
        <f t="shared" si="262"/>
        <v>0</v>
      </c>
      <c r="BP402" s="3298">
        <f t="shared" si="263"/>
        <v>0</v>
      </c>
      <c r="BQ402" s="3298">
        <f t="shared" si="264"/>
        <v>0</v>
      </c>
      <c r="BR402" s="3298">
        <f t="shared" si="265"/>
        <v>0</v>
      </c>
      <c r="BS402" s="3298">
        <f t="shared" si="266"/>
        <v>0</v>
      </c>
      <c r="BT402" s="3350">
        <f t="shared" si="267"/>
        <v>0</v>
      </c>
    </row>
    <row r="403" spans="1:72">
      <c r="A403" s="1407"/>
      <c r="B403" s="3296"/>
      <c r="C403" s="3296"/>
      <c r="D403" s="3297"/>
      <c r="E403" s="3298">
        <f t="shared" si="239"/>
        <v>0</v>
      </c>
      <c r="F403" s="3299"/>
      <c r="G403" s="3300">
        <f t="shared" si="240"/>
        <v>0</v>
      </c>
      <c r="H403" s="3301">
        <f t="shared" si="241"/>
        <v>0</v>
      </c>
      <c r="I403" s="3308"/>
      <c r="J403" s="3308"/>
      <c r="K403" s="3308"/>
      <c r="L403" s="3308"/>
      <c r="M403" s="3308"/>
      <c r="N403" s="3308"/>
      <c r="O403" s="3308"/>
      <c r="P403" s="3308"/>
      <c r="Q403" s="3308"/>
      <c r="R403" s="3308"/>
      <c r="S403" s="3308"/>
      <c r="T403" s="3308"/>
      <c r="U403" s="3308"/>
      <c r="V403" s="3308"/>
      <c r="W403" s="3308"/>
      <c r="X403" s="3308"/>
      <c r="Y403" s="3308"/>
      <c r="Z403" s="3308"/>
      <c r="AA403" s="3308"/>
      <c r="AB403" s="3308"/>
      <c r="AC403" s="3298">
        <f t="shared" si="242"/>
        <v>0</v>
      </c>
      <c r="AD403" s="3318"/>
      <c r="AE403" s="3318"/>
      <c r="AF403" s="3318"/>
      <c r="AG403" s="3318"/>
      <c r="AH403" s="3318"/>
      <c r="AI403" s="3318"/>
      <c r="AJ403" s="3318"/>
      <c r="AK403" s="3318"/>
      <c r="AL403" s="3318"/>
      <c r="AM403" s="3318"/>
      <c r="AN403" s="3318"/>
      <c r="AO403" s="3318"/>
      <c r="AP403" s="3318"/>
      <c r="AQ403" s="3318"/>
      <c r="AR403" s="3318"/>
      <c r="AS403" s="3318"/>
      <c r="AT403" s="3328"/>
      <c r="AU403" s="3329"/>
      <c r="AV403" s="963">
        <f t="shared" si="243"/>
        <v>0</v>
      </c>
      <c r="AW403" s="963">
        <f t="shared" si="244"/>
        <v>0</v>
      </c>
      <c r="AX403" s="963">
        <f t="shared" si="245"/>
        <v>0</v>
      </c>
      <c r="AY403" s="3343">
        <f t="shared" si="246"/>
        <v>0</v>
      </c>
      <c r="AZ403" s="3298">
        <f t="shared" si="247"/>
        <v>0</v>
      </c>
      <c r="BA403" s="3298">
        <f t="shared" si="248"/>
        <v>0</v>
      </c>
      <c r="BB403" s="3298">
        <f t="shared" si="249"/>
        <v>0</v>
      </c>
      <c r="BC403" s="3298">
        <f t="shared" si="250"/>
        <v>0</v>
      </c>
      <c r="BD403" s="3298">
        <f t="shared" si="251"/>
        <v>0</v>
      </c>
      <c r="BE403" s="3298">
        <f t="shared" si="252"/>
        <v>0</v>
      </c>
      <c r="BF403" s="3298">
        <f t="shared" si="253"/>
        <v>0</v>
      </c>
      <c r="BG403" s="3298">
        <f t="shared" si="254"/>
        <v>0</v>
      </c>
      <c r="BH403" s="3298">
        <f t="shared" si="255"/>
        <v>0</v>
      </c>
      <c r="BI403" s="3298">
        <f t="shared" si="256"/>
        <v>0</v>
      </c>
      <c r="BJ403" s="3298">
        <f t="shared" si="257"/>
        <v>0</v>
      </c>
      <c r="BK403" s="3298">
        <f t="shared" si="258"/>
        <v>0</v>
      </c>
      <c r="BL403" s="3298">
        <f t="shared" si="259"/>
        <v>0</v>
      </c>
      <c r="BM403" s="3298">
        <f t="shared" si="260"/>
        <v>0</v>
      </c>
      <c r="BN403" s="3298">
        <f t="shared" si="261"/>
        <v>0</v>
      </c>
      <c r="BO403" s="3298">
        <f t="shared" si="262"/>
        <v>0</v>
      </c>
      <c r="BP403" s="3298">
        <f t="shared" si="263"/>
        <v>0</v>
      </c>
      <c r="BQ403" s="3298">
        <f t="shared" si="264"/>
        <v>0</v>
      </c>
      <c r="BR403" s="3298">
        <f t="shared" si="265"/>
        <v>0</v>
      </c>
      <c r="BS403" s="3298">
        <f t="shared" si="266"/>
        <v>0</v>
      </c>
      <c r="BT403" s="3350">
        <f t="shared" si="267"/>
        <v>0</v>
      </c>
    </row>
    <row r="404" spans="1:72">
      <c r="A404" s="1407"/>
      <c r="B404" s="3296"/>
      <c r="C404" s="3296"/>
      <c r="D404" s="3297"/>
      <c r="E404" s="3298">
        <f t="shared" si="239"/>
        <v>0</v>
      </c>
      <c r="F404" s="3299"/>
      <c r="G404" s="3300">
        <f t="shared" si="240"/>
        <v>0</v>
      </c>
      <c r="H404" s="3301">
        <f t="shared" si="241"/>
        <v>0</v>
      </c>
      <c r="I404" s="3308"/>
      <c r="J404" s="3308"/>
      <c r="K404" s="3308"/>
      <c r="L404" s="3308"/>
      <c r="M404" s="3308"/>
      <c r="N404" s="3308"/>
      <c r="O404" s="3308"/>
      <c r="P404" s="3308"/>
      <c r="Q404" s="3308"/>
      <c r="R404" s="3308"/>
      <c r="S404" s="3308"/>
      <c r="T404" s="3308"/>
      <c r="U404" s="3308"/>
      <c r="V404" s="3308"/>
      <c r="W404" s="3308"/>
      <c r="X404" s="3308"/>
      <c r="Y404" s="3308"/>
      <c r="Z404" s="3308"/>
      <c r="AA404" s="3308"/>
      <c r="AB404" s="3308"/>
      <c r="AC404" s="3298">
        <f t="shared" si="242"/>
        <v>0</v>
      </c>
      <c r="AD404" s="3318"/>
      <c r="AE404" s="3318"/>
      <c r="AF404" s="3318"/>
      <c r="AG404" s="3318"/>
      <c r="AH404" s="3318"/>
      <c r="AI404" s="3318"/>
      <c r="AJ404" s="3318"/>
      <c r="AK404" s="3318"/>
      <c r="AL404" s="3318"/>
      <c r="AM404" s="3318"/>
      <c r="AN404" s="3318"/>
      <c r="AO404" s="3318"/>
      <c r="AP404" s="3318"/>
      <c r="AQ404" s="3318"/>
      <c r="AR404" s="3318"/>
      <c r="AS404" s="3318"/>
      <c r="AT404" s="3328"/>
      <c r="AU404" s="3329"/>
      <c r="AV404" s="963">
        <f t="shared" si="243"/>
        <v>0</v>
      </c>
      <c r="AW404" s="963">
        <f t="shared" si="244"/>
        <v>0</v>
      </c>
      <c r="AX404" s="963">
        <f t="shared" si="245"/>
        <v>0</v>
      </c>
      <c r="AY404" s="3343">
        <f t="shared" si="246"/>
        <v>0</v>
      </c>
      <c r="AZ404" s="3298">
        <f t="shared" si="247"/>
        <v>0</v>
      </c>
      <c r="BA404" s="3298">
        <f t="shared" si="248"/>
        <v>0</v>
      </c>
      <c r="BB404" s="3298">
        <f t="shared" si="249"/>
        <v>0</v>
      </c>
      <c r="BC404" s="3298">
        <f t="shared" si="250"/>
        <v>0</v>
      </c>
      <c r="BD404" s="3298">
        <f t="shared" si="251"/>
        <v>0</v>
      </c>
      <c r="BE404" s="3298">
        <f t="shared" si="252"/>
        <v>0</v>
      </c>
      <c r="BF404" s="3298">
        <f t="shared" si="253"/>
        <v>0</v>
      </c>
      <c r="BG404" s="3298">
        <f t="shared" si="254"/>
        <v>0</v>
      </c>
      <c r="BH404" s="3298">
        <f t="shared" si="255"/>
        <v>0</v>
      </c>
      <c r="BI404" s="3298">
        <f t="shared" si="256"/>
        <v>0</v>
      </c>
      <c r="BJ404" s="3298">
        <f t="shared" si="257"/>
        <v>0</v>
      </c>
      <c r="BK404" s="3298">
        <f t="shared" si="258"/>
        <v>0</v>
      </c>
      <c r="BL404" s="3298">
        <f t="shared" si="259"/>
        <v>0</v>
      </c>
      <c r="BM404" s="3298">
        <f t="shared" si="260"/>
        <v>0</v>
      </c>
      <c r="BN404" s="3298">
        <f t="shared" si="261"/>
        <v>0</v>
      </c>
      <c r="BO404" s="3298">
        <f t="shared" si="262"/>
        <v>0</v>
      </c>
      <c r="BP404" s="3298">
        <f t="shared" si="263"/>
        <v>0</v>
      </c>
      <c r="BQ404" s="3298">
        <f t="shared" si="264"/>
        <v>0</v>
      </c>
      <c r="BR404" s="3298">
        <f t="shared" si="265"/>
        <v>0</v>
      </c>
      <c r="BS404" s="3298">
        <f t="shared" si="266"/>
        <v>0</v>
      </c>
      <c r="BT404" s="3350">
        <f t="shared" si="267"/>
        <v>0</v>
      </c>
    </row>
    <row r="405" spans="1:72">
      <c r="A405" s="1407"/>
      <c r="B405" s="3296"/>
      <c r="C405" s="3296"/>
      <c r="D405" s="3297"/>
      <c r="E405" s="3298">
        <f t="shared" si="239"/>
        <v>0</v>
      </c>
      <c r="F405" s="3299"/>
      <c r="G405" s="3300">
        <f t="shared" si="240"/>
        <v>0</v>
      </c>
      <c r="H405" s="3301">
        <f t="shared" si="241"/>
        <v>0</v>
      </c>
      <c r="I405" s="3308"/>
      <c r="J405" s="3308"/>
      <c r="K405" s="3308"/>
      <c r="L405" s="3308"/>
      <c r="M405" s="3308"/>
      <c r="N405" s="3308"/>
      <c r="O405" s="3308"/>
      <c r="P405" s="3308"/>
      <c r="Q405" s="3308"/>
      <c r="R405" s="3308"/>
      <c r="S405" s="3308"/>
      <c r="T405" s="3308"/>
      <c r="U405" s="3308"/>
      <c r="V405" s="3308"/>
      <c r="W405" s="3308"/>
      <c r="X405" s="3308"/>
      <c r="Y405" s="3308"/>
      <c r="Z405" s="3308"/>
      <c r="AA405" s="3308"/>
      <c r="AB405" s="3308"/>
      <c r="AC405" s="3298">
        <f t="shared" si="242"/>
        <v>0</v>
      </c>
      <c r="AD405" s="3318"/>
      <c r="AE405" s="3318"/>
      <c r="AF405" s="3318"/>
      <c r="AG405" s="3318"/>
      <c r="AH405" s="3318"/>
      <c r="AI405" s="3318"/>
      <c r="AJ405" s="3318"/>
      <c r="AK405" s="3318"/>
      <c r="AL405" s="3318"/>
      <c r="AM405" s="3318"/>
      <c r="AN405" s="3318"/>
      <c r="AO405" s="3318"/>
      <c r="AP405" s="3318"/>
      <c r="AQ405" s="3318"/>
      <c r="AR405" s="3318"/>
      <c r="AS405" s="3318"/>
      <c r="AT405" s="3328"/>
      <c r="AU405" s="3329"/>
      <c r="AV405" s="963">
        <f t="shared" si="243"/>
        <v>0</v>
      </c>
      <c r="AW405" s="963">
        <f t="shared" si="244"/>
        <v>0</v>
      </c>
      <c r="AX405" s="963">
        <f t="shared" si="245"/>
        <v>0</v>
      </c>
      <c r="AY405" s="3343">
        <f t="shared" si="246"/>
        <v>0</v>
      </c>
      <c r="AZ405" s="3298">
        <f t="shared" si="247"/>
        <v>0</v>
      </c>
      <c r="BA405" s="3298">
        <f t="shared" si="248"/>
        <v>0</v>
      </c>
      <c r="BB405" s="3298">
        <f t="shared" si="249"/>
        <v>0</v>
      </c>
      <c r="BC405" s="3298">
        <f t="shared" si="250"/>
        <v>0</v>
      </c>
      <c r="BD405" s="3298">
        <f t="shared" si="251"/>
        <v>0</v>
      </c>
      <c r="BE405" s="3298">
        <f t="shared" si="252"/>
        <v>0</v>
      </c>
      <c r="BF405" s="3298">
        <f t="shared" si="253"/>
        <v>0</v>
      </c>
      <c r="BG405" s="3298">
        <f t="shared" si="254"/>
        <v>0</v>
      </c>
      <c r="BH405" s="3298">
        <f t="shared" si="255"/>
        <v>0</v>
      </c>
      <c r="BI405" s="3298">
        <f t="shared" si="256"/>
        <v>0</v>
      </c>
      <c r="BJ405" s="3298">
        <f t="shared" si="257"/>
        <v>0</v>
      </c>
      <c r="BK405" s="3298">
        <f t="shared" si="258"/>
        <v>0</v>
      </c>
      <c r="BL405" s="3298">
        <f t="shared" si="259"/>
        <v>0</v>
      </c>
      <c r="BM405" s="3298">
        <f t="shared" si="260"/>
        <v>0</v>
      </c>
      <c r="BN405" s="3298">
        <f t="shared" si="261"/>
        <v>0</v>
      </c>
      <c r="BO405" s="3298">
        <f t="shared" si="262"/>
        <v>0</v>
      </c>
      <c r="BP405" s="3298">
        <f t="shared" si="263"/>
        <v>0</v>
      </c>
      <c r="BQ405" s="3298">
        <f t="shared" si="264"/>
        <v>0</v>
      </c>
      <c r="BR405" s="3298">
        <f t="shared" si="265"/>
        <v>0</v>
      </c>
      <c r="BS405" s="3298">
        <f t="shared" si="266"/>
        <v>0</v>
      </c>
      <c r="BT405" s="3350">
        <f t="shared" si="267"/>
        <v>0</v>
      </c>
    </row>
    <row r="406" spans="1:72">
      <c r="A406" s="1407"/>
      <c r="B406" s="3296"/>
      <c r="C406" s="3296"/>
      <c r="D406" s="3297"/>
      <c r="E406" s="3298">
        <f t="shared" si="239"/>
        <v>0</v>
      </c>
      <c r="F406" s="3299"/>
      <c r="G406" s="3300">
        <f t="shared" si="240"/>
        <v>0</v>
      </c>
      <c r="H406" s="3301">
        <f t="shared" si="241"/>
        <v>0</v>
      </c>
      <c r="I406" s="3308"/>
      <c r="J406" s="3308"/>
      <c r="K406" s="3308"/>
      <c r="L406" s="3308"/>
      <c r="M406" s="3308"/>
      <c r="N406" s="3308"/>
      <c r="O406" s="3308"/>
      <c r="P406" s="3308"/>
      <c r="Q406" s="3308"/>
      <c r="R406" s="3308"/>
      <c r="S406" s="3308"/>
      <c r="T406" s="3308"/>
      <c r="U406" s="3308"/>
      <c r="V406" s="3308"/>
      <c r="W406" s="3308"/>
      <c r="X406" s="3308"/>
      <c r="Y406" s="3308"/>
      <c r="Z406" s="3308"/>
      <c r="AA406" s="3308"/>
      <c r="AB406" s="3308"/>
      <c r="AC406" s="3298">
        <f t="shared" si="242"/>
        <v>0</v>
      </c>
      <c r="AD406" s="3318"/>
      <c r="AE406" s="3318"/>
      <c r="AF406" s="3318"/>
      <c r="AG406" s="3318"/>
      <c r="AH406" s="3318"/>
      <c r="AI406" s="3318"/>
      <c r="AJ406" s="3318"/>
      <c r="AK406" s="3318"/>
      <c r="AL406" s="3318"/>
      <c r="AM406" s="3318"/>
      <c r="AN406" s="3318"/>
      <c r="AO406" s="3318"/>
      <c r="AP406" s="3318"/>
      <c r="AQ406" s="3318"/>
      <c r="AR406" s="3318"/>
      <c r="AS406" s="3318"/>
      <c r="AT406" s="3328"/>
      <c r="AU406" s="3329"/>
      <c r="AV406" s="963">
        <f t="shared" si="243"/>
        <v>0</v>
      </c>
      <c r="AW406" s="963">
        <f t="shared" si="244"/>
        <v>0</v>
      </c>
      <c r="AX406" s="963">
        <f t="shared" si="245"/>
        <v>0</v>
      </c>
      <c r="AY406" s="3343">
        <f t="shared" si="246"/>
        <v>0</v>
      </c>
      <c r="AZ406" s="3298">
        <f t="shared" si="247"/>
        <v>0</v>
      </c>
      <c r="BA406" s="3298">
        <f t="shared" si="248"/>
        <v>0</v>
      </c>
      <c r="BB406" s="3298">
        <f t="shared" si="249"/>
        <v>0</v>
      </c>
      <c r="BC406" s="3298">
        <f t="shared" si="250"/>
        <v>0</v>
      </c>
      <c r="BD406" s="3298">
        <f t="shared" si="251"/>
        <v>0</v>
      </c>
      <c r="BE406" s="3298">
        <f t="shared" si="252"/>
        <v>0</v>
      </c>
      <c r="BF406" s="3298">
        <f t="shared" si="253"/>
        <v>0</v>
      </c>
      <c r="BG406" s="3298">
        <f t="shared" si="254"/>
        <v>0</v>
      </c>
      <c r="BH406" s="3298">
        <f t="shared" si="255"/>
        <v>0</v>
      </c>
      <c r="BI406" s="3298">
        <f t="shared" si="256"/>
        <v>0</v>
      </c>
      <c r="BJ406" s="3298">
        <f t="shared" si="257"/>
        <v>0</v>
      </c>
      <c r="BK406" s="3298">
        <f t="shared" si="258"/>
        <v>0</v>
      </c>
      <c r="BL406" s="3298">
        <f t="shared" si="259"/>
        <v>0</v>
      </c>
      <c r="BM406" s="3298">
        <f t="shared" si="260"/>
        <v>0</v>
      </c>
      <c r="BN406" s="3298">
        <f t="shared" si="261"/>
        <v>0</v>
      </c>
      <c r="BO406" s="3298">
        <f t="shared" si="262"/>
        <v>0</v>
      </c>
      <c r="BP406" s="3298">
        <f t="shared" si="263"/>
        <v>0</v>
      </c>
      <c r="BQ406" s="3298">
        <f t="shared" si="264"/>
        <v>0</v>
      </c>
      <c r="BR406" s="3298">
        <f t="shared" si="265"/>
        <v>0</v>
      </c>
      <c r="BS406" s="3298">
        <f t="shared" si="266"/>
        <v>0</v>
      </c>
      <c r="BT406" s="3350">
        <f t="shared" si="267"/>
        <v>0</v>
      </c>
    </row>
    <row r="407" spans="1:72">
      <c r="A407" s="1407"/>
      <c r="B407" s="3296"/>
      <c r="C407" s="3296"/>
      <c r="D407" s="3297"/>
      <c r="E407" s="3298">
        <f t="shared" si="239"/>
        <v>0</v>
      </c>
      <c r="F407" s="3299"/>
      <c r="G407" s="3300">
        <f t="shared" si="240"/>
        <v>0</v>
      </c>
      <c r="H407" s="3301">
        <f t="shared" si="241"/>
        <v>0</v>
      </c>
      <c r="I407" s="3308"/>
      <c r="J407" s="3308"/>
      <c r="K407" s="3308"/>
      <c r="L407" s="3308"/>
      <c r="M407" s="3308"/>
      <c r="N407" s="3308"/>
      <c r="O407" s="3308"/>
      <c r="P407" s="3308"/>
      <c r="Q407" s="3308"/>
      <c r="R407" s="3308"/>
      <c r="S407" s="3308"/>
      <c r="T407" s="3308"/>
      <c r="U407" s="3308"/>
      <c r="V407" s="3308"/>
      <c r="W407" s="3308"/>
      <c r="X407" s="3308"/>
      <c r="Y407" s="3308"/>
      <c r="Z407" s="3308"/>
      <c r="AA407" s="3308"/>
      <c r="AB407" s="3308"/>
      <c r="AC407" s="3298">
        <f t="shared" si="242"/>
        <v>0</v>
      </c>
      <c r="AD407" s="3318"/>
      <c r="AE407" s="3318"/>
      <c r="AF407" s="3318"/>
      <c r="AG407" s="3318"/>
      <c r="AH407" s="3318"/>
      <c r="AI407" s="3318"/>
      <c r="AJ407" s="3318"/>
      <c r="AK407" s="3318"/>
      <c r="AL407" s="3318"/>
      <c r="AM407" s="3318"/>
      <c r="AN407" s="3318"/>
      <c r="AO407" s="3318"/>
      <c r="AP407" s="3318"/>
      <c r="AQ407" s="3318"/>
      <c r="AR407" s="3318"/>
      <c r="AS407" s="3318"/>
      <c r="AT407" s="3328"/>
      <c r="AU407" s="3329"/>
      <c r="AV407" s="963">
        <f t="shared" si="243"/>
        <v>0</v>
      </c>
      <c r="AW407" s="963">
        <f t="shared" si="244"/>
        <v>0</v>
      </c>
      <c r="AX407" s="963">
        <f t="shared" si="245"/>
        <v>0</v>
      </c>
      <c r="AY407" s="3343">
        <f t="shared" si="246"/>
        <v>0</v>
      </c>
      <c r="AZ407" s="3298">
        <f t="shared" si="247"/>
        <v>0</v>
      </c>
      <c r="BA407" s="3298">
        <f t="shared" si="248"/>
        <v>0</v>
      </c>
      <c r="BB407" s="3298">
        <f t="shared" si="249"/>
        <v>0</v>
      </c>
      <c r="BC407" s="3298">
        <f t="shared" si="250"/>
        <v>0</v>
      </c>
      <c r="BD407" s="3298">
        <f t="shared" si="251"/>
        <v>0</v>
      </c>
      <c r="BE407" s="3298">
        <f t="shared" si="252"/>
        <v>0</v>
      </c>
      <c r="BF407" s="3298">
        <f t="shared" si="253"/>
        <v>0</v>
      </c>
      <c r="BG407" s="3298">
        <f t="shared" si="254"/>
        <v>0</v>
      </c>
      <c r="BH407" s="3298">
        <f t="shared" si="255"/>
        <v>0</v>
      </c>
      <c r="BI407" s="3298">
        <f t="shared" si="256"/>
        <v>0</v>
      </c>
      <c r="BJ407" s="3298">
        <f t="shared" si="257"/>
        <v>0</v>
      </c>
      <c r="BK407" s="3298">
        <f t="shared" si="258"/>
        <v>0</v>
      </c>
      <c r="BL407" s="3298">
        <f t="shared" si="259"/>
        <v>0</v>
      </c>
      <c r="BM407" s="3298">
        <f t="shared" si="260"/>
        <v>0</v>
      </c>
      <c r="BN407" s="3298">
        <f t="shared" si="261"/>
        <v>0</v>
      </c>
      <c r="BO407" s="3298">
        <f t="shared" si="262"/>
        <v>0</v>
      </c>
      <c r="BP407" s="3298">
        <f t="shared" si="263"/>
        <v>0</v>
      </c>
      <c r="BQ407" s="3298">
        <f t="shared" si="264"/>
        <v>0</v>
      </c>
      <c r="BR407" s="3298">
        <f t="shared" si="265"/>
        <v>0</v>
      </c>
      <c r="BS407" s="3298">
        <f t="shared" si="266"/>
        <v>0</v>
      </c>
      <c r="BT407" s="3350">
        <f t="shared" si="267"/>
        <v>0</v>
      </c>
    </row>
    <row r="408" spans="1:72">
      <c r="A408" s="1407"/>
      <c r="B408" s="3296"/>
      <c r="C408" s="3296"/>
      <c r="D408" s="3297"/>
      <c r="E408" s="3298">
        <f t="shared" si="239"/>
        <v>0</v>
      </c>
      <c r="F408" s="3299"/>
      <c r="G408" s="3300">
        <f t="shared" si="240"/>
        <v>0</v>
      </c>
      <c r="H408" s="3301">
        <f t="shared" si="241"/>
        <v>0</v>
      </c>
      <c r="I408" s="3308"/>
      <c r="J408" s="3308"/>
      <c r="K408" s="3308"/>
      <c r="L408" s="3308"/>
      <c r="M408" s="3308"/>
      <c r="N408" s="3308"/>
      <c r="O408" s="3308"/>
      <c r="P408" s="3308"/>
      <c r="Q408" s="3308"/>
      <c r="R408" s="3308"/>
      <c r="S408" s="3308"/>
      <c r="T408" s="3308"/>
      <c r="U408" s="3308"/>
      <c r="V408" s="3308"/>
      <c r="W408" s="3308"/>
      <c r="X408" s="3308"/>
      <c r="Y408" s="3308"/>
      <c r="Z408" s="3308"/>
      <c r="AA408" s="3308"/>
      <c r="AB408" s="3308"/>
      <c r="AC408" s="3298">
        <f t="shared" si="242"/>
        <v>0</v>
      </c>
      <c r="AD408" s="3318"/>
      <c r="AE408" s="3318"/>
      <c r="AF408" s="3318"/>
      <c r="AG408" s="3318"/>
      <c r="AH408" s="3318"/>
      <c r="AI408" s="3318"/>
      <c r="AJ408" s="3318"/>
      <c r="AK408" s="3318"/>
      <c r="AL408" s="3318"/>
      <c r="AM408" s="3318"/>
      <c r="AN408" s="3318"/>
      <c r="AO408" s="3318"/>
      <c r="AP408" s="3318"/>
      <c r="AQ408" s="3318"/>
      <c r="AR408" s="3318"/>
      <c r="AS408" s="3318"/>
      <c r="AT408" s="3328"/>
      <c r="AU408" s="3329"/>
      <c r="AV408" s="963">
        <f t="shared" si="243"/>
        <v>0</v>
      </c>
      <c r="AW408" s="963">
        <f t="shared" si="244"/>
        <v>0</v>
      </c>
      <c r="AX408" s="963">
        <f t="shared" si="245"/>
        <v>0</v>
      </c>
      <c r="AY408" s="3343">
        <f t="shared" si="246"/>
        <v>0</v>
      </c>
      <c r="AZ408" s="3298">
        <f t="shared" si="247"/>
        <v>0</v>
      </c>
      <c r="BA408" s="3298">
        <f t="shared" si="248"/>
        <v>0</v>
      </c>
      <c r="BB408" s="3298">
        <f t="shared" si="249"/>
        <v>0</v>
      </c>
      <c r="BC408" s="3298">
        <f t="shared" si="250"/>
        <v>0</v>
      </c>
      <c r="BD408" s="3298">
        <f t="shared" si="251"/>
        <v>0</v>
      </c>
      <c r="BE408" s="3298">
        <f t="shared" si="252"/>
        <v>0</v>
      </c>
      <c r="BF408" s="3298">
        <f t="shared" si="253"/>
        <v>0</v>
      </c>
      <c r="BG408" s="3298">
        <f t="shared" si="254"/>
        <v>0</v>
      </c>
      <c r="BH408" s="3298">
        <f t="shared" si="255"/>
        <v>0</v>
      </c>
      <c r="BI408" s="3298">
        <f t="shared" si="256"/>
        <v>0</v>
      </c>
      <c r="BJ408" s="3298">
        <f t="shared" si="257"/>
        <v>0</v>
      </c>
      <c r="BK408" s="3298">
        <f t="shared" si="258"/>
        <v>0</v>
      </c>
      <c r="BL408" s="3298">
        <f t="shared" si="259"/>
        <v>0</v>
      </c>
      <c r="BM408" s="3298">
        <f t="shared" si="260"/>
        <v>0</v>
      </c>
      <c r="BN408" s="3298">
        <f t="shared" si="261"/>
        <v>0</v>
      </c>
      <c r="BO408" s="3298">
        <f t="shared" si="262"/>
        <v>0</v>
      </c>
      <c r="BP408" s="3298">
        <f t="shared" si="263"/>
        <v>0</v>
      </c>
      <c r="BQ408" s="3298">
        <f t="shared" si="264"/>
        <v>0</v>
      </c>
      <c r="BR408" s="3298">
        <f t="shared" si="265"/>
        <v>0</v>
      </c>
      <c r="BS408" s="3298">
        <f t="shared" si="266"/>
        <v>0</v>
      </c>
      <c r="BT408" s="3350">
        <f t="shared" si="267"/>
        <v>0</v>
      </c>
    </row>
    <row r="409" spans="1:72">
      <c r="A409" s="1407"/>
      <c r="B409" s="3296"/>
      <c r="C409" s="3296"/>
      <c r="D409" s="3297"/>
      <c r="E409" s="3298">
        <f t="shared" si="239"/>
        <v>0</v>
      </c>
      <c r="F409" s="3299"/>
      <c r="G409" s="3300">
        <f t="shared" si="240"/>
        <v>0</v>
      </c>
      <c r="H409" s="3301">
        <f t="shared" si="241"/>
        <v>0</v>
      </c>
      <c r="I409" s="3308"/>
      <c r="J409" s="3308"/>
      <c r="K409" s="3308"/>
      <c r="L409" s="3308"/>
      <c r="M409" s="3308"/>
      <c r="N409" s="3308"/>
      <c r="O409" s="3308"/>
      <c r="P409" s="3308"/>
      <c r="Q409" s="3308"/>
      <c r="R409" s="3308"/>
      <c r="S409" s="3308"/>
      <c r="T409" s="3308"/>
      <c r="U409" s="3308"/>
      <c r="V409" s="3308"/>
      <c r="W409" s="3308"/>
      <c r="X409" s="3308"/>
      <c r="Y409" s="3308"/>
      <c r="Z409" s="3308"/>
      <c r="AA409" s="3308"/>
      <c r="AB409" s="3308"/>
      <c r="AC409" s="3298">
        <f t="shared" si="242"/>
        <v>0</v>
      </c>
      <c r="AD409" s="3318"/>
      <c r="AE409" s="3318"/>
      <c r="AF409" s="3318"/>
      <c r="AG409" s="3318"/>
      <c r="AH409" s="3318"/>
      <c r="AI409" s="3318"/>
      <c r="AJ409" s="3318"/>
      <c r="AK409" s="3318"/>
      <c r="AL409" s="3318"/>
      <c r="AM409" s="3318"/>
      <c r="AN409" s="3318"/>
      <c r="AO409" s="3318"/>
      <c r="AP409" s="3318"/>
      <c r="AQ409" s="3318"/>
      <c r="AR409" s="3318"/>
      <c r="AS409" s="3318"/>
      <c r="AT409" s="3328"/>
      <c r="AU409" s="3329"/>
      <c r="AV409" s="963">
        <f t="shared" si="243"/>
        <v>0</v>
      </c>
      <c r="AW409" s="963">
        <f t="shared" si="244"/>
        <v>0</v>
      </c>
      <c r="AX409" s="963">
        <f t="shared" si="245"/>
        <v>0</v>
      </c>
      <c r="AY409" s="3343">
        <f t="shared" si="246"/>
        <v>0</v>
      </c>
      <c r="AZ409" s="3298">
        <f t="shared" si="247"/>
        <v>0</v>
      </c>
      <c r="BA409" s="3298">
        <f t="shared" si="248"/>
        <v>0</v>
      </c>
      <c r="BB409" s="3298">
        <f t="shared" si="249"/>
        <v>0</v>
      </c>
      <c r="BC409" s="3298">
        <f t="shared" si="250"/>
        <v>0</v>
      </c>
      <c r="BD409" s="3298">
        <f t="shared" si="251"/>
        <v>0</v>
      </c>
      <c r="BE409" s="3298">
        <f t="shared" si="252"/>
        <v>0</v>
      </c>
      <c r="BF409" s="3298">
        <f t="shared" si="253"/>
        <v>0</v>
      </c>
      <c r="BG409" s="3298">
        <f t="shared" si="254"/>
        <v>0</v>
      </c>
      <c r="BH409" s="3298">
        <f t="shared" si="255"/>
        <v>0</v>
      </c>
      <c r="BI409" s="3298">
        <f t="shared" si="256"/>
        <v>0</v>
      </c>
      <c r="BJ409" s="3298">
        <f t="shared" si="257"/>
        <v>0</v>
      </c>
      <c r="BK409" s="3298">
        <f t="shared" si="258"/>
        <v>0</v>
      </c>
      <c r="BL409" s="3298">
        <f t="shared" si="259"/>
        <v>0</v>
      </c>
      <c r="BM409" s="3298">
        <f t="shared" si="260"/>
        <v>0</v>
      </c>
      <c r="BN409" s="3298">
        <f t="shared" si="261"/>
        <v>0</v>
      </c>
      <c r="BO409" s="3298">
        <f t="shared" si="262"/>
        <v>0</v>
      </c>
      <c r="BP409" s="3298">
        <f t="shared" si="263"/>
        <v>0</v>
      </c>
      <c r="BQ409" s="3298">
        <f t="shared" si="264"/>
        <v>0</v>
      </c>
      <c r="BR409" s="3298">
        <f t="shared" si="265"/>
        <v>0</v>
      </c>
      <c r="BS409" s="3298">
        <f t="shared" si="266"/>
        <v>0</v>
      </c>
      <c r="BT409" s="3350">
        <f t="shared" si="267"/>
        <v>0</v>
      </c>
    </row>
    <row r="410" spans="1:72">
      <c r="A410" s="1407"/>
      <c r="B410" s="3296"/>
      <c r="C410" s="3296"/>
      <c r="D410" s="3297"/>
      <c r="E410" s="3298">
        <f t="shared" si="239"/>
        <v>0</v>
      </c>
      <c r="F410" s="3299"/>
      <c r="G410" s="3300">
        <f t="shared" si="240"/>
        <v>0</v>
      </c>
      <c r="H410" s="3301">
        <f t="shared" si="241"/>
        <v>0</v>
      </c>
      <c r="I410" s="3308"/>
      <c r="J410" s="3308"/>
      <c r="K410" s="3308"/>
      <c r="L410" s="3308"/>
      <c r="M410" s="3308"/>
      <c r="N410" s="3308"/>
      <c r="O410" s="3308"/>
      <c r="P410" s="3308"/>
      <c r="Q410" s="3308"/>
      <c r="R410" s="3308"/>
      <c r="S410" s="3308"/>
      <c r="T410" s="3308"/>
      <c r="U410" s="3308"/>
      <c r="V410" s="3308"/>
      <c r="W410" s="3308"/>
      <c r="X410" s="3308"/>
      <c r="Y410" s="3308"/>
      <c r="Z410" s="3308"/>
      <c r="AA410" s="3308"/>
      <c r="AB410" s="3308"/>
      <c r="AC410" s="3298">
        <f t="shared" si="242"/>
        <v>0</v>
      </c>
      <c r="AD410" s="3318"/>
      <c r="AE410" s="3318"/>
      <c r="AF410" s="3318"/>
      <c r="AG410" s="3318"/>
      <c r="AH410" s="3318"/>
      <c r="AI410" s="3318"/>
      <c r="AJ410" s="3318"/>
      <c r="AK410" s="3318"/>
      <c r="AL410" s="3318"/>
      <c r="AM410" s="3318"/>
      <c r="AN410" s="3318"/>
      <c r="AO410" s="3318"/>
      <c r="AP410" s="3318"/>
      <c r="AQ410" s="3318"/>
      <c r="AR410" s="3318"/>
      <c r="AS410" s="3318"/>
      <c r="AT410" s="3328"/>
      <c r="AU410" s="3329"/>
      <c r="AV410" s="963">
        <f t="shared" si="243"/>
        <v>0</v>
      </c>
      <c r="AW410" s="963">
        <f t="shared" si="244"/>
        <v>0</v>
      </c>
      <c r="AX410" s="963">
        <f t="shared" si="245"/>
        <v>0</v>
      </c>
      <c r="AY410" s="3343">
        <f t="shared" si="246"/>
        <v>0</v>
      </c>
      <c r="AZ410" s="3298">
        <f t="shared" si="247"/>
        <v>0</v>
      </c>
      <c r="BA410" s="3298">
        <f t="shared" si="248"/>
        <v>0</v>
      </c>
      <c r="BB410" s="3298">
        <f t="shared" si="249"/>
        <v>0</v>
      </c>
      <c r="BC410" s="3298">
        <f t="shared" si="250"/>
        <v>0</v>
      </c>
      <c r="BD410" s="3298">
        <f t="shared" si="251"/>
        <v>0</v>
      </c>
      <c r="BE410" s="3298">
        <f t="shared" si="252"/>
        <v>0</v>
      </c>
      <c r="BF410" s="3298">
        <f t="shared" si="253"/>
        <v>0</v>
      </c>
      <c r="BG410" s="3298">
        <f t="shared" si="254"/>
        <v>0</v>
      </c>
      <c r="BH410" s="3298">
        <f t="shared" si="255"/>
        <v>0</v>
      </c>
      <c r="BI410" s="3298">
        <f t="shared" si="256"/>
        <v>0</v>
      </c>
      <c r="BJ410" s="3298">
        <f t="shared" si="257"/>
        <v>0</v>
      </c>
      <c r="BK410" s="3298">
        <f t="shared" si="258"/>
        <v>0</v>
      </c>
      <c r="BL410" s="3298">
        <f t="shared" si="259"/>
        <v>0</v>
      </c>
      <c r="BM410" s="3298">
        <f t="shared" si="260"/>
        <v>0</v>
      </c>
      <c r="BN410" s="3298">
        <f t="shared" si="261"/>
        <v>0</v>
      </c>
      <c r="BO410" s="3298">
        <f t="shared" si="262"/>
        <v>0</v>
      </c>
      <c r="BP410" s="3298">
        <f t="shared" si="263"/>
        <v>0</v>
      </c>
      <c r="BQ410" s="3298">
        <f t="shared" si="264"/>
        <v>0</v>
      </c>
      <c r="BR410" s="3298">
        <f t="shared" si="265"/>
        <v>0</v>
      </c>
      <c r="BS410" s="3298">
        <f t="shared" si="266"/>
        <v>0</v>
      </c>
      <c r="BT410" s="3350">
        <f t="shared" si="267"/>
        <v>0</v>
      </c>
    </row>
    <row r="411" spans="1:72">
      <c r="A411" s="1407"/>
      <c r="B411" s="3296"/>
      <c r="C411" s="3296"/>
      <c r="D411" s="3297"/>
      <c r="E411" s="3298">
        <f t="shared" si="239"/>
        <v>0</v>
      </c>
      <c r="F411" s="3299"/>
      <c r="G411" s="3300">
        <f t="shared" si="240"/>
        <v>0</v>
      </c>
      <c r="H411" s="3301">
        <f t="shared" si="241"/>
        <v>0</v>
      </c>
      <c r="I411" s="3308"/>
      <c r="J411" s="3308"/>
      <c r="K411" s="3308"/>
      <c r="L411" s="3308"/>
      <c r="M411" s="3308"/>
      <c r="N411" s="3308"/>
      <c r="O411" s="3308"/>
      <c r="P411" s="3308"/>
      <c r="Q411" s="3308"/>
      <c r="R411" s="3308"/>
      <c r="S411" s="3308"/>
      <c r="T411" s="3308"/>
      <c r="U411" s="3308"/>
      <c r="V411" s="3308"/>
      <c r="W411" s="3308"/>
      <c r="X411" s="3308"/>
      <c r="Y411" s="3308"/>
      <c r="Z411" s="3308"/>
      <c r="AA411" s="3308"/>
      <c r="AB411" s="3308"/>
      <c r="AC411" s="3298">
        <f t="shared" si="242"/>
        <v>0</v>
      </c>
      <c r="AD411" s="3318"/>
      <c r="AE411" s="3318"/>
      <c r="AF411" s="3318"/>
      <c r="AG411" s="3318"/>
      <c r="AH411" s="3318"/>
      <c r="AI411" s="3318"/>
      <c r="AJ411" s="3318"/>
      <c r="AK411" s="3318"/>
      <c r="AL411" s="3318"/>
      <c r="AM411" s="3318"/>
      <c r="AN411" s="3318"/>
      <c r="AO411" s="3318"/>
      <c r="AP411" s="3318"/>
      <c r="AQ411" s="3318"/>
      <c r="AR411" s="3318"/>
      <c r="AS411" s="3318"/>
      <c r="AT411" s="3328"/>
      <c r="AU411" s="3329"/>
      <c r="AV411" s="963">
        <f t="shared" si="243"/>
        <v>0</v>
      </c>
      <c r="AW411" s="963">
        <f t="shared" si="244"/>
        <v>0</v>
      </c>
      <c r="AX411" s="963">
        <f t="shared" si="245"/>
        <v>0</v>
      </c>
      <c r="AY411" s="3343">
        <f t="shared" si="246"/>
        <v>0</v>
      </c>
      <c r="AZ411" s="3298">
        <f t="shared" si="247"/>
        <v>0</v>
      </c>
      <c r="BA411" s="3298">
        <f t="shared" si="248"/>
        <v>0</v>
      </c>
      <c r="BB411" s="3298">
        <f t="shared" si="249"/>
        <v>0</v>
      </c>
      <c r="BC411" s="3298">
        <f t="shared" si="250"/>
        <v>0</v>
      </c>
      <c r="BD411" s="3298">
        <f t="shared" si="251"/>
        <v>0</v>
      </c>
      <c r="BE411" s="3298">
        <f t="shared" si="252"/>
        <v>0</v>
      </c>
      <c r="BF411" s="3298">
        <f t="shared" si="253"/>
        <v>0</v>
      </c>
      <c r="BG411" s="3298">
        <f t="shared" si="254"/>
        <v>0</v>
      </c>
      <c r="BH411" s="3298">
        <f t="shared" si="255"/>
        <v>0</v>
      </c>
      <c r="BI411" s="3298">
        <f t="shared" si="256"/>
        <v>0</v>
      </c>
      <c r="BJ411" s="3298">
        <f t="shared" si="257"/>
        <v>0</v>
      </c>
      <c r="BK411" s="3298">
        <f t="shared" si="258"/>
        <v>0</v>
      </c>
      <c r="BL411" s="3298">
        <f t="shared" si="259"/>
        <v>0</v>
      </c>
      <c r="BM411" s="3298">
        <f t="shared" si="260"/>
        <v>0</v>
      </c>
      <c r="BN411" s="3298">
        <f t="shared" si="261"/>
        <v>0</v>
      </c>
      <c r="BO411" s="3298">
        <f t="shared" si="262"/>
        <v>0</v>
      </c>
      <c r="BP411" s="3298">
        <f t="shared" si="263"/>
        <v>0</v>
      </c>
      <c r="BQ411" s="3298">
        <f t="shared" si="264"/>
        <v>0</v>
      </c>
      <c r="BR411" s="3298">
        <f t="shared" si="265"/>
        <v>0</v>
      </c>
      <c r="BS411" s="3298">
        <f t="shared" si="266"/>
        <v>0</v>
      </c>
      <c r="BT411" s="3350">
        <f t="shared" si="267"/>
        <v>0</v>
      </c>
    </row>
    <row r="412" spans="1:72">
      <c r="A412" s="1407"/>
      <c r="B412" s="3296"/>
      <c r="C412" s="3296"/>
      <c r="D412" s="3297"/>
      <c r="E412" s="3298">
        <f t="shared" si="239"/>
        <v>0</v>
      </c>
      <c r="F412" s="3299"/>
      <c r="G412" s="3300">
        <f t="shared" si="240"/>
        <v>0</v>
      </c>
      <c r="H412" s="3301">
        <f t="shared" si="241"/>
        <v>0</v>
      </c>
      <c r="I412" s="3308"/>
      <c r="J412" s="3308"/>
      <c r="K412" s="3308"/>
      <c r="L412" s="3308"/>
      <c r="M412" s="3308"/>
      <c r="N412" s="3308"/>
      <c r="O412" s="3308"/>
      <c r="P412" s="3308"/>
      <c r="Q412" s="3308"/>
      <c r="R412" s="3308"/>
      <c r="S412" s="3308"/>
      <c r="T412" s="3308"/>
      <c r="U412" s="3308"/>
      <c r="V412" s="3308"/>
      <c r="W412" s="3308"/>
      <c r="X412" s="3308"/>
      <c r="Y412" s="3308"/>
      <c r="Z412" s="3308"/>
      <c r="AA412" s="3308"/>
      <c r="AB412" s="3308"/>
      <c r="AC412" s="3298">
        <f t="shared" si="242"/>
        <v>0</v>
      </c>
      <c r="AD412" s="3318"/>
      <c r="AE412" s="3318"/>
      <c r="AF412" s="3318"/>
      <c r="AG412" s="3318"/>
      <c r="AH412" s="3318"/>
      <c r="AI412" s="3318"/>
      <c r="AJ412" s="3318"/>
      <c r="AK412" s="3318"/>
      <c r="AL412" s="3318"/>
      <c r="AM412" s="3318"/>
      <c r="AN412" s="3318"/>
      <c r="AO412" s="3318"/>
      <c r="AP412" s="3318"/>
      <c r="AQ412" s="3318"/>
      <c r="AR412" s="3318"/>
      <c r="AS412" s="3318"/>
      <c r="AT412" s="3328"/>
      <c r="AU412" s="3329"/>
      <c r="AV412" s="963">
        <f t="shared" si="243"/>
        <v>0</v>
      </c>
      <c r="AW412" s="963">
        <f t="shared" si="244"/>
        <v>0</v>
      </c>
      <c r="AX412" s="963">
        <f t="shared" si="245"/>
        <v>0</v>
      </c>
      <c r="AY412" s="3343">
        <f t="shared" si="246"/>
        <v>0</v>
      </c>
      <c r="AZ412" s="3298">
        <f t="shared" si="247"/>
        <v>0</v>
      </c>
      <c r="BA412" s="3298">
        <f t="shared" si="248"/>
        <v>0</v>
      </c>
      <c r="BB412" s="3298">
        <f t="shared" si="249"/>
        <v>0</v>
      </c>
      <c r="BC412" s="3298">
        <f t="shared" si="250"/>
        <v>0</v>
      </c>
      <c r="BD412" s="3298">
        <f t="shared" si="251"/>
        <v>0</v>
      </c>
      <c r="BE412" s="3298">
        <f t="shared" si="252"/>
        <v>0</v>
      </c>
      <c r="BF412" s="3298">
        <f t="shared" si="253"/>
        <v>0</v>
      </c>
      <c r="BG412" s="3298">
        <f t="shared" si="254"/>
        <v>0</v>
      </c>
      <c r="BH412" s="3298">
        <f t="shared" si="255"/>
        <v>0</v>
      </c>
      <c r="BI412" s="3298">
        <f t="shared" si="256"/>
        <v>0</v>
      </c>
      <c r="BJ412" s="3298">
        <f t="shared" si="257"/>
        <v>0</v>
      </c>
      <c r="BK412" s="3298">
        <f t="shared" si="258"/>
        <v>0</v>
      </c>
      <c r="BL412" s="3298">
        <f t="shared" si="259"/>
        <v>0</v>
      </c>
      <c r="BM412" s="3298">
        <f t="shared" si="260"/>
        <v>0</v>
      </c>
      <c r="BN412" s="3298">
        <f t="shared" si="261"/>
        <v>0</v>
      </c>
      <c r="BO412" s="3298">
        <f t="shared" si="262"/>
        <v>0</v>
      </c>
      <c r="BP412" s="3298">
        <f t="shared" si="263"/>
        <v>0</v>
      </c>
      <c r="BQ412" s="3298">
        <f t="shared" si="264"/>
        <v>0</v>
      </c>
      <c r="BR412" s="3298">
        <f t="shared" si="265"/>
        <v>0</v>
      </c>
      <c r="BS412" s="3298">
        <f t="shared" si="266"/>
        <v>0</v>
      </c>
      <c r="BT412" s="3350">
        <f t="shared" si="267"/>
        <v>0</v>
      </c>
    </row>
    <row r="413" spans="1:72">
      <c r="A413" s="1407"/>
      <c r="B413" s="3296"/>
      <c r="C413" s="3296"/>
      <c r="D413" s="3297"/>
      <c r="E413" s="3298">
        <f t="shared" si="239"/>
        <v>0</v>
      </c>
      <c r="F413" s="3299"/>
      <c r="G413" s="3300">
        <f t="shared" si="240"/>
        <v>0</v>
      </c>
      <c r="H413" s="3301">
        <f t="shared" si="241"/>
        <v>0</v>
      </c>
      <c r="I413" s="3308"/>
      <c r="J413" s="3308"/>
      <c r="K413" s="3308"/>
      <c r="L413" s="3308"/>
      <c r="M413" s="3308"/>
      <c r="N413" s="3308"/>
      <c r="O413" s="3308"/>
      <c r="P413" s="3308"/>
      <c r="Q413" s="3308"/>
      <c r="R413" s="3308"/>
      <c r="S413" s="3308"/>
      <c r="T413" s="3308"/>
      <c r="U413" s="3308"/>
      <c r="V413" s="3308"/>
      <c r="W413" s="3308"/>
      <c r="X413" s="3308"/>
      <c r="Y413" s="3308"/>
      <c r="Z413" s="3308"/>
      <c r="AA413" s="3308"/>
      <c r="AB413" s="3308"/>
      <c r="AC413" s="3298">
        <f t="shared" si="242"/>
        <v>0</v>
      </c>
      <c r="AD413" s="3318"/>
      <c r="AE413" s="3318"/>
      <c r="AF413" s="3318"/>
      <c r="AG413" s="3318"/>
      <c r="AH413" s="3318"/>
      <c r="AI413" s="3318"/>
      <c r="AJ413" s="3318"/>
      <c r="AK413" s="3318"/>
      <c r="AL413" s="3318"/>
      <c r="AM413" s="3318"/>
      <c r="AN413" s="3318"/>
      <c r="AO413" s="3318"/>
      <c r="AP413" s="3318"/>
      <c r="AQ413" s="3318"/>
      <c r="AR413" s="3318"/>
      <c r="AS413" s="3318"/>
      <c r="AT413" s="3328"/>
      <c r="AU413" s="3329"/>
      <c r="AV413" s="963">
        <f t="shared" si="243"/>
        <v>0</v>
      </c>
      <c r="AW413" s="963">
        <f t="shared" si="244"/>
        <v>0</v>
      </c>
      <c r="AX413" s="963">
        <f t="shared" si="245"/>
        <v>0</v>
      </c>
      <c r="AY413" s="3343">
        <f t="shared" si="246"/>
        <v>0</v>
      </c>
      <c r="AZ413" s="3298">
        <f t="shared" si="247"/>
        <v>0</v>
      </c>
      <c r="BA413" s="3298">
        <f t="shared" si="248"/>
        <v>0</v>
      </c>
      <c r="BB413" s="3298">
        <f t="shared" si="249"/>
        <v>0</v>
      </c>
      <c r="BC413" s="3298">
        <f t="shared" si="250"/>
        <v>0</v>
      </c>
      <c r="BD413" s="3298">
        <f t="shared" si="251"/>
        <v>0</v>
      </c>
      <c r="BE413" s="3298">
        <f t="shared" si="252"/>
        <v>0</v>
      </c>
      <c r="BF413" s="3298">
        <f t="shared" si="253"/>
        <v>0</v>
      </c>
      <c r="BG413" s="3298">
        <f t="shared" si="254"/>
        <v>0</v>
      </c>
      <c r="BH413" s="3298">
        <f t="shared" si="255"/>
        <v>0</v>
      </c>
      <c r="BI413" s="3298">
        <f t="shared" si="256"/>
        <v>0</v>
      </c>
      <c r="BJ413" s="3298">
        <f t="shared" si="257"/>
        <v>0</v>
      </c>
      <c r="BK413" s="3298">
        <f t="shared" si="258"/>
        <v>0</v>
      </c>
      <c r="BL413" s="3298">
        <f t="shared" si="259"/>
        <v>0</v>
      </c>
      <c r="BM413" s="3298">
        <f t="shared" si="260"/>
        <v>0</v>
      </c>
      <c r="BN413" s="3298">
        <f t="shared" si="261"/>
        <v>0</v>
      </c>
      <c r="BO413" s="3298">
        <f t="shared" si="262"/>
        <v>0</v>
      </c>
      <c r="BP413" s="3298">
        <f t="shared" si="263"/>
        <v>0</v>
      </c>
      <c r="BQ413" s="3298">
        <f t="shared" si="264"/>
        <v>0</v>
      </c>
      <c r="BR413" s="3298">
        <f t="shared" si="265"/>
        <v>0</v>
      </c>
      <c r="BS413" s="3298">
        <f t="shared" si="266"/>
        <v>0</v>
      </c>
      <c r="BT413" s="3350">
        <f t="shared" si="267"/>
        <v>0</v>
      </c>
    </row>
    <row r="414" spans="1:72">
      <c r="A414" s="1407"/>
      <c r="B414" s="3296"/>
      <c r="C414" s="3296"/>
      <c r="D414" s="3297"/>
      <c r="E414" s="3298">
        <f t="shared" si="239"/>
        <v>0</v>
      </c>
      <c r="F414" s="3299"/>
      <c r="G414" s="3300">
        <f t="shared" si="240"/>
        <v>0</v>
      </c>
      <c r="H414" s="3301">
        <f t="shared" si="241"/>
        <v>0</v>
      </c>
      <c r="I414" s="3308"/>
      <c r="J414" s="3308"/>
      <c r="K414" s="3308"/>
      <c r="L414" s="3308"/>
      <c r="M414" s="3308"/>
      <c r="N414" s="3308"/>
      <c r="O414" s="3308"/>
      <c r="P414" s="3308"/>
      <c r="Q414" s="3308"/>
      <c r="R414" s="3308"/>
      <c r="S414" s="3308"/>
      <c r="T414" s="3308"/>
      <c r="U414" s="3308"/>
      <c r="V414" s="3308"/>
      <c r="W414" s="3308"/>
      <c r="X414" s="3308"/>
      <c r="Y414" s="3308"/>
      <c r="Z414" s="3308"/>
      <c r="AA414" s="3308"/>
      <c r="AB414" s="3308"/>
      <c r="AC414" s="3298">
        <f t="shared" si="242"/>
        <v>0</v>
      </c>
      <c r="AD414" s="3318"/>
      <c r="AE414" s="3318"/>
      <c r="AF414" s="3318"/>
      <c r="AG414" s="3318"/>
      <c r="AH414" s="3318"/>
      <c r="AI414" s="3318"/>
      <c r="AJ414" s="3318"/>
      <c r="AK414" s="3318"/>
      <c r="AL414" s="3318"/>
      <c r="AM414" s="3318"/>
      <c r="AN414" s="3318"/>
      <c r="AO414" s="3318"/>
      <c r="AP414" s="3318"/>
      <c r="AQ414" s="3318"/>
      <c r="AR414" s="3318"/>
      <c r="AS414" s="3318"/>
      <c r="AT414" s="3328"/>
      <c r="AU414" s="3329"/>
      <c r="AV414" s="963">
        <f t="shared" si="243"/>
        <v>0</v>
      </c>
      <c r="AW414" s="963">
        <f t="shared" si="244"/>
        <v>0</v>
      </c>
      <c r="AX414" s="963">
        <f t="shared" si="245"/>
        <v>0</v>
      </c>
      <c r="AY414" s="3343">
        <f t="shared" si="246"/>
        <v>0</v>
      </c>
      <c r="AZ414" s="3298">
        <f t="shared" si="247"/>
        <v>0</v>
      </c>
      <c r="BA414" s="3298">
        <f t="shared" si="248"/>
        <v>0</v>
      </c>
      <c r="BB414" s="3298">
        <f t="shared" si="249"/>
        <v>0</v>
      </c>
      <c r="BC414" s="3298">
        <f t="shared" si="250"/>
        <v>0</v>
      </c>
      <c r="BD414" s="3298">
        <f t="shared" si="251"/>
        <v>0</v>
      </c>
      <c r="BE414" s="3298">
        <f t="shared" si="252"/>
        <v>0</v>
      </c>
      <c r="BF414" s="3298">
        <f t="shared" si="253"/>
        <v>0</v>
      </c>
      <c r="BG414" s="3298">
        <f t="shared" si="254"/>
        <v>0</v>
      </c>
      <c r="BH414" s="3298">
        <f t="shared" si="255"/>
        <v>0</v>
      </c>
      <c r="BI414" s="3298">
        <f t="shared" si="256"/>
        <v>0</v>
      </c>
      <c r="BJ414" s="3298">
        <f t="shared" si="257"/>
        <v>0</v>
      </c>
      <c r="BK414" s="3298">
        <f t="shared" si="258"/>
        <v>0</v>
      </c>
      <c r="BL414" s="3298">
        <f t="shared" si="259"/>
        <v>0</v>
      </c>
      <c r="BM414" s="3298">
        <f t="shared" si="260"/>
        <v>0</v>
      </c>
      <c r="BN414" s="3298">
        <f t="shared" si="261"/>
        <v>0</v>
      </c>
      <c r="BO414" s="3298">
        <f t="shared" si="262"/>
        <v>0</v>
      </c>
      <c r="BP414" s="3298">
        <f t="shared" si="263"/>
        <v>0</v>
      </c>
      <c r="BQ414" s="3298">
        <f t="shared" si="264"/>
        <v>0</v>
      </c>
      <c r="BR414" s="3298">
        <f t="shared" si="265"/>
        <v>0</v>
      </c>
      <c r="BS414" s="3298">
        <f t="shared" si="266"/>
        <v>0</v>
      </c>
      <c r="BT414" s="3350">
        <f t="shared" si="267"/>
        <v>0</v>
      </c>
    </row>
    <row r="415" spans="1:72">
      <c r="A415" s="1407"/>
      <c r="B415" s="3296"/>
      <c r="C415" s="3296"/>
      <c r="D415" s="3297"/>
      <c r="E415" s="3298">
        <f t="shared" si="239"/>
        <v>0</v>
      </c>
      <c r="F415" s="3299"/>
      <c r="G415" s="3300">
        <f t="shared" si="240"/>
        <v>0</v>
      </c>
      <c r="H415" s="3301">
        <f t="shared" si="241"/>
        <v>0</v>
      </c>
      <c r="I415" s="3308"/>
      <c r="J415" s="3308"/>
      <c r="K415" s="3308"/>
      <c r="L415" s="3308"/>
      <c r="M415" s="3308"/>
      <c r="N415" s="3308"/>
      <c r="O415" s="3308"/>
      <c r="P415" s="3308"/>
      <c r="Q415" s="3308"/>
      <c r="R415" s="3308"/>
      <c r="S415" s="3308"/>
      <c r="T415" s="3308"/>
      <c r="U415" s="3308"/>
      <c r="V415" s="3308"/>
      <c r="W415" s="3308"/>
      <c r="X415" s="3308"/>
      <c r="Y415" s="3308"/>
      <c r="Z415" s="3308"/>
      <c r="AA415" s="3308"/>
      <c r="AB415" s="3308"/>
      <c r="AC415" s="3298">
        <f t="shared" si="242"/>
        <v>0</v>
      </c>
      <c r="AD415" s="3318"/>
      <c r="AE415" s="3318"/>
      <c r="AF415" s="3318"/>
      <c r="AG415" s="3318"/>
      <c r="AH415" s="3318"/>
      <c r="AI415" s="3318"/>
      <c r="AJ415" s="3318"/>
      <c r="AK415" s="3318"/>
      <c r="AL415" s="3318"/>
      <c r="AM415" s="3318"/>
      <c r="AN415" s="3318"/>
      <c r="AO415" s="3318"/>
      <c r="AP415" s="3318"/>
      <c r="AQ415" s="3318"/>
      <c r="AR415" s="3318"/>
      <c r="AS415" s="3318"/>
      <c r="AT415" s="3328"/>
      <c r="AU415" s="3329"/>
      <c r="AV415" s="963">
        <f t="shared" si="243"/>
        <v>0</v>
      </c>
      <c r="AW415" s="963">
        <f t="shared" si="244"/>
        <v>0</v>
      </c>
      <c r="AX415" s="963">
        <f t="shared" si="245"/>
        <v>0</v>
      </c>
      <c r="AY415" s="3343">
        <f t="shared" si="246"/>
        <v>0</v>
      </c>
      <c r="AZ415" s="3298">
        <f t="shared" si="247"/>
        <v>0</v>
      </c>
      <c r="BA415" s="3298">
        <f t="shared" si="248"/>
        <v>0</v>
      </c>
      <c r="BB415" s="3298">
        <f t="shared" si="249"/>
        <v>0</v>
      </c>
      <c r="BC415" s="3298">
        <f t="shared" si="250"/>
        <v>0</v>
      </c>
      <c r="BD415" s="3298">
        <f t="shared" si="251"/>
        <v>0</v>
      </c>
      <c r="BE415" s="3298">
        <f t="shared" si="252"/>
        <v>0</v>
      </c>
      <c r="BF415" s="3298">
        <f t="shared" si="253"/>
        <v>0</v>
      </c>
      <c r="BG415" s="3298">
        <f t="shared" si="254"/>
        <v>0</v>
      </c>
      <c r="BH415" s="3298">
        <f t="shared" si="255"/>
        <v>0</v>
      </c>
      <c r="BI415" s="3298">
        <f t="shared" si="256"/>
        <v>0</v>
      </c>
      <c r="BJ415" s="3298">
        <f t="shared" si="257"/>
        <v>0</v>
      </c>
      <c r="BK415" s="3298">
        <f t="shared" si="258"/>
        <v>0</v>
      </c>
      <c r="BL415" s="3298">
        <f t="shared" si="259"/>
        <v>0</v>
      </c>
      <c r="BM415" s="3298">
        <f t="shared" si="260"/>
        <v>0</v>
      </c>
      <c r="BN415" s="3298">
        <f t="shared" si="261"/>
        <v>0</v>
      </c>
      <c r="BO415" s="3298">
        <f t="shared" si="262"/>
        <v>0</v>
      </c>
      <c r="BP415" s="3298">
        <f t="shared" si="263"/>
        <v>0</v>
      </c>
      <c r="BQ415" s="3298">
        <f t="shared" si="264"/>
        <v>0</v>
      </c>
      <c r="BR415" s="3298">
        <f t="shared" si="265"/>
        <v>0</v>
      </c>
      <c r="BS415" s="3298">
        <f t="shared" si="266"/>
        <v>0</v>
      </c>
      <c r="BT415" s="3350">
        <f t="shared" si="267"/>
        <v>0</v>
      </c>
    </row>
    <row r="416" spans="1:72">
      <c r="A416" s="1407"/>
      <c r="B416" s="3296"/>
      <c r="C416" s="3296"/>
      <c r="D416" s="3297"/>
      <c r="E416" s="3298">
        <f t="shared" si="239"/>
        <v>0</v>
      </c>
      <c r="F416" s="3299"/>
      <c r="G416" s="3300">
        <f t="shared" si="240"/>
        <v>0</v>
      </c>
      <c r="H416" s="3301">
        <f t="shared" si="241"/>
        <v>0</v>
      </c>
      <c r="I416" s="3308"/>
      <c r="J416" s="3308"/>
      <c r="K416" s="3308"/>
      <c r="L416" s="3308"/>
      <c r="M416" s="3308"/>
      <c r="N416" s="3308"/>
      <c r="O416" s="3308"/>
      <c r="P416" s="3308"/>
      <c r="Q416" s="3308"/>
      <c r="R416" s="3308"/>
      <c r="S416" s="3308"/>
      <c r="T416" s="3308"/>
      <c r="U416" s="3308"/>
      <c r="V416" s="3308"/>
      <c r="W416" s="3308"/>
      <c r="X416" s="3308"/>
      <c r="Y416" s="3308"/>
      <c r="Z416" s="3308"/>
      <c r="AA416" s="3308"/>
      <c r="AB416" s="3308"/>
      <c r="AC416" s="3298">
        <f t="shared" si="242"/>
        <v>0</v>
      </c>
      <c r="AD416" s="3318"/>
      <c r="AE416" s="3318"/>
      <c r="AF416" s="3318"/>
      <c r="AG416" s="3318"/>
      <c r="AH416" s="3318"/>
      <c r="AI416" s="3318"/>
      <c r="AJ416" s="3318"/>
      <c r="AK416" s="3318"/>
      <c r="AL416" s="3318"/>
      <c r="AM416" s="3318"/>
      <c r="AN416" s="3318"/>
      <c r="AO416" s="3318"/>
      <c r="AP416" s="3318"/>
      <c r="AQ416" s="3318"/>
      <c r="AR416" s="3318"/>
      <c r="AS416" s="3318"/>
      <c r="AT416" s="3328"/>
      <c r="AU416" s="3329"/>
      <c r="AV416" s="963">
        <f t="shared" si="243"/>
        <v>0</v>
      </c>
      <c r="AW416" s="963">
        <f t="shared" si="244"/>
        <v>0</v>
      </c>
      <c r="AX416" s="963">
        <f t="shared" si="245"/>
        <v>0</v>
      </c>
      <c r="AY416" s="3343">
        <f t="shared" si="246"/>
        <v>0</v>
      </c>
      <c r="AZ416" s="3298">
        <f t="shared" si="247"/>
        <v>0</v>
      </c>
      <c r="BA416" s="3298">
        <f t="shared" si="248"/>
        <v>0</v>
      </c>
      <c r="BB416" s="3298">
        <f t="shared" si="249"/>
        <v>0</v>
      </c>
      <c r="BC416" s="3298">
        <f t="shared" si="250"/>
        <v>0</v>
      </c>
      <c r="BD416" s="3298">
        <f t="shared" si="251"/>
        <v>0</v>
      </c>
      <c r="BE416" s="3298">
        <f t="shared" si="252"/>
        <v>0</v>
      </c>
      <c r="BF416" s="3298">
        <f t="shared" si="253"/>
        <v>0</v>
      </c>
      <c r="BG416" s="3298">
        <f t="shared" si="254"/>
        <v>0</v>
      </c>
      <c r="BH416" s="3298">
        <f t="shared" si="255"/>
        <v>0</v>
      </c>
      <c r="BI416" s="3298">
        <f t="shared" si="256"/>
        <v>0</v>
      </c>
      <c r="BJ416" s="3298">
        <f t="shared" si="257"/>
        <v>0</v>
      </c>
      <c r="BK416" s="3298">
        <f t="shared" si="258"/>
        <v>0</v>
      </c>
      <c r="BL416" s="3298">
        <f t="shared" si="259"/>
        <v>0</v>
      </c>
      <c r="BM416" s="3298">
        <f t="shared" si="260"/>
        <v>0</v>
      </c>
      <c r="BN416" s="3298">
        <f t="shared" si="261"/>
        <v>0</v>
      </c>
      <c r="BO416" s="3298">
        <f t="shared" si="262"/>
        <v>0</v>
      </c>
      <c r="BP416" s="3298">
        <f t="shared" si="263"/>
        <v>0</v>
      </c>
      <c r="BQ416" s="3298">
        <f t="shared" si="264"/>
        <v>0</v>
      </c>
      <c r="BR416" s="3298">
        <f t="shared" si="265"/>
        <v>0</v>
      </c>
      <c r="BS416" s="3298">
        <f t="shared" si="266"/>
        <v>0</v>
      </c>
      <c r="BT416" s="3350">
        <f t="shared" si="267"/>
        <v>0</v>
      </c>
    </row>
    <row r="417" spans="1:72">
      <c r="A417" s="1407"/>
      <c r="B417" s="3296"/>
      <c r="C417" s="3296"/>
      <c r="D417" s="3297"/>
      <c r="E417" s="3298">
        <f t="shared" si="239"/>
        <v>0</v>
      </c>
      <c r="F417" s="3299"/>
      <c r="G417" s="3300">
        <f t="shared" si="240"/>
        <v>0</v>
      </c>
      <c r="H417" s="3301">
        <f t="shared" si="241"/>
        <v>0</v>
      </c>
      <c r="I417" s="3308"/>
      <c r="J417" s="3308"/>
      <c r="K417" s="3308"/>
      <c r="L417" s="3308"/>
      <c r="M417" s="3308"/>
      <c r="N417" s="3308"/>
      <c r="O417" s="3308"/>
      <c r="P417" s="3308"/>
      <c r="Q417" s="3308"/>
      <c r="R417" s="3308"/>
      <c r="S417" s="3308"/>
      <c r="T417" s="3308"/>
      <c r="U417" s="3308"/>
      <c r="V417" s="3308"/>
      <c r="W417" s="3308"/>
      <c r="X417" s="3308"/>
      <c r="Y417" s="3308"/>
      <c r="Z417" s="3308"/>
      <c r="AA417" s="3308"/>
      <c r="AB417" s="3308"/>
      <c r="AC417" s="3298">
        <f t="shared" si="242"/>
        <v>0</v>
      </c>
      <c r="AD417" s="3318"/>
      <c r="AE417" s="3318"/>
      <c r="AF417" s="3318"/>
      <c r="AG417" s="3318"/>
      <c r="AH417" s="3318"/>
      <c r="AI417" s="3318"/>
      <c r="AJ417" s="3318"/>
      <c r="AK417" s="3318"/>
      <c r="AL417" s="3318"/>
      <c r="AM417" s="3318"/>
      <c r="AN417" s="3318"/>
      <c r="AO417" s="3318"/>
      <c r="AP417" s="3318"/>
      <c r="AQ417" s="3318"/>
      <c r="AR417" s="3318"/>
      <c r="AS417" s="3318"/>
      <c r="AT417" s="3328"/>
      <c r="AU417" s="3329"/>
      <c r="AV417" s="963">
        <f t="shared" si="243"/>
        <v>0</v>
      </c>
      <c r="AW417" s="963">
        <f t="shared" si="244"/>
        <v>0</v>
      </c>
      <c r="AX417" s="963">
        <f t="shared" si="245"/>
        <v>0</v>
      </c>
      <c r="AY417" s="3343">
        <f t="shared" si="246"/>
        <v>0</v>
      </c>
      <c r="AZ417" s="3298">
        <f t="shared" si="247"/>
        <v>0</v>
      </c>
      <c r="BA417" s="3298">
        <f t="shared" si="248"/>
        <v>0</v>
      </c>
      <c r="BB417" s="3298">
        <f t="shared" si="249"/>
        <v>0</v>
      </c>
      <c r="BC417" s="3298">
        <f t="shared" si="250"/>
        <v>0</v>
      </c>
      <c r="BD417" s="3298">
        <f t="shared" si="251"/>
        <v>0</v>
      </c>
      <c r="BE417" s="3298">
        <f t="shared" si="252"/>
        <v>0</v>
      </c>
      <c r="BF417" s="3298">
        <f t="shared" si="253"/>
        <v>0</v>
      </c>
      <c r="BG417" s="3298">
        <f t="shared" si="254"/>
        <v>0</v>
      </c>
      <c r="BH417" s="3298">
        <f t="shared" si="255"/>
        <v>0</v>
      </c>
      <c r="BI417" s="3298">
        <f t="shared" si="256"/>
        <v>0</v>
      </c>
      <c r="BJ417" s="3298">
        <f t="shared" si="257"/>
        <v>0</v>
      </c>
      <c r="BK417" s="3298">
        <f t="shared" si="258"/>
        <v>0</v>
      </c>
      <c r="BL417" s="3298">
        <f t="shared" si="259"/>
        <v>0</v>
      </c>
      <c r="BM417" s="3298">
        <f t="shared" si="260"/>
        <v>0</v>
      </c>
      <c r="BN417" s="3298">
        <f t="shared" si="261"/>
        <v>0</v>
      </c>
      <c r="BO417" s="3298">
        <f t="shared" si="262"/>
        <v>0</v>
      </c>
      <c r="BP417" s="3298">
        <f t="shared" si="263"/>
        <v>0</v>
      </c>
      <c r="BQ417" s="3298">
        <f t="shared" si="264"/>
        <v>0</v>
      </c>
      <c r="BR417" s="3298">
        <f t="shared" si="265"/>
        <v>0</v>
      </c>
      <c r="BS417" s="3298">
        <f t="shared" si="266"/>
        <v>0</v>
      </c>
      <c r="BT417" s="3350">
        <f t="shared" si="267"/>
        <v>0</v>
      </c>
    </row>
    <row r="418" spans="1:72">
      <c r="A418" s="1407"/>
      <c r="B418" s="3296"/>
      <c r="C418" s="3296"/>
      <c r="D418" s="3297"/>
      <c r="E418" s="3298">
        <f t="shared" si="239"/>
        <v>0</v>
      </c>
      <c r="F418" s="3299"/>
      <c r="G418" s="3300">
        <f t="shared" si="240"/>
        <v>0</v>
      </c>
      <c r="H418" s="3301">
        <f t="shared" si="241"/>
        <v>0</v>
      </c>
      <c r="I418" s="3308"/>
      <c r="J418" s="3308"/>
      <c r="K418" s="3308"/>
      <c r="L418" s="3308"/>
      <c r="M418" s="3308"/>
      <c r="N418" s="3308"/>
      <c r="O418" s="3308"/>
      <c r="P418" s="3308"/>
      <c r="Q418" s="3308"/>
      <c r="R418" s="3308"/>
      <c r="S418" s="3308"/>
      <c r="T418" s="3308"/>
      <c r="U418" s="3308"/>
      <c r="V418" s="3308"/>
      <c r="W418" s="3308"/>
      <c r="X418" s="3308"/>
      <c r="Y418" s="3308"/>
      <c r="Z418" s="3308"/>
      <c r="AA418" s="3308"/>
      <c r="AB418" s="3308"/>
      <c r="AC418" s="3298">
        <f t="shared" si="242"/>
        <v>0</v>
      </c>
      <c r="AD418" s="3318"/>
      <c r="AE418" s="3318"/>
      <c r="AF418" s="3318"/>
      <c r="AG418" s="3318"/>
      <c r="AH418" s="3318"/>
      <c r="AI418" s="3318"/>
      <c r="AJ418" s="3318"/>
      <c r="AK418" s="3318"/>
      <c r="AL418" s="3318"/>
      <c r="AM418" s="3318"/>
      <c r="AN418" s="3318"/>
      <c r="AO418" s="3318"/>
      <c r="AP418" s="3318"/>
      <c r="AQ418" s="3318"/>
      <c r="AR418" s="3318"/>
      <c r="AS418" s="3318"/>
      <c r="AT418" s="3328"/>
      <c r="AU418" s="3329"/>
      <c r="AV418" s="963">
        <f t="shared" si="243"/>
        <v>0</v>
      </c>
      <c r="AW418" s="963">
        <f t="shared" si="244"/>
        <v>0</v>
      </c>
      <c r="AX418" s="963">
        <f t="shared" si="245"/>
        <v>0</v>
      </c>
      <c r="AY418" s="3343">
        <f t="shared" si="246"/>
        <v>0</v>
      </c>
      <c r="AZ418" s="3298">
        <f t="shared" si="247"/>
        <v>0</v>
      </c>
      <c r="BA418" s="3298">
        <f t="shared" si="248"/>
        <v>0</v>
      </c>
      <c r="BB418" s="3298">
        <f t="shared" si="249"/>
        <v>0</v>
      </c>
      <c r="BC418" s="3298">
        <f t="shared" si="250"/>
        <v>0</v>
      </c>
      <c r="BD418" s="3298">
        <f t="shared" si="251"/>
        <v>0</v>
      </c>
      <c r="BE418" s="3298">
        <f t="shared" si="252"/>
        <v>0</v>
      </c>
      <c r="BF418" s="3298">
        <f t="shared" si="253"/>
        <v>0</v>
      </c>
      <c r="BG418" s="3298">
        <f t="shared" si="254"/>
        <v>0</v>
      </c>
      <c r="BH418" s="3298">
        <f t="shared" si="255"/>
        <v>0</v>
      </c>
      <c r="BI418" s="3298">
        <f t="shared" si="256"/>
        <v>0</v>
      </c>
      <c r="BJ418" s="3298">
        <f t="shared" si="257"/>
        <v>0</v>
      </c>
      <c r="BK418" s="3298">
        <f t="shared" si="258"/>
        <v>0</v>
      </c>
      <c r="BL418" s="3298">
        <f t="shared" si="259"/>
        <v>0</v>
      </c>
      <c r="BM418" s="3298">
        <f t="shared" si="260"/>
        <v>0</v>
      </c>
      <c r="BN418" s="3298">
        <f t="shared" si="261"/>
        <v>0</v>
      </c>
      <c r="BO418" s="3298">
        <f t="shared" si="262"/>
        <v>0</v>
      </c>
      <c r="BP418" s="3298">
        <f t="shared" si="263"/>
        <v>0</v>
      </c>
      <c r="BQ418" s="3298">
        <f t="shared" si="264"/>
        <v>0</v>
      </c>
      <c r="BR418" s="3298">
        <f t="shared" si="265"/>
        <v>0</v>
      </c>
      <c r="BS418" s="3298">
        <f t="shared" si="266"/>
        <v>0</v>
      </c>
      <c r="BT418" s="3350">
        <f t="shared" si="267"/>
        <v>0</v>
      </c>
    </row>
    <row r="419" spans="1:72">
      <c r="A419" s="1407"/>
      <c r="B419" s="3296"/>
      <c r="C419" s="3296"/>
      <c r="D419" s="3297"/>
      <c r="E419" s="3298">
        <f t="shared" si="239"/>
        <v>0</v>
      </c>
      <c r="F419" s="3299"/>
      <c r="G419" s="3300">
        <f t="shared" si="240"/>
        <v>0</v>
      </c>
      <c r="H419" s="3301">
        <f t="shared" si="241"/>
        <v>0</v>
      </c>
      <c r="I419" s="3308"/>
      <c r="J419" s="3308"/>
      <c r="K419" s="3308"/>
      <c r="L419" s="3308"/>
      <c r="M419" s="3308"/>
      <c r="N419" s="3308"/>
      <c r="O419" s="3308"/>
      <c r="P419" s="3308"/>
      <c r="Q419" s="3308"/>
      <c r="R419" s="3308"/>
      <c r="S419" s="3308"/>
      <c r="T419" s="3308"/>
      <c r="U419" s="3308"/>
      <c r="V419" s="3308"/>
      <c r="W419" s="3308"/>
      <c r="X419" s="3308"/>
      <c r="Y419" s="3308"/>
      <c r="Z419" s="3308"/>
      <c r="AA419" s="3308"/>
      <c r="AB419" s="3308"/>
      <c r="AC419" s="3298">
        <f t="shared" si="242"/>
        <v>0</v>
      </c>
      <c r="AD419" s="3318"/>
      <c r="AE419" s="3318"/>
      <c r="AF419" s="3318"/>
      <c r="AG419" s="3318"/>
      <c r="AH419" s="3318"/>
      <c r="AI419" s="3318"/>
      <c r="AJ419" s="3318"/>
      <c r="AK419" s="3318"/>
      <c r="AL419" s="3318"/>
      <c r="AM419" s="3318"/>
      <c r="AN419" s="3318"/>
      <c r="AO419" s="3318"/>
      <c r="AP419" s="3318"/>
      <c r="AQ419" s="3318"/>
      <c r="AR419" s="3318"/>
      <c r="AS419" s="3318"/>
      <c r="AT419" s="3328"/>
      <c r="AU419" s="3329"/>
      <c r="AV419" s="963">
        <f t="shared" si="243"/>
        <v>0</v>
      </c>
      <c r="AW419" s="963">
        <f t="shared" si="244"/>
        <v>0</v>
      </c>
      <c r="AX419" s="963">
        <f t="shared" si="245"/>
        <v>0</v>
      </c>
      <c r="AY419" s="3343">
        <f t="shared" si="246"/>
        <v>0</v>
      </c>
      <c r="AZ419" s="3298">
        <f t="shared" si="247"/>
        <v>0</v>
      </c>
      <c r="BA419" s="3298">
        <f t="shared" si="248"/>
        <v>0</v>
      </c>
      <c r="BB419" s="3298">
        <f t="shared" si="249"/>
        <v>0</v>
      </c>
      <c r="BC419" s="3298">
        <f t="shared" si="250"/>
        <v>0</v>
      </c>
      <c r="BD419" s="3298">
        <f t="shared" si="251"/>
        <v>0</v>
      </c>
      <c r="BE419" s="3298">
        <f t="shared" si="252"/>
        <v>0</v>
      </c>
      <c r="BF419" s="3298">
        <f t="shared" si="253"/>
        <v>0</v>
      </c>
      <c r="BG419" s="3298">
        <f t="shared" si="254"/>
        <v>0</v>
      </c>
      <c r="BH419" s="3298">
        <f t="shared" si="255"/>
        <v>0</v>
      </c>
      <c r="BI419" s="3298">
        <f t="shared" si="256"/>
        <v>0</v>
      </c>
      <c r="BJ419" s="3298">
        <f t="shared" si="257"/>
        <v>0</v>
      </c>
      <c r="BK419" s="3298">
        <f t="shared" si="258"/>
        <v>0</v>
      </c>
      <c r="BL419" s="3298">
        <f t="shared" si="259"/>
        <v>0</v>
      </c>
      <c r="BM419" s="3298">
        <f t="shared" si="260"/>
        <v>0</v>
      </c>
      <c r="BN419" s="3298">
        <f t="shared" si="261"/>
        <v>0</v>
      </c>
      <c r="BO419" s="3298">
        <f t="shared" si="262"/>
        <v>0</v>
      </c>
      <c r="BP419" s="3298">
        <f t="shared" si="263"/>
        <v>0</v>
      </c>
      <c r="BQ419" s="3298">
        <f t="shared" si="264"/>
        <v>0</v>
      </c>
      <c r="BR419" s="3298">
        <f t="shared" si="265"/>
        <v>0</v>
      </c>
      <c r="BS419" s="3298">
        <f t="shared" si="266"/>
        <v>0</v>
      </c>
      <c r="BT419" s="3350">
        <f t="shared" si="267"/>
        <v>0</v>
      </c>
    </row>
    <row r="420" spans="1:72">
      <c r="A420" s="1407"/>
      <c r="B420" s="3296"/>
      <c r="C420" s="3296"/>
      <c r="D420" s="3297"/>
      <c r="E420" s="3298">
        <f t="shared" si="239"/>
        <v>0</v>
      </c>
      <c r="F420" s="3299"/>
      <c r="G420" s="3300">
        <f t="shared" si="240"/>
        <v>0</v>
      </c>
      <c r="H420" s="3301">
        <f t="shared" si="241"/>
        <v>0</v>
      </c>
      <c r="I420" s="3308"/>
      <c r="J420" s="3308"/>
      <c r="K420" s="3308"/>
      <c r="L420" s="3308"/>
      <c r="M420" s="3308"/>
      <c r="N420" s="3308"/>
      <c r="O420" s="3308"/>
      <c r="P420" s="3308"/>
      <c r="Q420" s="3308"/>
      <c r="R420" s="3308"/>
      <c r="S420" s="3308"/>
      <c r="T420" s="3308"/>
      <c r="U420" s="3308"/>
      <c r="V420" s="3308"/>
      <c r="W420" s="3308"/>
      <c r="X420" s="3308"/>
      <c r="Y420" s="3308"/>
      <c r="Z420" s="3308"/>
      <c r="AA420" s="3308"/>
      <c r="AB420" s="3308"/>
      <c r="AC420" s="3298">
        <f t="shared" si="242"/>
        <v>0</v>
      </c>
      <c r="AD420" s="3318"/>
      <c r="AE420" s="3318"/>
      <c r="AF420" s="3318"/>
      <c r="AG420" s="3318"/>
      <c r="AH420" s="3318"/>
      <c r="AI420" s="3318"/>
      <c r="AJ420" s="3318"/>
      <c r="AK420" s="3318"/>
      <c r="AL420" s="3318"/>
      <c r="AM420" s="3318"/>
      <c r="AN420" s="3318"/>
      <c r="AO420" s="3318"/>
      <c r="AP420" s="3318"/>
      <c r="AQ420" s="3318"/>
      <c r="AR420" s="3318"/>
      <c r="AS420" s="3318"/>
      <c r="AT420" s="3328"/>
      <c r="AU420" s="3329"/>
      <c r="AV420" s="963">
        <f t="shared" si="243"/>
        <v>0</v>
      </c>
      <c r="AW420" s="963">
        <f t="shared" si="244"/>
        <v>0</v>
      </c>
      <c r="AX420" s="963">
        <f t="shared" si="245"/>
        <v>0</v>
      </c>
      <c r="AY420" s="3343">
        <f t="shared" si="246"/>
        <v>0</v>
      </c>
      <c r="AZ420" s="3298">
        <f t="shared" si="247"/>
        <v>0</v>
      </c>
      <c r="BA420" s="3298">
        <f t="shared" si="248"/>
        <v>0</v>
      </c>
      <c r="BB420" s="3298">
        <f t="shared" si="249"/>
        <v>0</v>
      </c>
      <c r="BC420" s="3298">
        <f t="shared" si="250"/>
        <v>0</v>
      </c>
      <c r="BD420" s="3298">
        <f t="shared" si="251"/>
        <v>0</v>
      </c>
      <c r="BE420" s="3298">
        <f t="shared" si="252"/>
        <v>0</v>
      </c>
      <c r="BF420" s="3298">
        <f t="shared" si="253"/>
        <v>0</v>
      </c>
      <c r="BG420" s="3298">
        <f t="shared" si="254"/>
        <v>0</v>
      </c>
      <c r="BH420" s="3298">
        <f t="shared" si="255"/>
        <v>0</v>
      </c>
      <c r="BI420" s="3298">
        <f t="shared" si="256"/>
        <v>0</v>
      </c>
      <c r="BJ420" s="3298">
        <f t="shared" si="257"/>
        <v>0</v>
      </c>
      <c r="BK420" s="3298">
        <f t="shared" si="258"/>
        <v>0</v>
      </c>
      <c r="BL420" s="3298">
        <f t="shared" si="259"/>
        <v>0</v>
      </c>
      <c r="BM420" s="3298">
        <f t="shared" si="260"/>
        <v>0</v>
      </c>
      <c r="BN420" s="3298">
        <f t="shared" si="261"/>
        <v>0</v>
      </c>
      <c r="BO420" s="3298">
        <f t="shared" si="262"/>
        <v>0</v>
      </c>
      <c r="BP420" s="3298">
        <f t="shared" si="263"/>
        <v>0</v>
      </c>
      <c r="BQ420" s="3298">
        <f t="shared" si="264"/>
        <v>0</v>
      </c>
      <c r="BR420" s="3298">
        <f t="shared" si="265"/>
        <v>0</v>
      </c>
      <c r="BS420" s="3298">
        <f t="shared" si="266"/>
        <v>0</v>
      </c>
      <c r="BT420" s="3350">
        <f t="shared" si="267"/>
        <v>0</v>
      </c>
    </row>
    <row r="421" spans="1:72">
      <c r="A421" s="1407"/>
      <c r="B421" s="3296"/>
      <c r="C421" s="3296"/>
      <c r="D421" s="3297"/>
      <c r="E421" s="3298">
        <f t="shared" si="239"/>
        <v>0</v>
      </c>
      <c r="F421" s="3299"/>
      <c r="G421" s="3300">
        <f t="shared" si="240"/>
        <v>0</v>
      </c>
      <c r="H421" s="3301">
        <f t="shared" si="241"/>
        <v>0</v>
      </c>
      <c r="I421" s="3308"/>
      <c r="J421" s="3308"/>
      <c r="K421" s="3308"/>
      <c r="L421" s="3308"/>
      <c r="M421" s="3308"/>
      <c r="N421" s="3308"/>
      <c r="O421" s="3308"/>
      <c r="P421" s="3308"/>
      <c r="Q421" s="3308"/>
      <c r="R421" s="3308"/>
      <c r="S421" s="3308"/>
      <c r="T421" s="3308"/>
      <c r="U421" s="3308"/>
      <c r="V421" s="3308"/>
      <c r="W421" s="3308"/>
      <c r="X421" s="3308"/>
      <c r="Y421" s="3308"/>
      <c r="Z421" s="3308"/>
      <c r="AA421" s="3308"/>
      <c r="AB421" s="3308"/>
      <c r="AC421" s="3298">
        <f t="shared" si="242"/>
        <v>0</v>
      </c>
      <c r="AD421" s="3318"/>
      <c r="AE421" s="3318"/>
      <c r="AF421" s="3318"/>
      <c r="AG421" s="3318"/>
      <c r="AH421" s="3318"/>
      <c r="AI421" s="3318"/>
      <c r="AJ421" s="3318"/>
      <c r="AK421" s="3318"/>
      <c r="AL421" s="3318"/>
      <c r="AM421" s="3318"/>
      <c r="AN421" s="3318"/>
      <c r="AO421" s="3318"/>
      <c r="AP421" s="3318"/>
      <c r="AQ421" s="3318"/>
      <c r="AR421" s="3318"/>
      <c r="AS421" s="3318"/>
      <c r="AT421" s="3328"/>
      <c r="AU421" s="3329"/>
      <c r="AV421" s="963">
        <f t="shared" si="243"/>
        <v>0</v>
      </c>
      <c r="AW421" s="963">
        <f t="shared" si="244"/>
        <v>0</v>
      </c>
      <c r="AX421" s="963">
        <f t="shared" si="245"/>
        <v>0</v>
      </c>
      <c r="AY421" s="3343">
        <f t="shared" si="246"/>
        <v>0</v>
      </c>
      <c r="AZ421" s="3298">
        <f t="shared" si="247"/>
        <v>0</v>
      </c>
      <c r="BA421" s="3298">
        <f t="shared" si="248"/>
        <v>0</v>
      </c>
      <c r="BB421" s="3298">
        <f t="shared" si="249"/>
        <v>0</v>
      </c>
      <c r="BC421" s="3298">
        <f t="shared" si="250"/>
        <v>0</v>
      </c>
      <c r="BD421" s="3298">
        <f t="shared" si="251"/>
        <v>0</v>
      </c>
      <c r="BE421" s="3298">
        <f t="shared" si="252"/>
        <v>0</v>
      </c>
      <c r="BF421" s="3298">
        <f t="shared" si="253"/>
        <v>0</v>
      </c>
      <c r="BG421" s="3298">
        <f t="shared" si="254"/>
        <v>0</v>
      </c>
      <c r="BH421" s="3298">
        <f t="shared" si="255"/>
        <v>0</v>
      </c>
      <c r="BI421" s="3298">
        <f t="shared" si="256"/>
        <v>0</v>
      </c>
      <c r="BJ421" s="3298">
        <f t="shared" si="257"/>
        <v>0</v>
      </c>
      <c r="BK421" s="3298">
        <f t="shared" si="258"/>
        <v>0</v>
      </c>
      <c r="BL421" s="3298">
        <f t="shared" si="259"/>
        <v>0</v>
      </c>
      <c r="BM421" s="3298">
        <f t="shared" si="260"/>
        <v>0</v>
      </c>
      <c r="BN421" s="3298">
        <f t="shared" si="261"/>
        <v>0</v>
      </c>
      <c r="BO421" s="3298">
        <f t="shared" si="262"/>
        <v>0</v>
      </c>
      <c r="BP421" s="3298">
        <f t="shared" si="263"/>
        <v>0</v>
      </c>
      <c r="BQ421" s="3298">
        <f t="shared" si="264"/>
        <v>0</v>
      </c>
      <c r="BR421" s="3298">
        <f t="shared" si="265"/>
        <v>0</v>
      </c>
      <c r="BS421" s="3298">
        <f t="shared" si="266"/>
        <v>0</v>
      </c>
      <c r="BT421" s="3350">
        <f t="shared" si="267"/>
        <v>0</v>
      </c>
    </row>
    <row r="422" spans="1:72">
      <c r="A422" s="1407"/>
      <c r="B422" s="3296"/>
      <c r="C422" s="3296"/>
      <c r="D422" s="3297"/>
      <c r="E422" s="3298">
        <f t="shared" si="239"/>
        <v>0</v>
      </c>
      <c r="F422" s="3299"/>
      <c r="G422" s="3300">
        <f t="shared" si="240"/>
        <v>0</v>
      </c>
      <c r="H422" s="3301">
        <f t="shared" si="241"/>
        <v>0</v>
      </c>
      <c r="I422" s="3308"/>
      <c r="J422" s="3308"/>
      <c r="K422" s="3308"/>
      <c r="L422" s="3308"/>
      <c r="M422" s="3308"/>
      <c r="N422" s="3308"/>
      <c r="O422" s="3308"/>
      <c r="P422" s="3308"/>
      <c r="Q422" s="3308"/>
      <c r="R422" s="3308"/>
      <c r="S422" s="3308"/>
      <c r="T422" s="3308"/>
      <c r="U422" s="3308"/>
      <c r="V422" s="3308"/>
      <c r="W422" s="3308"/>
      <c r="X422" s="3308"/>
      <c r="Y422" s="3308"/>
      <c r="Z422" s="3308"/>
      <c r="AA422" s="3308"/>
      <c r="AB422" s="3308"/>
      <c r="AC422" s="3298">
        <f t="shared" si="242"/>
        <v>0</v>
      </c>
      <c r="AD422" s="3318"/>
      <c r="AE422" s="3318"/>
      <c r="AF422" s="3318"/>
      <c r="AG422" s="3318"/>
      <c r="AH422" s="3318"/>
      <c r="AI422" s="3318"/>
      <c r="AJ422" s="3318"/>
      <c r="AK422" s="3318"/>
      <c r="AL422" s="3318"/>
      <c r="AM422" s="3318"/>
      <c r="AN422" s="3318"/>
      <c r="AO422" s="3318"/>
      <c r="AP422" s="3318"/>
      <c r="AQ422" s="3318"/>
      <c r="AR422" s="3318"/>
      <c r="AS422" s="3318"/>
      <c r="AT422" s="3328"/>
      <c r="AU422" s="3329"/>
      <c r="AV422" s="963">
        <f t="shared" si="243"/>
        <v>0</v>
      </c>
      <c r="AW422" s="963">
        <f t="shared" si="244"/>
        <v>0</v>
      </c>
      <c r="AX422" s="963">
        <f t="shared" si="245"/>
        <v>0</v>
      </c>
      <c r="AY422" s="3343">
        <f t="shared" si="246"/>
        <v>0</v>
      </c>
      <c r="AZ422" s="3298">
        <f t="shared" si="247"/>
        <v>0</v>
      </c>
      <c r="BA422" s="3298">
        <f t="shared" si="248"/>
        <v>0</v>
      </c>
      <c r="BB422" s="3298">
        <f t="shared" si="249"/>
        <v>0</v>
      </c>
      <c r="BC422" s="3298">
        <f t="shared" si="250"/>
        <v>0</v>
      </c>
      <c r="BD422" s="3298">
        <f t="shared" si="251"/>
        <v>0</v>
      </c>
      <c r="BE422" s="3298">
        <f t="shared" si="252"/>
        <v>0</v>
      </c>
      <c r="BF422" s="3298">
        <f t="shared" si="253"/>
        <v>0</v>
      </c>
      <c r="BG422" s="3298">
        <f t="shared" si="254"/>
        <v>0</v>
      </c>
      <c r="BH422" s="3298">
        <f t="shared" si="255"/>
        <v>0</v>
      </c>
      <c r="BI422" s="3298">
        <f t="shared" si="256"/>
        <v>0</v>
      </c>
      <c r="BJ422" s="3298">
        <f t="shared" si="257"/>
        <v>0</v>
      </c>
      <c r="BK422" s="3298">
        <f t="shared" si="258"/>
        <v>0</v>
      </c>
      <c r="BL422" s="3298">
        <f t="shared" si="259"/>
        <v>0</v>
      </c>
      <c r="BM422" s="3298">
        <f t="shared" si="260"/>
        <v>0</v>
      </c>
      <c r="BN422" s="3298">
        <f t="shared" si="261"/>
        <v>0</v>
      </c>
      <c r="BO422" s="3298">
        <f t="shared" si="262"/>
        <v>0</v>
      </c>
      <c r="BP422" s="3298">
        <f t="shared" si="263"/>
        <v>0</v>
      </c>
      <c r="BQ422" s="3298">
        <f t="shared" si="264"/>
        <v>0</v>
      </c>
      <c r="BR422" s="3298">
        <f t="shared" si="265"/>
        <v>0</v>
      </c>
      <c r="BS422" s="3298">
        <f t="shared" si="266"/>
        <v>0</v>
      </c>
      <c r="BT422" s="3350">
        <f t="shared" si="267"/>
        <v>0</v>
      </c>
    </row>
    <row r="423" spans="1:72">
      <c r="A423" s="1407"/>
      <c r="B423" s="3296"/>
      <c r="C423" s="3296"/>
      <c r="D423" s="3297"/>
      <c r="E423" s="3298">
        <f t="shared" si="239"/>
        <v>0</v>
      </c>
      <c r="F423" s="3299"/>
      <c r="G423" s="3300">
        <f t="shared" si="240"/>
        <v>0</v>
      </c>
      <c r="H423" s="3301">
        <f t="shared" si="241"/>
        <v>0</v>
      </c>
      <c r="I423" s="3308"/>
      <c r="J423" s="3308"/>
      <c r="K423" s="3308"/>
      <c r="L423" s="3308"/>
      <c r="M423" s="3308"/>
      <c r="N423" s="3308"/>
      <c r="O423" s="3308"/>
      <c r="P423" s="3308"/>
      <c r="Q423" s="3308"/>
      <c r="R423" s="3308"/>
      <c r="S423" s="3308"/>
      <c r="T423" s="3308"/>
      <c r="U423" s="3308"/>
      <c r="V423" s="3308"/>
      <c r="W423" s="3308"/>
      <c r="X423" s="3308"/>
      <c r="Y423" s="3308"/>
      <c r="Z423" s="3308"/>
      <c r="AA423" s="3308"/>
      <c r="AB423" s="3308"/>
      <c r="AC423" s="3298">
        <f t="shared" si="242"/>
        <v>0</v>
      </c>
      <c r="AD423" s="3318"/>
      <c r="AE423" s="3318"/>
      <c r="AF423" s="3318"/>
      <c r="AG423" s="3318"/>
      <c r="AH423" s="3318"/>
      <c r="AI423" s="3318"/>
      <c r="AJ423" s="3318"/>
      <c r="AK423" s="3318"/>
      <c r="AL423" s="3318"/>
      <c r="AM423" s="3318"/>
      <c r="AN423" s="3318"/>
      <c r="AO423" s="3318"/>
      <c r="AP423" s="3318"/>
      <c r="AQ423" s="3318"/>
      <c r="AR423" s="3318"/>
      <c r="AS423" s="3318"/>
      <c r="AT423" s="3328"/>
      <c r="AU423" s="3329"/>
      <c r="AV423" s="963">
        <f t="shared" si="243"/>
        <v>0</v>
      </c>
      <c r="AW423" s="963">
        <f t="shared" si="244"/>
        <v>0</v>
      </c>
      <c r="AX423" s="963">
        <f t="shared" si="245"/>
        <v>0</v>
      </c>
      <c r="AY423" s="3343">
        <f t="shared" si="246"/>
        <v>0</v>
      </c>
      <c r="AZ423" s="3298">
        <f t="shared" si="247"/>
        <v>0</v>
      </c>
      <c r="BA423" s="3298">
        <f t="shared" si="248"/>
        <v>0</v>
      </c>
      <c r="BB423" s="3298">
        <f t="shared" si="249"/>
        <v>0</v>
      </c>
      <c r="BC423" s="3298">
        <f t="shared" si="250"/>
        <v>0</v>
      </c>
      <c r="BD423" s="3298">
        <f t="shared" si="251"/>
        <v>0</v>
      </c>
      <c r="BE423" s="3298">
        <f t="shared" si="252"/>
        <v>0</v>
      </c>
      <c r="BF423" s="3298">
        <f t="shared" si="253"/>
        <v>0</v>
      </c>
      <c r="BG423" s="3298">
        <f t="shared" si="254"/>
        <v>0</v>
      </c>
      <c r="BH423" s="3298">
        <f t="shared" si="255"/>
        <v>0</v>
      </c>
      <c r="BI423" s="3298">
        <f t="shared" si="256"/>
        <v>0</v>
      </c>
      <c r="BJ423" s="3298">
        <f t="shared" si="257"/>
        <v>0</v>
      </c>
      <c r="BK423" s="3298">
        <f t="shared" si="258"/>
        <v>0</v>
      </c>
      <c r="BL423" s="3298">
        <f t="shared" si="259"/>
        <v>0</v>
      </c>
      <c r="BM423" s="3298">
        <f t="shared" si="260"/>
        <v>0</v>
      </c>
      <c r="BN423" s="3298">
        <f t="shared" si="261"/>
        <v>0</v>
      </c>
      <c r="BO423" s="3298">
        <f t="shared" si="262"/>
        <v>0</v>
      </c>
      <c r="BP423" s="3298">
        <f t="shared" si="263"/>
        <v>0</v>
      </c>
      <c r="BQ423" s="3298">
        <f t="shared" si="264"/>
        <v>0</v>
      </c>
      <c r="BR423" s="3298">
        <f t="shared" si="265"/>
        <v>0</v>
      </c>
      <c r="BS423" s="3298">
        <f t="shared" si="266"/>
        <v>0</v>
      </c>
      <c r="BT423" s="3350">
        <f t="shared" si="267"/>
        <v>0</v>
      </c>
    </row>
    <row r="424" spans="1:72">
      <c r="A424" s="1407"/>
      <c r="B424" s="3296"/>
      <c r="C424" s="3296"/>
      <c r="D424" s="3297"/>
      <c r="E424" s="3298">
        <f t="shared" si="239"/>
        <v>0</v>
      </c>
      <c r="F424" s="3299"/>
      <c r="G424" s="3300">
        <f t="shared" si="240"/>
        <v>0</v>
      </c>
      <c r="H424" s="3301">
        <f t="shared" si="241"/>
        <v>0</v>
      </c>
      <c r="I424" s="3308"/>
      <c r="J424" s="3308"/>
      <c r="K424" s="3308"/>
      <c r="L424" s="3308"/>
      <c r="M424" s="3308"/>
      <c r="N424" s="3308"/>
      <c r="O424" s="3308"/>
      <c r="P424" s="3308"/>
      <c r="Q424" s="3308"/>
      <c r="R424" s="3308"/>
      <c r="S424" s="3308"/>
      <c r="T424" s="3308"/>
      <c r="U424" s="3308"/>
      <c r="V424" s="3308"/>
      <c r="W424" s="3308"/>
      <c r="X424" s="3308"/>
      <c r="Y424" s="3308"/>
      <c r="Z424" s="3308"/>
      <c r="AA424" s="3308"/>
      <c r="AB424" s="3308"/>
      <c r="AC424" s="3298">
        <f t="shared" si="242"/>
        <v>0</v>
      </c>
      <c r="AD424" s="3318"/>
      <c r="AE424" s="3318"/>
      <c r="AF424" s="3318"/>
      <c r="AG424" s="3318"/>
      <c r="AH424" s="3318"/>
      <c r="AI424" s="3318"/>
      <c r="AJ424" s="3318"/>
      <c r="AK424" s="3318"/>
      <c r="AL424" s="3318"/>
      <c r="AM424" s="3318"/>
      <c r="AN424" s="3318"/>
      <c r="AO424" s="3318"/>
      <c r="AP424" s="3318"/>
      <c r="AQ424" s="3318"/>
      <c r="AR424" s="3318"/>
      <c r="AS424" s="3318"/>
      <c r="AT424" s="3328"/>
      <c r="AU424" s="3329"/>
      <c r="AV424" s="963">
        <f t="shared" si="243"/>
        <v>0</v>
      </c>
      <c r="AW424" s="963">
        <f t="shared" si="244"/>
        <v>0</v>
      </c>
      <c r="AX424" s="963">
        <f t="shared" si="245"/>
        <v>0</v>
      </c>
      <c r="AY424" s="3343">
        <f t="shared" si="246"/>
        <v>0</v>
      </c>
      <c r="AZ424" s="3298">
        <f t="shared" si="247"/>
        <v>0</v>
      </c>
      <c r="BA424" s="3298">
        <f t="shared" si="248"/>
        <v>0</v>
      </c>
      <c r="BB424" s="3298">
        <f t="shared" si="249"/>
        <v>0</v>
      </c>
      <c r="BC424" s="3298">
        <f t="shared" si="250"/>
        <v>0</v>
      </c>
      <c r="BD424" s="3298">
        <f t="shared" si="251"/>
        <v>0</v>
      </c>
      <c r="BE424" s="3298">
        <f t="shared" si="252"/>
        <v>0</v>
      </c>
      <c r="BF424" s="3298">
        <f t="shared" si="253"/>
        <v>0</v>
      </c>
      <c r="BG424" s="3298">
        <f t="shared" si="254"/>
        <v>0</v>
      </c>
      <c r="BH424" s="3298">
        <f t="shared" si="255"/>
        <v>0</v>
      </c>
      <c r="BI424" s="3298">
        <f t="shared" si="256"/>
        <v>0</v>
      </c>
      <c r="BJ424" s="3298">
        <f t="shared" si="257"/>
        <v>0</v>
      </c>
      <c r="BK424" s="3298">
        <f t="shared" si="258"/>
        <v>0</v>
      </c>
      <c r="BL424" s="3298">
        <f t="shared" si="259"/>
        <v>0</v>
      </c>
      <c r="BM424" s="3298">
        <f t="shared" si="260"/>
        <v>0</v>
      </c>
      <c r="BN424" s="3298">
        <f t="shared" si="261"/>
        <v>0</v>
      </c>
      <c r="BO424" s="3298">
        <f t="shared" si="262"/>
        <v>0</v>
      </c>
      <c r="BP424" s="3298">
        <f t="shared" si="263"/>
        <v>0</v>
      </c>
      <c r="BQ424" s="3298">
        <f t="shared" si="264"/>
        <v>0</v>
      </c>
      <c r="BR424" s="3298">
        <f t="shared" si="265"/>
        <v>0</v>
      </c>
      <c r="BS424" s="3298">
        <f t="shared" si="266"/>
        <v>0</v>
      </c>
      <c r="BT424" s="3350">
        <f t="shared" si="267"/>
        <v>0</v>
      </c>
    </row>
    <row r="425" spans="1:72">
      <c r="A425" s="1407"/>
      <c r="B425" s="3296"/>
      <c r="C425" s="3296"/>
      <c r="D425" s="3297"/>
      <c r="E425" s="3298">
        <f t="shared" si="239"/>
        <v>0</v>
      </c>
      <c r="F425" s="3299"/>
      <c r="G425" s="3300">
        <f t="shared" si="240"/>
        <v>0</v>
      </c>
      <c r="H425" s="3301">
        <f t="shared" si="241"/>
        <v>0</v>
      </c>
      <c r="I425" s="3308"/>
      <c r="J425" s="3308"/>
      <c r="K425" s="3308"/>
      <c r="L425" s="3308"/>
      <c r="M425" s="3308"/>
      <c r="N425" s="3308"/>
      <c r="O425" s="3308"/>
      <c r="P425" s="3308"/>
      <c r="Q425" s="3308"/>
      <c r="R425" s="3308"/>
      <c r="S425" s="3308"/>
      <c r="T425" s="3308"/>
      <c r="U425" s="3308"/>
      <c r="V425" s="3308"/>
      <c r="W425" s="3308"/>
      <c r="X425" s="3308"/>
      <c r="Y425" s="3308"/>
      <c r="Z425" s="3308"/>
      <c r="AA425" s="3308"/>
      <c r="AB425" s="3308"/>
      <c r="AC425" s="3298">
        <f t="shared" si="242"/>
        <v>0</v>
      </c>
      <c r="AD425" s="3318"/>
      <c r="AE425" s="3318"/>
      <c r="AF425" s="3318"/>
      <c r="AG425" s="3318"/>
      <c r="AH425" s="3318"/>
      <c r="AI425" s="3318"/>
      <c r="AJ425" s="3318"/>
      <c r="AK425" s="3318"/>
      <c r="AL425" s="3318"/>
      <c r="AM425" s="3318"/>
      <c r="AN425" s="3318"/>
      <c r="AO425" s="3318"/>
      <c r="AP425" s="3318"/>
      <c r="AQ425" s="3318"/>
      <c r="AR425" s="3318"/>
      <c r="AS425" s="3318"/>
      <c r="AT425" s="3328"/>
      <c r="AU425" s="3329"/>
      <c r="AV425" s="963">
        <f t="shared" si="243"/>
        <v>0</v>
      </c>
      <c r="AW425" s="963">
        <f t="shared" si="244"/>
        <v>0</v>
      </c>
      <c r="AX425" s="963">
        <f t="shared" si="245"/>
        <v>0</v>
      </c>
      <c r="AY425" s="3343">
        <f t="shared" si="246"/>
        <v>0</v>
      </c>
      <c r="AZ425" s="3298">
        <f t="shared" si="247"/>
        <v>0</v>
      </c>
      <c r="BA425" s="3298">
        <f t="shared" si="248"/>
        <v>0</v>
      </c>
      <c r="BB425" s="3298">
        <f t="shared" si="249"/>
        <v>0</v>
      </c>
      <c r="BC425" s="3298">
        <f t="shared" si="250"/>
        <v>0</v>
      </c>
      <c r="BD425" s="3298">
        <f t="shared" si="251"/>
        <v>0</v>
      </c>
      <c r="BE425" s="3298">
        <f t="shared" si="252"/>
        <v>0</v>
      </c>
      <c r="BF425" s="3298">
        <f t="shared" si="253"/>
        <v>0</v>
      </c>
      <c r="BG425" s="3298">
        <f t="shared" si="254"/>
        <v>0</v>
      </c>
      <c r="BH425" s="3298">
        <f t="shared" si="255"/>
        <v>0</v>
      </c>
      <c r="BI425" s="3298">
        <f t="shared" si="256"/>
        <v>0</v>
      </c>
      <c r="BJ425" s="3298">
        <f t="shared" si="257"/>
        <v>0</v>
      </c>
      <c r="BK425" s="3298">
        <f t="shared" si="258"/>
        <v>0</v>
      </c>
      <c r="BL425" s="3298">
        <f t="shared" si="259"/>
        <v>0</v>
      </c>
      <c r="BM425" s="3298">
        <f t="shared" si="260"/>
        <v>0</v>
      </c>
      <c r="BN425" s="3298">
        <f t="shared" si="261"/>
        <v>0</v>
      </c>
      <c r="BO425" s="3298">
        <f t="shared" si="262"/>
        <v>0</v>
      </c>
      <c r="BP425" s="3298">
        <f t="shared" si="263"/>
        <v>0</v>
      </c>
      <c r="BQ425" s="3298">
        <f t="shared" si="264"/>
        <v>0</v>
      </c>
      <c r="BR425" s="3298">
        <f t="shared" si="265"/>
        <v>0</v>
      </c>
      <c r="BS425" s="3298">
        <f t="shared" si="266"/>
        <v>0</v>
      </c>
      <c r="BT425" s="3350">
        <f t="shared" si="267"/>
        <v>0</v>
      </c>
    </row>
    <row r="426" spans="1:72">
      <c r="A426" s="1407"/>
      <c r="B426" s="3296"/>
      <c r="C426" s="3296"/>
      <c r="D426" s="3297"/>
      <c r="E426" s="3298">
        <f t="shared" si="239"/>
        <v>0</v>
      </c>
      <c r="F426" s="3299"/>
      <c r="G426" s="3300">
        <f t="shared" si="240"/>
        <v>0</v>
      </c>
      <c r="H426" s="3301">
        <f t="shared" si="241"/>
        <v>0</v>
      </c>
      <c r="I426" s="3308"/>
      <c r="J426" s="3308"/>
      <c r="K426" s="3308"/>
      <c r="L426" s="3308"/>
      <c r="M426" s="3308"/>
      <c r="N426" s="3308"/>
      <c r="O426" s="3308"/>
      <c r="P426" s="3308"/>
      <c r="Q426" s="3308"/>
      <c r="R426" s="3308"/>
      <c r="S426" s="3308"/>
      <c r="T426" s="3308"/>
      <c r="U426" s="3308"/>
      <c r="V426" s="3308"/>
      <c r="W426" s="3308"/>
      <c r="X426" s="3308"/>
      <c r="Y426" s="3308"/>
      <c r="Z426" s="3308"/>
      <c r="AA426" s="3308"/>
      <c r="AB426" s="3308"/>
      <c r="AC426" s="3298">
        <f t="shared" si="242"/>
        <v>0</v>
      </c>
      <c r="AD426" s="3318"/>
      <c r="AE426" s="3318"/>
      <c r="AF426" s="3318"/>
      <c r="AG426" s="3318"/>
      <c r="AH426" s="3318"/>
      <c r="AI426" s="3318"/>
      <c r="AJ426" s="3318"/>
      <c r="AK426" s="3318"/>
      <c r="AL426" s="3318"/>
      <c r="AM426" s="3318"/>
      <c r="AN426" s="3318"/>
      <c r="AO426" s="3318"/>
      <c r="AP426" s="3318"/>
      <c r="AQ426" s="3318"/>
      <c r="AR426" s="3318"/>
      <c r="AS426" s="3318"/>
      <c r="AT426" s="3328"/>
      <c r="AU426" s="3329"/>
      <c r="AV426" s="963">
        <f t="shared" si="243"/>
        <v>0</v>
      </c>
      <c r="AW426" s="963">
        <f t="shared" si="244"/>
        <v>0</v>
      </c>
      <c r="AX426" s="963">
        <f t="shared" si="245"/>
        <v>0</v>
      </c>
      <c r="AY426" s="3343">
        <f t="shared" si="246"/>
        <v>0</v>
      </c>
      <c r="AZ426" s="3298">
        <f t="shared" si="247"/>
        <v>0</v>
      </c>
      <c r="BA426" s="3298">
        <f t="shared" si="248"/>
        <v>0</v>
      </c>
      <c r="BB426" s="3298">
        <f t="shared" si="249"/>
        <v>0</v>
      </c>
      <c r="BC426" s="3298">
        <f t="shared" si="250"/>
        <v>0</v>
      </c>
      <c r="BD426" s="3298">
        <f t="shared" si="251"/>
        <v>0</v>
      </c>
      <c r="BE426" s="3298">
        <f t="shared" si="252"/>
        <v>0</v>
      </c>
      <c r="BF426" s="3298">
        <f t="shared" si="253"/>
        <v>0</v>
      </c>
      <c r="BG426" s="3298">
        <f t="shared" si="254"/>
        <v>0</v>
      </c>
      <c r="BH426" s="3298">
        <f t="shared" si="255"/>
        <v>0</v>
      </c>
      <c r="BI426" s="3298">
        <f t="shared" si="256"/>
        <v>0</v>
      </c>
      <c r="BJ426" s="3298">
        <f t="shared" si="257"/>
        <v>0</v>
      </c>
      <c r="BK426" s="3298">
        <f t="shared" si="258"/>
        <v>0</v>
      </c>
      <c r="BL426" s="3298">
        <f t="shared" si="259"/>
        <v>0</v>
      </c>
      <c r="BM426" s="3298">
        <f t="shared" si="260"/>
        <v>0</v>
      </c>
      <c r="BN426" s="3298">
        <f t="shared" si="261"/>
        <v>0</v>
      </c>
      <c r="BO426" s="3298">
        <f t="shared" si="262"/>
        <v>0</v>
      </c>
      <c r="BP426" s="3298">
        <f t="shared" si="263"/>
        <v>0</v>
      </c>
      <c r="BQ426" s="3298">
        <f t="shared" si="264"/>
        <v>0</v>
      </c>
      <c r="BR426" s="3298">
        <f t="shared" si="265"/>
        <v>0</v>
      </c>
      <c r="BS426" s="3298">
        <f t="shared" si="266"/>
        <v>0</v>
      </c>
      <c r="BT426" s="3350">
        <f t="shared" si="267"/>
        <v>0</v>
      </c>
    </row>
    <row r="427" spans="1:72">
      <c r="A427" s="1407"/>
      <c r="B427" s="3296"/>
      <c r="C427" s="3296"/>
      <c r="D427" s="3297"/>
      <c r="E427" s="3298">
        <f t="shared" si="239"/>
        <v>0</v>
      </c>
      <c r="F427" s="3299"/>
      <c r="G427" s="3300">
        <f t="shared" si="240"/>
        <v>0</v>
      </c>
      <c r="H427" s="3301">
        <f t="shared" si="241"/>
        <v>0</v>
      </c>
      <c r="I427" s="3308"/>
      <c r="J427" s="3308"/>
      <c r="K427" s="3308"/>
      <c r="L427" s="3308"/>
      <c r="M427" s="3308"/>
      <c r="N427" s="3308"/>
      <c r="O427" s="3308"/>
      <c r="P427" s="3308"/>
      <c r="Q427" s="3308"/>
      <c r="R427" s="3308"/>
      <c r="S427" s="3308"/>
      <c r="T427" s="3308"/>
      <c r="U427" s="3308"/>
      <c r="V427" s="3308"/>
      <c r="W427" s="3308"/>
      <c r="X427" s="3308"/>
      <c r="Y427" s="3308"/>
      <c r="Z427" s="3308"/>
      <c r="AA427" s="3308"/>
      <c r="AB427" s="3308"/>
      <c r="AC427" s="3298">
        <f t="shared" si="242"/>
        <v>0</v>
      </c>
      <c r="AD427" s="3318"/>
      <c r="AE427" s="3318"/>
      <c r="AF427" s="3318"/>
      <c r="AG427" s="3318"/>
      <c r="AH427" s="3318"/>
      <c r="AI427" s="3318"/>
      <c r="AJ427" s="3318"/>
      <c r="AK427" s="3318"/>
      <c r="AL427" s="3318"/>
      <c r="AM427" s="3318"/>
      <c r="AN427" s="3318"/>
      <c r="AO427" s="3318"/>
      <c r="AP427" s="3318"/>
      <c r="AQ427" s="3318"/>
      <c r="AR427" s="3318"/>
      <c r="AS427" s="3318"/>
      <c r="AT427" s="3328"/>
      <c r="AU427" s="3329"/>
      <c r="AV427" s="963">
        <f t="shared" si="243"/>
        <v>0</v>
      </c>
      <c r="AW427" s="963">
        <f t="shared" si="244"/>
        <v>0</v>
      </c>
      <c r="AX427" s="963">
        <f t="shared" si="245"/>
        <v>0</v>
      </c>
      <c r="AY427" s="3343">
        <f t="shared" si="246"/>
        <v>0</v>
      </c>
      <c r="AZ427" s="3298">
        <f t="shared" si="247"/>
        <v>0</v>
      </c>
      <c r="BA427" s="3298">
        <f t="shared" si="248"/>
        <v>0</v>
      </c>
      <c r="BB427" s="3298">
        <f t="shared" si="249"/>
        <v>0</v>
      </c>
      <c r="BC427" s="3298">
        <f t="shared" si="250"/>
        <v>0</v>
      </c>
      <c r="BD427" s="3298">
        <f t="shared" si="251"/>
        <v>0</v>
      </c>
      <c r="BE427" s="3298">
        <f t="shared" si="252"/>
        <v>0</v>
      </c>
      <c r="BF427" s="3298">
        <f t="shared" si="253"/>
        <v>0</v>
      </c>
      <c r="BG427" s="3298">
        <f t="shared" si="254"/>
        <v>0</v>
      </c>
      <c r="BH427" s="3298">
        <f t="shared" si="255"/>
        <v>0</v>
      </c>
      <c r="BI427" s="3298">
        <f t="shared" si="256"/>
        <v>0</v>
      </c>
      <c r="BJ427" s="3298">
        <f t="shared" si="257"/>
        <v>0</v>
      </c>
      <c r="BK427" s="3298">
        <f t="shared" si="258"/>
        <v>0</v>
      </c>
      <c r="BL427" s="3298">
        <f t="shared" si="259"/>
        <v>0</v>
      </c>
      <c r="BM427" s="3298">
        <f t="shared" si="260"/>
        <v>0</v>
      </c>
      <c r="BN427" s="3298">
        <f t="shared" si="261"/>
        <v>0</v>
      </c>
      <c r="BO427" s="3298">
        <f t="shared" si="262"/>
        <v>0</v>
      </c>
      <c r="BP427" s="3298">
        <f t="shared" si="263"/>
        <v>0</v>
      </c>
      <c r="BQ427" s="3298">
        <f t="shared" si="264"/>
        <v>0</v>
      </c>
      <c r="BR427" s="3298">
        <f t="shared" si="265"/>
        <v>0</v>
      </c>
      <c r="BS427" s="3298">
        <f t="shared" si="266"/>
        <v>0</v>
      </c>
      <c r="BT427" s="3350">
        <f t="shared" si="267"/>
        <v>0</v>
      </c>
    </row>
    <row r="428" spans="1:72">
      <c r="A428" s="1407"/>
      <c r="B428" s="3296"/>
      <c r="C428" s="3296"/>
      <c r="D428" s="3297"/>
      <c r="E428" s="3298">
        <f t="shared" si="239"/>
        <v>0</v>
      </c>
      <c r="F428" s="3299"/>
      <c r="G428" s="3300">
        <f t="shared" si="240"/>
        <v>0</v>
      </c>
      <c r="H428" s="3301">
        <f t="shared" si="241"/>
        <v>0</v>
      </c>
      <c r="I428" s="3308"/>
      <c r="J428" s="3308"/>
      <c r="K428" s="3308"/>
      <c r="L428" s="3308"/>
      <c r="M428" s="3308"/>
      <c r="N428" s="3308"/>
      <c r="O428" s="3308"/>
      <c r="P428" s="3308"/>
      <c r="Q428" s="3308"/>
      <c r="R428" s="3308"/>
      <c r="S428" s="3308"/>
      <c r="T428" s="3308"/>
      <c r="U428" s="3308"/>
      <c r="V428" s="3308"/>
      <c r="W428" s="3308"/>
      <c r="X428" s="3308"/>
      <c r="Y428" s="3308"/>
      <c r="Z428" s="3308"/>
      <c r="AA428" s="3308"/>
      <c r="AB428" s="3308"/>
      <c r="AC428" s="3298">
        <f t="shared" si="242"/>
        <v>0</v>
      </c>
      <c r="AD428" s="3318"/>
      <c r="AE428" s="3318"/>
      <c r="AF428" s="3318"/>
      <c r="AG428" s="3318"/>
      <c r="AH428" s="3318"/>
      <c r="AI428" s="3318"/>
      <c r="AJ428" s="3318"/>
      <c r="AK428" s="3318"/>
      <c r="AL428" s="3318"/>
      <c r="AM428" s="3318"/>
      <c r="AN428" s="3318"/>
      <c r="AO428" s="3318"/>
      <c r="AP428" s="3318"/>
      <c r="AQ428" s="3318"/>
      <c r="AR428" s="3318"/>
      <c r="AS428" s="3318"/>
      <c r="AT428" s="3328"/>
      <c r="AU428" s="3329"/>
      <c r="AV428" s="963">
        <f t="shared" si="243"/>
        <v>0</v>
      </c>
      <c r="AW428" s="963">
        <f t="shared" si="244"/>
        <v>0</v>
      </c>
      <c r="AX428" s="963">
        <f t="shared" si="245"/>
        <v>0</v>
      </c>
      <c r="AY428" s="3343">
        <f t="shared" si="246"/>
        <v>0</v>
      </c>
      <c r="AZ428" s="3298">
        <f t="shared" si="247"/>
        <v>0</v>
      </c>
      <c r="BA428" s="3298">
        <f t="shared" si="248"/>
        <v>0</v>
      </c>
      <c r="BB428" s="3298">
        <f t="shared" si="249"/>
        <v>0</v>
      </c>
      <c r="BC428" s="3298">
        <f t="shared" si="250"/>
        <v>0</v>
      </c>
      <c r="BD428" s="3298">
        <f t="shared" si="251"/>
        <v>0</v>
      </c>
      <c r="BE428" s="3298">
        <f t="shared" si="252"/>
        <v>0</v>
      </c>
      <c r="BF428" s="3298">
        <f t="shared" si="253"/>
        <v>0</v>
      </c>
      <c r="BG428" s="3298">
        <f t="shared" si="254"/>
        <v>0</v>
      </c>
      <c r="BH428" s="3298">
        <f t="shared" si="255"/>
        <v>0</v>
      </c>
      <c r="BI428" s="3298">
        <f t="shared" si="256"/>
        <v>0</v>
      </c>
      <c r="BJ428" s="3298">
        <f t="shared" si="257"/>
        <v>0</v>
      </c>
      <c r="BK428" s="3298">
        <f t="shared" si="258"/>
        <v>0</v>
      </c>
      <c r="BL428" s="3298">
        <f t="shared" si="259"/>
        <v>0</v>
      </c>
      <c r="BM428" s="3298">
        <f t="shared" si="260"/>
        <v>0</v>
      </c>
      <c r="BN428" s="3298">
        <f t="shared" si="261"/>
        <v>0</v>
      </c>
      <c r="BO428" s="3298">
        <f t="shared" si="262"/>
        <v>0</v>
      </c>
      <c r="BP428" s="3298">
        <f t="shared" si="263"/>
        <v>0</v>
      </c>
      <c r="BQ428" s="3298">
        <f t="shared" si="264"/>
        <v>0</v>
      </c>
      <c r="BR428" s="3298">
        <f t="shared" si="265"/>
        <v>0</v>
      </c>
      <c r="BS428" s="3298">
        <f t="shared" si="266"/>
        <v>0</v>
      </c>
      <c r="BT428" s="3350">
        <f t="shared" si="267"/>
        <v>0</v>
      </c>
    </row>
    <row r="429" spans="1:72">
      <c r="A429" s="1407"/>
      <c r="B429" s="3296"/>
      <c r="C429" s="3296"/>
      <c r="D429" s="3297"/>
      <c r="E429" s="3298">
        <f t="shared" si="239"/>
        <v>0</v>
      </c>
      <c r="F429" s="3299"/>
      <c r="G429" s="3300">
        <f t="shared" si="240"/>
        <v>0</v>
      </c>
      <c r="H429" s="3301">
        <f t="shared" si="241"/>
        <v>0</v>
      </c>
      <c r="I429" s="3308"/>
      <c r="J429" s="3308"/>
      <c r="K429" s="3308"/>
      <c r="L429" s="3308"/>
      <c r="M429" s="3308"/>
      <c r="N429" s="3308"/>
      <c r="O429" s="3308"/>
      <c r="P429" s="3308"/>
      <c r="Q429" s="3308"/>
      <c r="R429" s="3308"/>
      <c r="S429" s="3308"/>
      <c r="T429" s="3308"/>
      <c r="U429" s="3308"/>
      <c r="V429" s="3308"/>
      <c r="W429" s="3308"/>
      <c r="X429" s="3308"/>
      <c r="Y429" s="3308"/>
      <c r="Z429" s="3308"/>
      <c r="AA429" s="3308"/>
      <c r="AB429" s="3308"/>
      <c r="AC429" s="3298">
        <f t="shared" si="242"/>
        <v>0</v>
      </c>
      <c r="AD429" s="3318"/>
      <c r="AE429" s="3318"/>
      <c r="AF429" s="3318"/>
      <c r="AG429" s="3318"/>
      <c r="AH429" s="3318"/>
      <c r="AI429" s="3318"/>
      <c r="AJ429" s="3318"/>
      <c r="AK429" s="3318"/>
      <c r="AL429" s="3318"/>
      <c r="AM429" s="3318"/>
      <c r="AN429" s="3318"/>
      <c r="AO429" s="3318"/>
      <c r="AP429" s="3318"/>
      <c r="AQ429" s="3318"/>
      <c r="AR429" s="3318"/>
      <c r="AS429" s="3318"/>
      <c r="AT429" s="3328"/>
      <c r="AU429" s="3329"/>
      <c r="AV429" s="963">
        <f t="shared" si="243"/>
        <v>0</v>
      </c>
      <c r="AW429" s="963">
        <f t="shared" si="244"/>
        <v>0</v>
      </c>
      <c r="AX429" s="963">
        <f t="shared" si="245"/>
        <v>0</v>
      </c>
      <c r="AY429" s="3343">
        <f t="shared" si="246"/>
        <v>0</v>
      </c>
      <c r="AZ429" s="3298">
        <f t="shared" si="247"/>
        <v>0</v>
      </c>
      <c r="BA429" s="3298">
        <f t="shared" si="248"/>
        <v>0</v>
      </c>
      <c r="BB429" s="3298">
        <f t="shared" si="249"/>
        <v>0</v>
      </c>
      <c r="BC429" s="3298">
        <f t="shared" si="250"/>
        <v>0</v>
      </c>
      <c r="BD429" s="3298">
        <f t="shared" si="251"/>
        <v>0</v>
      </c>
      <c r="BE429" s="3298">
        <f t="shared" si="252"/>
        <v>0</v>
      </c>
      <c r="BF429" s="3298">
        <f t="shared" si="253"/>
        <v>0</v>
      </c>
      <c r="BG429" s="3298">
        <f t="shared" si="254"/>
        <v>0</v>
      </c>
      <c r="BH429" s="3298">
        <f t="shared" si="255"/>
        <v>0</v>
      </c>
      <c r="BI429" s="3298">
        <f t="shared" si="256"/>
        <v>0</v>
      </c>
      <c r="BJ429" s="3298">
        <f t="shared" si="257"/>
        <v>0</v>
      </c>
      <c r="BK429" s="3298">
        <f t="shared" si="258"/>
        <v>0</v>
      </c>
      <c r="BL429" s="3298">
        <f t="shared" si="259"/>
        <v>0</v>
      </c>
      <c r="BM429" s="3298">
        <f t="shared" si="260"/>
        <v>0</v>
      </c>
      <c r="BN429" s="3298">
        <f t="shared" si="261"/>
        <v>0</v>
      </c>
      <c r="BO429" s="3298">
        <f t="shared" si="262"/>
        <v>0</v>
      </c>
      <c r="BP429" s="3298">
        <f t="shared" si="263"/>
        <v>0</v>
      </c>
      <c r="BQ429" s="3298">
        <f t="shared" si="264"/>
        <v>0</v>
      </c>
      <c r="BR429" s="3298">
        <f t="shared" si="265"/>
        <v>0</v>
      </c>
      <c r="BS429" s="3298">
        <f t="shared" si="266"/>
        <v>0</v>
      </c>
      <c r="BT429" s="3350">
        <f t="shared" si="267"/>
        <v>0</v>
      </c>
    </row>
    <row r="430" spans="1:72">
      <c r="A430" s="1407"/>
      <c r="B430" s="3296"/>
      <c r="C430" s="3296"/>
      <c r="D430" s="3297"/>
      <c r="E430" s="3298">
        <f t="shared" si="239"/>
        <v>0</v>
      </c>
      <c r="F430" s="3299"/>
      <c r="G430" s="3300">
        <f t="shared" si="240"/>
        <v>0</v>
      </c>
      <c r="H430" s="3301">
        <f t="shared" si="241"/>
        <v>0</v>
      </c>
      <c r="I430" s="3308"/>
      <c r="J430" s="3308"/>
      <c r="K430" s="3308"/>
      <c r="L430" s="3308"/>
      <c r="M430" s="3308"/>
      <c r="N430" s="3308"/>
      <c r="O430" s="3308"/>
      <c r="P430" s="3308"/>
      <c r="Q430" s="3308"/>
      <c r="R430" s="3308"/>
      <c r="S430" s="3308"/>
      <c r="T430" s="3308"/>
      <c r="U430" s="3308"/>
      <c r="V430" s="3308"/>
      <c r="W430" s="3308"/>
      <c r="X430" s="3308"/>
      <c r="Y430" s="3308"/>
      <c r="Z430" s="3308"/>
      <c r="AA430" s="3308"/>
      <c r="AB430" s="3308"/>
      <c r="AC430" s="3298">
        <f t="shared" si="242"/>
        <v>0</v>
      </c>
      <c r="AD430" s="3318"/>
      <c r="AE430" s="3318"/>
      <c r="AF430" s="3318"/>
      <c r="AG430" s="3318"/>
      <c r="AH430" s="3318"/>
      <c r="AI430" s="3318"/>
      <c r="AJ430" s="3318"/>
      <c r="AK430" s="3318"/>
      <c r="AL430" s="3318"/>
      <c r="AM430" s="3318"/>
      <c r="AN430" s="3318"/>
      <c r="AO430" s="3318"/>
      <c r="AP430" s="3318"/>
      <c r="AQ430" s="3318"/>
      <c r="AR430" s="3318"/>
      <c r="AS430" s="3318"/>
      <c r="AT430" s="3328"/>
      <c r="AU430" s="3329"/>
      <c r="AV430" s="963">
        <f t="shared" si="243"/>
        <v>0</v>
      </c>
      <c r="AW430" s="963">
        <f t="shared" si="244"/>
        <v>0</v>
      </c>
      <c r="AX430" s="963">
        <f t="shared" si="245"/>
        <v>0</v>
      </c>
      <c r="AY430" s="3343">
        <f t="shared" si="246"/>
        <v>0</v>
      </c>
      <c r="AZ430" s="3298">
        <f t="shared" si="247"/>
        <v>0</v>
      </c>
      <c r="BA430" s="3298">
        <f t="shared" si="248"/>
        <v>0</v>
      </c>
      <c r="BB430" s="3298">
        <f t="shared" si="249"/>
        <v>0</v>
      </c>
      <c r="BC430" s="3298">
        <f t="shared" si="250"/>
        <v>0</v>
      </c>
      <c r="BD430" s="3298">
        <f t="shared" si="251"/>
        <v>0</v>
      </c>
      <c r="BE430" s="3298">
        <f t="shared" si="252"/>
        <v>0</v>
      </c>
      <c r="BF430" s="3298">
        <f t="shared" si="253"/>
        <v>0</v>
      </c>
      <c r="BG430" s="3298">
        <f t="shared" si="254"/>
        <v>0</v>
      </c>
      <c r="BH430" s="3298">
        <f t="shared" si="255"/>
        <v>0</v>
      </c>
      <c r="BI430" s="3298">
        <f t="shared" si="256"/>
        <v>0</v>
      </c>
      <c r="BJ430" s="3298">
        <f t="shared" si="257"/>
        <v>0</v>
      </c>
      <c r="BK430" s="3298">
        <f t="shared" si="258"/>
        <v>0</v>
      </c>
      <c r="BL430" s="3298">
        <f t="shared" si="259"/>
        <v>0</v>
      </c>
      <c r="BM430" s="3298">
        <f t="shared" si="260"/>
        <v>0</v>
      </c>
      <c r="BN430" s="3298">
        <f t="shared" si="261"/>
        <v>0</v>
      </c>
      <c r="BO430" s="3298">
        <f t="shared" si="262"/>
        <v>0</v>
      </c>
      <c r="BP430" s="3298">
        <f t="shared" si="263"/>
        <v>0</v>
      </c>
      <c r="BQ430" s="3298">
        <f t="shared" si="264"/>
        <v>0</v>
      </c>
      <c r="BR430" s="3298">
        <f t="shared" si="265"/>
        <v>0</v>
      </c>
      <c r="BS430" s="3298">
        <f t="shared" si="266"/>
        <v>0</v>
      </c>
      <c r="BT430" s="3350">
        <f t="shared" si="267"/>
        <v>0</v>
      </c>
    </row>
    <row r="431" spans="1:72">
      <c r="A431" s="1407"/>
      <c r="B431" s="3296"/>
      <c r="C431" s="3296"/>
      <c r="D431" s="3297"/>
      <c r="E431" s="3298">
        <f t="shared" si="239"/>
        <v>0</v>
      </c>
      <c r="F431" s="3299"/>
      <c r="G431" s="3300">
        <f t="shared" si="240"/>
        <v>0</v>
      </c>
      <c r="H431" s="3301">
        <f t="shared" si="241"/>
        <v>0</v>
      </c>
      <c r="I431" s="3308"/>
      <c r="J431" s="3308"/>
      <c r="K431" s="3308"/>
      <c r="L431" s="3308"/>
      <c r="M431" s="3308"/>
      <c r="N431" s="3308"/>
      <c r="O431" s="3308"/>
      <c r="P431" s="3308"/>
      <c r="Q431" s="3308"/>
      <c r="R431" s="3308"/>
      <c r="S431" s="3308"/>
      <c r="T431" s="3308"/>
      <c r="U431" s="3308"/>
      <c r="V431" s="3308"/>
      <c r="W431" s="3308"/>
      <c r="X431" s="3308"/>
      <c r="Y431" s="3308"/>
      <c r="Z431" s="3308"/>
      <c r="AA431" s="3308"/>
      <c r="AB431" s="3308"/>
      <c r="AC431" s="3298">
        <f t="shared" si="242"/>
        <v>0</v>
      </c>
      <c r="AD431" s="3318"/>
      <c r="AE431" s="3318"/>
      <c r="AF431" s="3318"/>
      <c r="AG431" s="3318"/>
      <c r="AH431" s="3318"/>
      <c r="AI431" s="3318"/>
      <c r="AJ431" s="3318"/>
      <c r="AK431" s="3318"/>
      <c r="AL431" s="3318"/>
      <c r="AM431" s="3318"/>
      <c r="AN431" s="3318"/>
      <c r="AO431" s="3318"/>
      <c r="AP431" s="3318"/>
      <c r="AQ431" s="3318"/>
      <c r="AR431" s="3318"/>
      <c r="AS431" s="3318"/>
      <c r="AT431" s="3328"/>
      <c r="AU431" s="3329"/>
      <c r="AV431" s="963">
        <f t="shared" si="243"/>
        <v>0</v>
      </c>
      <c r="AW431" s="963">
        <f t="shared" si="244"/>
        <v>0</v>
      </c>
      <c r="AX431" s="963">
        <f t="shared" si="245"/>
        <v>0</v>
      </c>
      <c r="AY431" s="3343">
        <f t="shared" si="246"/>
        <v>0</v>
      </c>
      <c r="AZ431" s="3298">
        <f t="shared" si="247"/>
        <v>0</v>
      </c>
      <c r="BA431" s="3298">
        <f t="shared" si="248"/>
        <v>0</v>
      </c>
      <c r="BB431" s="3298">
        <f t="shared" si="249"/>
        <v>0</v>
      </c>
      <c r="BC431" s="3298">
        <f t="shared" si="250"/>
        <v>0</v>
      </c>
      <c r="BD431" s="3298">
        <f t="shared" si="251"/>
        <v>0</v>
      </c>
      <c r="BE431" s="3298">
        <f t="shared" si="252"/>
        <v>0</v>
      </c>
      <c r="BF431" s="3298">
        <f t="shared" si="253"/>
        <v>0</v>
      </c>
      <c r="BG431" s="3298">
        <f t="shared" si="254"/>
        <v>0</v>
      </c>
      <c r="BH431" s="3298">
        <f t="shared" si="255"/>
        <v>0</v>
      </c>
      <c r="BI431" s="3298">
        <f t="shared" si="256"/>
        <v>0</v>
      </c>
      <c r="BJ431" s="3298">
        <f t="shared" si="257"/>
        <v>0</v>
      </c>
      <c r="BK431" s="3298">
        <f t="shared" si="258"/>
        <v>0</v>
      </c>
      <c r="BL431" s="3298">
        <f t="shared" si="259"/>
        <v>0</v>
      </c>
      <c r="BM431" s="3298">
        <f t="shared" si="260"/>
        <v>0</v>
      </c>
      <c r="BN431" s="3298">
        <f t="shared" si="261"/>
        <v>0</v>
      </c>
      <c r="BO431" s="3298">
        <f t="shared" si="262"/>
        <v>0</v>
      </c>
      <c r="BP431" s="3298">
        <f t="shared" si="263"/>
        <v>0</v>
      </c>
      <c r="BQ431" s="3298">
        <f t="shared" si="264"/>
        <v>0</v>
      </c>
      <c r="BR431" s="3298">
        <f t="shared" si="265"/>
        <v>0</v>
      </c>
      <c r="BS431" s="3298">
        <f t="shared" si="266"/>
        <v>0</v>
      </c>
      <c r="BT431" s="3350">
        <f t="shared" si="267"/>
        <v>0</v>
      </c>
    </row>
    <row r="432" spans="1:72">
      <c r="A432" s="1407"/>
      <c r="B432" s="3296"/>
      <c r="C432" s="3296"/>
      <c r="D432" s="3297"/>
      <c r="E432" s="3298">
        <f t="shared" si="239"/>
        <v>0</v>
      </c>
      <c r="F432" s="3299"/>
      <c r="G432" s="3300">
        <f t="shared" si="240"/>
        <v>0</v>
      </c>
      <c r="H432" s="3301">
        <f t="shared" si="241"/>
        <v>0</v>
      </c>
      <c r="I432" s="3308"/>
      <c r="J432" s="3308"/>
      <c r="K432" s="3308"/>
      <c r="L432" s="3308"/>
      <c r="M432" s="3308"/>
      <c r="N432" s="3308"/>
      <c r="O432" s="3308"/>
      <c r="P432" s="3308"/>
      <c r="Q432" s="3308"/>
      <c r="R432" s="3308"/>
      <c r="S432" s="3308"/>
      <c r="T432" s="3308"/>
      <c r="U432" s="3308"/>
      <c r="V432" s="3308"/>
      <c r="W432" s="3308"/>
      <c r="X432" s="3308"/>
      <c r="Y432" s="3308"/>
      <c r="Z432" s="3308"/>
      <c r="AA432" s="3308"/>
      <c r="AB432" s="3308"/>
      <c r="AC432" s="3298">
        <f t="shared" si="242"/>
        <v>0</v>
      </c>
      <c r="AD432" s="3318"/>
      <c r="AE432" s="3318"/>
      <c r="AF432" s="3318"/>
      <c r="AG432" s="3318"/>
      <c r="AH432" s="3318"/>
      <c r="AI432" s="3318"/>
      <c r="AJ432" s="3318"/>
      <c r="AK432" s="3318"/>
      <c r="AL432" s="3318"/>
      <c r="AM432" s="3318"/>
      <c r="AN432" s="3318"/>
      <c r="AO432" s="3318"/>
      <c r="AP432" s="3318"/>
      <c r="AQ432" s="3318"/>
      <c r="AR432" s="3318"/>
      <c r="AS432" s="3318"/>
      <c r="AT432" s="3328"/>
      <c r="AU432" s="3329"/>
      <c r="AV432" s="963">
        <f t="shared" si="243"/>
        <v>0</v>
      </c>
      <c r="AW432" s="963">
        <f t="shared" si="244"/>
        <v>0</v>
      </c>
      <c r="AX432" s="963">
        <f t="shared" si="245"/>
        <v>0</v>
      </c>
      <c r="AY432" s="3343">
        <f t="shared" si="246"/>
        <v>0</v>
      </c>
      <c r="AZ432" s="3298">
        <f t="shared" si="247"/>
        <v>0</v>
      </c>
      <c r="BA432" s="3298">
        <f t="shared" si="248"/>
        <v>0</v>
      </c>
      <c r="BB432" s="3298">
        <f t="shared" si="249"/>
        <v>0</v>
      </c>
      <c r="BC432" s="3298">
        <f t="shared" si="250"/>
        <v>0</v>
      </c>
      <c r="BD432" s="3298">
        <f t="shared" si="251"/>
        <v>0</v>
      </c>
      <c r="BE432" s="3298">
        <f t="shared" si="252"/>
        <v>0</v>
      </c>
      <c r="BF432" s="3298">
        <f t="shared" si="253"/>
        <v>0</v>
      </c>
      <c r="BG432" s="3298">
        <f t="shared" si="254"/>
        <v>0</v>
      </c>
      <c r="BH432" s="3298">
        <f t="shared" si="255"/>
        <v>0</v>
      </c>
      <c r="BI432" s="3298">
        <f t="shared" si="256"/>
        <v>0</v>
      </c>
      <c r="BJ432" s="3298">
        <f t="shared" si="257"/>
        <v>0</v>
      </c>
      <c r="BK432" s="3298">
        <f t="shared" si="258"/>
        <v>0</v>
      </c>
      <c r="BL432" s="3298">
        <f t="shared" si="259"/>
        <v>0</v>
      </c>
      <c r="BM432" s="3298">
        <f t="shared" si="260"/>
        <v>0</v>
      </c>
      <c r="BN432" s="3298">
        <f t="shared" si="261"/>
        <v>0</v>
      </c>
      <c r="BO432" s="3298">
        <f t="shared" si="262"/>
        <v>0</v>
      </c>
      <c r="BP432" s="3298">
        <f t="shared" si="263"/>
        <v>0</v>
      </c>
      <c r="BQ432" s="3298">
        <f t="shared" si="264"/>
        <v>0</v>
      </c>
      <c r="BR432" s="3298">
        <f t="shared" si="265"/>
        <v>0</v>
      </c>
      <c r="BS432" s="3298">
        <f t="shared" si="266"/>
        <v>0</v>
      </c>
      <c r="BT432" s="3350">
        <f t="shared" si="267"/>
        <v>0</v>
      </c>
    </row>
    <row r="433" spans="1:72">
      <c r="A433" s="1407"/>
      <c r="B433" s="3296"/>
      <c r="C433" s="3296"/>
      <c r="D433" s="3297"/>
      <c r="E433" s="3298">
        <f t="shared" si="239"/>
        <v>0</v>
      </c>
      <c r="F433" s="3299"/>
      <c r="G433" s="3300">
        <f t="shared" si="240"/>
        <v>0</v>
      </c>
      <c r="H433" s="3301">
        <f t="shared" si="241"/>
        <v>0</v>
      </c>
      <c r="I433" s="3308"/>
      <c r="J433" s="3308"/>
      <c r="K433" s="3308"/>
      <c r="L433" s="3308"/>
      <c r="M433" s="3308"/>
      <c r="N433" s="3308"/>
      <c r="O433" s="3308"/>
      <c r="P433" s="3308"/>
      <c r="Q433" s="3308"/>
      <c r="R433" s="3308"/>
      <c r="S433" s="3308"/>
      <c r="T433" s="3308"/>
      <c r="U433" s="3308"/>
      <c r="V433" s="3308"/>
      <c r="W433" s="3308"/>
      <c r="X433" s="3308"/>
      <c r="Y433" s="3308"/>
      <c r="Z433" s="3308"/>
      <c r="AA433" s="3308"/>
      <c r="AB433" s="3308"/>
      <c r="AC433" s="3298">
        <f t="shared" si="242"/>
        <v>0</v>
      </c>
      <c r="AD433" s="3318"/>
      <c r="AE433" s="3318"/>
      <c r="AF433" s="3318"/>
      <c r="AG433" s="3318"/>
      <c r="AH433" s="3318"/>
      <c r="AI433" s="3318"/>
      <c r="AJ433" s="3318"/>
      <c r="AK433" s="3318"/>
      <c r="AL433" s="3318"/>
      <c r="AM433" s="3318"/>
      <c r="AN433" s="3318"/>
      <c r="AO433" s="3318"/>
      <c r="AP433" s="3318"/>
      <c r="AQ433" s="3318"/>
      <c r="AR433" s="3318"/>
      <c r="AS433" s="3318"/>
      <c r="AT433" s="3328"/>
      <c r="AU433" s="3329"/>
      <c r="AV433" s="963">
        <f t="shared" si="243"/>
        <v>0</v>
      </c>
      <c r="AW433" s="963">
        <f t="shared" si="244"/>
        <v>0</v>
      </c>
      <c r="AX433" s="963">
        <f t="shared" si="245"/>
        <v>0</v>
      </c>
      <c r="AY433" s="3343">
        <f t="shared" si="246"/>
        <v>0</v>
      </c>
      <c r="AZ433" s="3298">
        <f t="shared" si="247"/>
        <v>0</v>
      </c>
      <c r="BA433" s="3298">
        <f t="shared" si="248"/>
        <v>0</v>
      </c>
      <c r="BB433" s="3298">
        <f t="shared" si="249"/>
        <v>0</v>
      </c>
      <c r="BC433" s="3298">
        <f t="shared" si="250"/>
        <v>0</v>
      </c>
      <c r="BD433" s="3298">
        <f t="shared" si="251"/>
        <v>0</v>
      </c>
      <c r="BE433" s="3298">
        <f t="shared" si="252"/>
        <v>0</v>
      </c>
      <c r="BF433" s="3298">
        <f t="shared" si="253"/>
        <v>0</v>
      </c>
      <c r="BG433" s="3298">
        <f t="shared" si="254"/>
        <v>0</v>
      </c>
      <c r="BH433" s="3298">
        <f t="shared" si="255"/>
        <v>0</v>
      </c>
      <c r="BI433" s="3298">
        <f t="shared" si="256"/>
        <v>0</v>
      </c>
      <c r="BJ433" s="3298">
        <f t="shared" si="257"/>
        <v>0</v>
      </c>
      <c r="BK433" s="3298">
        <f t="shared" si="258"/>
        <v>0</v>
      </c>
      <c r="BL433" s="3298">
        <f t="shared" si="259"/>
        <v>0</v>
      </c>
      <c r="BM433" s="3298">
        <f t="shared" si="260"/>
        <v>0</v>
      </c>
      <c r="BN433" s="3298">
        <f t="shared" si="261"/>
        <v>0</v>
      </c>
      <c r="BO433" s="3298">
        <f t="shared" si="262"/>
        <v>0</v>
      </c>
      <c r="BP433" s="3298">
        <f t="shared" si="263"/>
        <v>0</v>
      </c>
      <c r="BQ433" s="3298">
        <f t="shared" si="264"/>
        <v>0</v>
      </c>
      <c r="BR433" s="3298">
        <f t="shared" si="265"/>
        <v>0</v>
      </c>
      <c r="BS433" s="3298">
        <f t="shared" si="266"/>
        <v>0</v>
      </c>
      <c r="BT433" s="3350">
        <f t="shared" si="267"/>
        <v>0</v>
      </c>
    </row>
    <row r="434" spans="1:72">
      <c r="A434" s="1407"/>
      <c r="B434" s="3296"/>
      <c r="C434" s="3296"/>
      <c r="D434" s="3297"/>
      <c r="E434" s="3298">
        <f t="shared" si="239"/>
        <v>0</v>
      </c>
      <c r="F434" s="3299"/>
      <c r="G434" s="3300">
        <f t="shared" si="240"/>
        <v>0</v>
      </c>
      <c r="H434" s="3301">
        <f t="shared" si="241"/>
        <v>0</v>
      </c>
      <c r="I434" s="3308"/>
      <c r="J434" s="3308"/>
      <c r="K434" s="3308"/>
      <c r="L434" s="3308"/>
      <c r="M434" s="3308"/>
      <c r="N434" s="3308"/>
      <c r="O434" s="3308"/>
      <c r="P434" s="3308"/>
      <c r="Q434" s="3308"/>
      <c r="R434" s="3308"/>
      <c r="S434" s="3308"/>
      <c r="T434" s="3308"/>
      <c r="U434" s="3308"/>
      <c r="V434" s="3308"/>
      <c r="W434" s="3308"/>
      <c r="X434" s="3308"/>
      <c r="Y434" s="3308"/>
      <c r="Z434" s="3308"/>
      <c r="AA434" s="3308"/>
      <c r="AB434" s="3308"/>
      <c r="AC434" s="3298">
        <f t="shared" si="242"/>
        <v>0</v>
      </c>
      <c r="AD434" s="3318"/>
      <c r="AE434" s="3318"/>
      <c r="AF434" s="3318"/>
      <c r="AG434" s="3318"/>
      <c r="AH434" s="3318"/>
      <c r="AI434" s="3318"/>
      <c r="AJ434" s="3318"/>
      <c r="AK434" s="3318"/>
      <c r="AL434" s="3318"/>
      <c r="AM434" s="3318"/>
      <c r="AN434" s="3318"/>
      <c r="AO434" s="3318"/>
      <c r="AP434" s="3318"/>
      <c r="AQ434" s="3318"/>
      <c r="AR434" s="3318"/>
      <c r="AS434" s="3318"/>
      <c r="AT434" s="3328"/>
      <c r="AU434" s="3329"/>
      <c r="AV434" s="963">
        <f t="shared" si="243"/>
        <v>0</v>
      </c>
      <c r="AW434" s="963">
        <f t="shared" si="244"/>
        <v>0</v>
      </c>
      <c r="AX434" s="963">
        <f t="shared" si="245"/>
        <v>0</v>
      </c>
      <c r="AY434" s="3343">
        <f t="shared" si="246"/>
        <v>0</v>
      </c>
      <c r="AZ434" s="3298">
        <f t="shared" si="247"/>
        <v>0</v>
      </c>
      <c r="BA434" s="3298">
        <f t="shared" si="248"/>
        <v>0</v>
      </c>
      <c r="BB434" s="3298">
        <f t="shared" si="249"/>
        <v>0</v>
      </c>
      <c r="BC434" s="3298">
        <f t="shared" si="250"/>
        <v>0</v>
      </c>
      <c r="BD434" s="3298">
        <f t="shared" si="251"/>
        <v>0</v>
      </c>
      <c r="BE434" s="3298">
        <f t="shared" si="252"/>
        <v>0</v>
      </c>
      <c r="BF434" s="3298">
        <f t="shared" si="253"/>
        <v>0</v>
      </c>
      <c r="BG434" s="3298">
        <f t="shared" si="254"/>
        <v>0</v>
      </c>
      <c r="BH434" s="3298">
        <f t="shared" si="255"/>
        <v>0</v>
      </c>
      <c r="BI434" s="3298">
        <f t="shared" si="256"/>
        <v>0</v>
      </c>
      <c r="BJ434" s="3298">
        <f t="shared" si="257"/>
        <v>0</v>
      </c>
      <c r="BK434" s="3298">
        <f t="shared" si="258"/>
        <v>0</v>
      </c>
      <c r="BL434" s="3298">
        <f t="shared" si="259"/>
        <v>0</v>
      </c>
      <c r="BM434" s="3298">
        <f t="shared" si="260"/>
        <v>0</v>
      </c>
      <c r="BN434" s="3298">
        <f t="shared" si="261"/>
        <v>0</v>
      </c>
      <c r="BO434" s="3298">
        <f t="shared" si="262"/>
        <v>0</v>
      </c>
      <c r="BP434" s="3298">
        <f t="shared" si="263"/>
        <v>0</v>
      </c>
      <c r="BQ434" s="3298">
        <f t="shared" si="264"/>
        <v>0</v>
      </c>
      <c r="BR434" s="3298">
        <f t="shared" si="265"/>
        <v>0</v>
      </c>
      <c r="BS434" s="3298">
        <f t="shared" si="266"/>
        <v>0</v>
      </c>
      <c r="BT434" s="3350">
        <f t="shared" si="267"/>
        <v>0</v>
      </c>
    </row>
    <row r="435" spans="1:72">
      <c r="A435" s="1407"/>
      <c r="B435" s="3296"/>
      <c r="C435" s="3296"/>
      <c r="D435" s="3297"/>
      <c r="E435" s="3298">
        <f t="shared" si="239"/>
        <v>0</v>
      </c>
      <c r="F435" s="3299"/>
      <c r="G435" s="3300">
        <f t="shared" si="240"/>
        <v>0</v>
      </c>
      <c r="H435" s="3301">
        <f t="shared" si="241"/>
        <v>0</v>
      </c>
      <c r="I435" s="3308"/>
      <c r="J435" s="3308"/>
      <c r="K435" s="3308"/>
      <c r="L435" s="3308"/>
      <c r="M435" s="3308"/>
      <c r="N435" s="3308"/>
      <c r="O435" s="3308"/>
      <c r="P435" s="3308"/>
      <c r="Q435" s="3308"/>
      <c r="R435" s="3308"/>
      <c r="S435" s="3308"/>
      <c r="T435" s="3308"/>
      <c r="U435" s="3308"/>
      <c r="V435" s="3308"/>
      <c r="W435" s="3308"/>
      <c r="X435" s="3308"/>
      <c r="Y435" s="3308"/>
      <c r="Z435" s="3308"/>
      <c r="AA435" s="3308"/>
      <c r="AB435" s="3308"/>
      <c r="AC435" s="3298">
        <f t="shared" si="242"/>
        <v>0</v>
      </c>
      <c r="AD435" s="3318"/>
      <c r="AE435" s="3318"/>
      <c r="AF435" s="3318"/>
      <c r="AG435" s="3318"/>
      <c r="AH435" s="3318"/>
      <c r="AI435" s="3318"/>
      <c r="AJ435" s="3318"/>
      <c r="AK435" s="3318"/>
      <c r="AL435" s="3318"/>
      <c r="AM435" s="3318"/>
      <c r="AN435" s="3318"/>
      <c r="AO435" s="3318"/>
      <c r="AP435" s="3318"/>
      <c r="AQ435" s="3318"/>
      <c r="AR435" s="3318"/>
      <c r="AS435" s="3318"/>
      <c r="AT435" s="3328"/>
      <c r="AU435" s="3329"/>
      <c r="AV435" s="963">
        <f t="shared" si="243"/>
        <v>0</v>
      </c>
      <c r="AW435" s="963">
        <f t="shared" si="244"/>
        <v>0</v>
      </c>
      <c r="AX435" s="963">
        <f t="shared" si="245"/>
        <v>0</v>
      </c>
      <c r="AY435" s="3343">
        <f t="shared" si="246"/>
        <v>0</v>
      </c>
      <c r="AZ435" s="3298">
        <f t="shared" si="247"/>
        <v>0</v>
      </c>
      <c r="BA435" s="3298">
        <f t="shared" si="248"/>
        <v>0</v>
      </c>
      <c r="BB435" s="3298">
        <f t="shared" si="249"/>
        <v>0</v>
      </c>
      <c r="BC435" s="3298">
        <f t="shared" si="250"/>
        <v>0</v>
      </c>
      <c r="BD435" s="3298">
        <f t="shared" si="251"/>
        <v>0</v>
      </c>
      <c r="BE435" s="3298">
        <f t="shared" si="252"/>
        <v>0</v>
      </c>
      <c r="BF435" s="3298">
        <f t="shared" si="253"/>
        <v>0</v>
      </c>
      <c r="BG435" s="3298">
        <f t="shared" si="254"/>
        <v>0</v>
      </c>
      <c r="BH435" s="3298">
        <f t="shared" si="255"/>
        <v>0</v>
      </c>
      <c r="BI435" s="3298">
        <f t="shared" si="256"/>
        <v>0</v>
      </c>
      <c r="BJ435" s="3298">
        <f t="shared" si="257"/>
        <v>0</v>
      </c>
      <c r="BK435" s="3298">
        <f t="shared" si="258"/>
        <v>0</v>
      </c>
      <c r="BL435" s="3298">
        <f t="shared" si="259"/>
        <v>0</v>
      </c>
      <c r="BM435" s="3298">
        <f t="shared" si="260"/>
        <v>0</v>
      </c>
      <c r="BN435" s="3298">
        <f t="shared" si="261"/>
        <v>0</v>
      </c>
      <c r="BO435" s="3298">
        <f t="shared" si="262"/>
        <v>0</v>
      </c>
      <c r="BP435" s="3298">
        <f t="shared" si="263"/>
        <v>0</v>
      </c>
      <c r="BQ435" s="3298">
        <f t="shared" si="264"/>
        <v>0</v>
      </c>
      <c r="BR435" s="3298">
        <f t="shared" si="265"/>
        <v>0</v>
      </c>
      <c r="BS435" s="3298">
        <f t="shared" si="266"/>
        <v>0</v>
      </c>
      <c r="BT435" s="3350">
        <f t="shared" si="267"/>
        <v>0</v>
      </c>
    </row>
    <row r="436" spans="1:72">
      <c r="A436" s="1407"/>
      <c r="B436" s="3296"/>
      <c r="C436" s="3296"/>
      <c r="D436" s="3297"/>
      <c r="E436" s="3298">
        <f t="shared" si="239"/>
        <v>0</v>
      </c>
      <c r="F436" s="3299"/>
      <c r="G436" s="3300">
        <f t="shared" si="240"/>
        <v>0</v>
      </c>
      <c r="H436" s="3301">
        <f t="shared" si="241"/>
        <v>0</v>
      </c>
      <c r="I436" s="3308"/>
      <c r="J436" s="3308"/>
      <c r="K436" s="3308"/>
      <c r="L436" s="3308"/>
      <c r="M436" s="3308"/>
      <c r="N436" s="3308"/>
      <c r="O436" s="3308"/>
      <c r="P436" s="3308"/>
      <c r="Q436" s="3308"/>
      <c r="R436" s="3308"/>
      <c r="S436" s="3308"/>
      <c r="T436" s="3308"/>
      <c r="U436" s="3308"/>
      <c r="V436" s="3308"/>
      <c r="W436" s="3308"/>
      <c r="X436" s="3308"/>
      <c r="Y436" s="3308"/>
      <c r="Z436" s="3308"/>
      <c r="AA436" s="3308"/>
      <c r="AB436" s="3308"/>
      <c r="AC436" s="3298">
        <f t="shared" si="242"/>
        <v>0</v>
      </c>
      <c r="AD436" s="3318"/>
      <c r="AE436" s="3318"/>
      <c r="AF436" s="3318"/>
      <c r="AG436" s="3318"/>
      <c r="AH436" s="3318"/>
      <c r="AI436" s="3318"/>
      <c r="AJ436" s="3318"/>
      <c r="AK436" s="3318"/>
      <c r="AL436" s="3318"/>
      <c r="AM436" s="3318"/>
      <c r="AN436" s="3318"/>
      <c r="AO436" s="3318"/>
      <c r="AP436" s="3318"/>
      <c r="AQ436" s="3318"/>
      <c r="AR436" s="3318"/>
      <c r="AS436" s="3318"/>
      <c r="AT436" s="3328"/>
      <c r="AU436" s="3329"/>
      <c r="AV436" s="963">
        <f t="shared" si="243"/>
        <v>0</v>
      </c>
      <c r="AW436" s="963">
        <f t="shared" si="244"/>
        <v>0</v>
      </c>
      <c r="AX436" s="963">
        <f t="shared" si="245"/>
        <v>0</v>
      </c>
      <c r="AY436" s="3343">
        <f t="shared" si="246"/>
        <v>0</v>
      </c>
      <c r="AZ436" s="3298">
        <f t="shared" si="247"/>
        <v>0</v>
      </c>
      <c r="BA436" s="3298">
        <f t="shared" si="248"/>
        <v>0</v>
      </c>
      <c r="BB436" s="3298">
        <f t="shared" si="249"/>
        <v>0</v>
      </c>
      <c r="BC436" s="3298">
        <f t="shared" si="250"/>
        <v>0</v>
      </c>
      <c r="BD436" s="3298">
        <f t="shared" si="251"/>
        <v>0</v>
      </c>
      <c r="BE436" s="3298">
        <f t="shared" si="252"/>
        <v>0</v>
      </c>
      <c r="BF436" s="3298">
        <f t="shared" si="253"/>
        <v>0</v>
      </c>
      <c r="BG436" s="3298">
        <f t="shared" si="254"/>
        <v>0</v>
      </c>
      <c r="BH436" s="3298">
        <f t="shared" si="255"/>
        <v>0</v>
      </c>
      <c r="BI436" s="3298">
        <f t="shared" si="256"/>
        <v>0</v>
      </c>
      <c r="BJ436" s="3298">
        <f t="shared" si="257"/>
        <v>0</v>
      </c>
      <c r="BK436" s="3298">
        <f t="shared" si="258"/>
        <v>0</v>
      </c>
      <c r="BL436" s="3298">
        <f t="shared" si="259"/>
        <v>0</v>
      </c>
      <c r="BM436" s="3298">
        <f t="shared" si="260"/>
        <v>0</v>
      </c>
      <c r="BN436" s="3298">
        <f t="shared" si="261"/>
        <v>0</v>
      </c>
      <c r="BO436" s="3298">
        <f t="shared" si="262"/>
        <v>0</v>
      </c>
      <c r="BP436" s="3298">
        <f t="shared" si="263"/>
        <v>0</v>
      </c>
      <c r="BQ436" s="3298">
        <f t="shared" si="264"/>
        <v>0</v>
      </c>
      <c r="BR436" s="3298">
        <f t="shared" si="265"/>
        <v>0</v>
      </c>
      <c r="BS436" s="3298">
        <f t="shared" si="266"/>
        <v>0</v>
      </c>
      <c r="BT436" s="3350">
        <f t="shared" si="267"/>
        <v>0</v>
      </c>
    </row>
    <row r="437" spans="1:72">
      <c r="A437" s="1407"/>
      <c r="B437" s="3296"/>
      <c r="C437" s="3296"/>
      <c r="D437" s="3297"/>
      <c r="E437" s="3298">
        <f t="shared" si="239"/>
        <v>0</v>
      </c>
      <c r="F437" s="3299"/>
      <c r="G437" s="3300">
        <f t="shared" si="240"/>
        <v>0</v>
      </c>
      <c r="H437" s="3301">
        <f t="shared" si="241"/>
        <v>0</v>
      </c>
      <c r="I437" s="3308"/>
      <c r="J437" s="3308"/>
      <c r="K437" s="3308"/>
      <c r="L437" s="3308"/>
      <c r="M437" s="3308"/>
      <c r="N437" s="3308"/>
      <c r="O437" s="3308"/>
      <c r="P437" s="3308"/>
      <c r="Q437" s="3308"/>
      <c r="R437" s="3308"/>
      <c r="S437" s="3308"/>
      <c r="T437" s="3308"/>
      <c r="U437" s="3308"/>
      <c r="V437" s="3308"/>
      <c r="W437" s="3308"/>
      <c r="X437" s="3308"/>
      <c r="Y437" s="3308"/>
      <c r="Z437" s="3308"/>
      <c r="AA437" s="3308"/>
      <c r="AB437" s="3308"/>
      <c r="AC437" s="3298">
        <f t="shared" si="242"/>
        <v>0</v>
      </c>
      <c r="AD437" s="3318"/>
      <c r="AE437" s="3318"/>
      <c r="AF437" s="3318"/>
      <c r="AG437" s="3318"/>
      <c r="AH437" s="3318"/>
      <c r="AI437" s="3318"/>
      <c r="AJ437" s="3318"/>
      <c r="AK437" s="3318"/>
      <c r="AL437" s="3318"/>
      <c r="AM437" s="3318"/>
      <c r="AN437" s="3318"/>
      <c r="AO437" s="3318"/>
      <c r="AP437" s="3318"/>
      <c r="AQ437" s="3318"/>
      <c r="AR437" s="3318"/>
      <c r="AS437" s="3318"/>
      <c r="AT437" s="3328"/>
      <c r="AU437" s="3329"/>
      <c r="AV437" s="963">
        <f t="shared" si="243"/>
        <v>0</v>
      </c>
      <c r="AW437" s="963">
        <f t="shared" si="244"/>
        <v>0</v>
      </c>
      <c r="AX437" s="963">
        <f t="shared" si="245"/>
        <v>0</v>
      </c>
      <c r="AY437" s="3343">
        <f t="shared" si="246"/>
        <v>0</v>
      </c>
      <c r="AZ437" s="3298">
        <f t="shared" si="247"/>
        <v>0</v>
      </c>
      <c r="BA437" s="3298">
        <f t="shared" si="248"/>
        <v>0</v>
      </c>
      <c r="BB437" s="3298">
        <f t="shared" si="249"/>
        <v>0</v>
      </c>
      <c r="BC437" s="3298">
        <f t="shared" si="250"/>
        <v>0</v>
      </c>
      <c r="BD437" s="3298">
        <f t="shared" si="251"/>
        <v>0</v>
      </c>
      <c r="BE437" s="3298">
        <f t="shared" si="252"/>
        <v>0</v>
      </c>
      <c r="BF437" s="3298">
        <f t="shared" si="253"/>
        <v>0</v>
      </c>
      <c r="BG437" s="3298">
        <f t="shared" si="254"/>
        <v>0</v>
      </c>
      <c r="BH437" s="3298">
        <f t="shared" si="255"/>
        <v>0</v>
      </c>
      <c r="BI437" s="3298">
        <f t="shared" si="256"/>
        <v>0</v>
      </c>
      <c r="BJ437" s="3298">
        <f t="shared" si="257"/>
        <v>0</v>
      </c>
      <c r="BK437" s="3298">
        <f t="shared" si="258"/>
        <v>0</v>
      </c>
      <c r="BL437" s="3298">
        <f t="shared" si="259"/>
        <v>0</v>
      </c>
      <c r="BM437" s="3298">
        <f t="shared" si="260"/>
        <v>0</v>
      </c>
      <c r="BN437" s="3298">
        <f t="shared" si="261"/>
        <v>0</v>
      </c>
      <c r="BO437" s="3298">
        <f t="shared" si="262"/>
        <v>0</v>
      </c>
      <c r="BP437" s="3298">
        <f t="shared" si="263"/>
        <v>0</v>
      </c>
      <c r="BQ437" s="3298">
        <f t="shared" si="264"/>
        <v>0</v>
      </c>
      <c r="BR437" s="3298">
        <f t="shared" si="265"/>
        <v>0</v>
      </c>
      <c r="BS437" s="3298">
        <f t="shared" si="266"/>
        <v>0</v>
      </c>
      <c r="BT437" s="3350">
        <f t="shared" si="267"/>
        <v>0</v>
      </c>
    </row>
    <row r="438" spans="1:72">
      <c r="A438" s="1407"/>
      <c r="B438" s="3296"/>
      <c r="C438" s="3296"/>
      <c r="D438" s="3297"/>
      <c r="E438" s="3298">
        <f t="shared" si="239"/>
        <v>0</v>
      </c>
      <c r="F438" s="3299"/>
      <c r="G438" s="3300">
        <f t="shared" si="240"/>
        <v>0</v>
      </c>
      <c r="H438" s="3301">
        <f t="shared" si="241"/>
        <v>0</v>
      </c>
      <c r="I438" s="3308"/>
      <c r="J438" s="3308"/>
      <c r="K438" s="3308"/>
      <c r="L438" s="3308"/>
      <c r="M438" s="3308"/>
      <c r="N438" s="3308"/>
      <c r="O438" s="3308"/>
      <c r="P438" s="3308"/>
      <c r="Q438" s="3308"/>
      <c r="R438" s="3308"/>
      <c r="S438" s="3308"/>
      <c r="T438" s="3308"/>
      <c r="U438" s="3308"/>
      <c r="V438" s="3308"/>
      <c r="W438" s="3308"/>
      <c r="X438" s="3308"/>
      <c r="Y438" s="3308"/>
      <c r="Z438" s="3308"/>
      <c r="AA438" s="3308"/>
      <c r="AB438" s="3308"/>
      <c r="AC438" s="3298">
        <f t="shared" si="242"/>
        <v>0</v>
      </c>
      <c r="AD438" s="3318"/>
      <c r="AE438" s="3318"/>
      <c r="AF438" s="3318"/>
      <c r="AG438" s="3318"/>
      <c r="AH438" s="3318"/>
      <c r="AI438" s="3318"/>
      <c r="AJ438" s="3318"/>
      <c r="AK438" s="3318"/>
      <c r="AL438" s="3318"/>
      <c r="AM438" s="3318"/>
      <c r="AN438" s="3318"/>
      <c r="AO438" s="3318"/>
      <c r="AP438" s="3318"/>
      <c r="AQ438" s="3318"/>
      <c r="AR438" s="3318"/>
      <c r="AS438" s="3318"/>
      <c r="AT438" s="3328"/>
      <c r="AU438" s="3329"/>
      <c r="AV438" s="963">
        <f t="shared" si="243"/>
        <v>0</v>
      </c>
      <c r="AW438" s="963">
        <f t="shared" si="244"/>
        <v>0</v>
      </c>
      <c r="AX438" s="963">
        <f t="shared" si="245"/>
        <v>0</v>
      </c>
      <c r="AY438" s="3343">
        <f t="shared" si="246"/>
        <v>0</v>
      </c>
      <c r="AZ438" s="3298">
        <f t="shared" si="247"/>
        <v>0</v>
      </c>
      <c r="BA438" s="3298">
        <f t="shared" si="248"/>
        <v>0</v>
      </c>
      <c r="BB438" s="3298">
        <f t="shared" si="249"/>
        <v>0</v>
      </c>
      <c r="BC438" s="3298">
        <f t="shared" si="250"/>
        <v>0</v>
      </c>
      <c r="BD438" s="3298">
        <f t="shared" si="251"/>
        <v>0</v>
      </c>
      <c r="BE438" s="3298">
        <f t="shared" si="252"/>
        <v>0</v>
      </c>
      <c r="BF438" s="3298">
        <f t="shared" si="253"/>
        <v>0</v>
      </c>
      <c r="BG438" s="3298">
        <f t="shared" si="254"/>
        <v>0</v>
      </c>
      <c r="BH438" s="3298">
        <f t="shared" si="255"/>
        <v>0</v>
      </c>
      <c r="BI438" s="3298">
        <f t="shared" si="256"/>
        <v>0</v>
      </c>
      <c r="BJ438" s="3298">
        <f t="shared" si="257"/>
        <v>0</v>
      </c>
      <c r="BK438" s="3298">
        <f t="shared" si="258"/>
        <v>0</v>
      </c>
      <c r="BL438" s="3298">
        <f t="shared" si="259"/>
        <v>0</v>
      </c>
      <c r="BM438" s="3298">
        <f t="shared" si="260"/>
        <v>0</v>
      </c>
      <c r="BN438" s="3298">
        <f t="shared" si="261"/>
        <v>0</v>
      </c>
      <c r="BO438" s="3298">
        <f t="shared" si="262"/>
        <v>0</v>
      </c>
      <c r="BP438" s="3298">
        <f t="shared" si="263"/>
        <v>0</v>
      </c>
      <c r="BQ438" s="3298">
        <f t="shared" si="264"/>
        <v>0</v>
      </c>
      <c r="BR438" s="3298">
        <f t="shared" si="265"/>
        <v>0</v>
      </c>
      <c r="BS438" s="3298">
        <f t="shared" si="266"/>
        <v>0</v>
      </c>
      <c r="BT438" s="3350">
        <f t="shared" si="267"/>
        <v>0</v>
      </c>
    </row>
    <row r="439" spans="1:72">
      <c r="A439" s="1407"/>
      <c r="B439" s="3296"/>
      <c r="C439" s="3296"/>
      <c r="D439" s="3297"/>
      <c r="E439" s="3298">
        <f t="shared" si="239"/>
        <v>0</v>
      </c>
      <c r="F439" s="3299"/>
      <c r="G439" s="3300">
        <f t="shared" si="240"/>
        <v>0</v>
      </c>
      <c r="H439" s="3301">
        <f t="shared" si="241"/>
        <v>0</v>
      </c>
      <c r="I439" s="3308"/>
      <c r="J439" s="3308"/>
      <c r="K439" s="3308"/>
      <c r="L439" s="3308"/>
      <c r="M439" s="3308"/>
      <c r="N439" s="3308"/>
      <c r="O439" s="3308"/>
      <c r="P439" s="3308"/>
      <c r="Q439" s="3308"/>
      <c r="R439" s="3308"/>
      <c r="S439" s="3308"/>
      <c r="T439" s="3308"/>
      <c r="U439" s="3308"/>
      <c r="V439" s="3308"/>
      <c r="W439" s="3308"/>
      <c r="X439" s="3308"/>
      <c r="Y439" s="3308"/>
      <c r="Z439" s="3308"/>
      <c r="AA439" s="3308"/>
      <c r="AB439" s="3308"/>
      <c r="AC439" s="3298">
        <f t="shared" si="242"/>
        <v>0</v>
      </c>
      <c r="AD439" s="3318"/>
      <c r="AE439" s="3318"/>
      <c r="AF439" s="3318"/>
      <c r="AG439" s="3318"/>
      <c r="AH439" s="3318"/>
      <c r="AI439" s="3318"/>
      <c r="AJ439" s="3318"/>
      <c r="AK439" s="3318"/>
      <c r="AL439" s="3318"/>
      <c r="AM439" s="3318"/>
      <c r="AN439" s="3318"/>
      <c r="AO439" s="3318"/>
      <c r="AP439" s="3318"/>
      <c r="AQ439" s="3318"/>
      <c r="AR439" s="3318"/>
      <c r="AS439" s="3318"/>
      <c r="AT439" s="3328"/>
      <c r="AU439" s="3329"/>
      <c r="AV439" s="963">
        <f t="shared" si="243"/>
        <v>0</v>
      </c>
      <c r="AW439" s="963">
        <f t="shared" si="244"/>
        <v>0</v>
      </c>
      <c r="AX439" s="963">
        <f t="shared" si="245"/>
        <v>0</v>
      </c>
      <c r="AY439" s="3343">
        <f t="shared" si="246"/>
        <v>0</v>
      </c>
      <c r="AZ439" s="3298">
        <f t="shared" si="247"/>
        <v>0</v>
      </c>
      <c r="BA439" s="3298">
        <f t="shared" si="248"/>
        <v>0</v>
      </c>
      <c r="BB439" s="3298">
        <f t="shared" si="249"/>
        <v>0</v>
      </c>
      <c r="BC439" s="3298">
        <f t="shared" si="250"/>
        <v>0</v>
      </c>
      <c r="BD439" s="3298">
        <f t="shared" si="251"/>
        <v>0</v>
      </c>
      <c r="BE439" s="3298">
        <f t="shared" si="252"/>
        <v>0</v>
      </c>
      <c r="BF439" s="3298">
        <f t="shared" si="253"/>
        <v>0</v>
      </c>
      <c r="BG439" s="3298">
        <f t="shared" si="254"/>
        <v>0</v>
      </c>
      <c r="BH439" s="3298">
        <f t="shared" si="255"/>
        <v>0</v>
      </c>
      <c r="BI439" s="3298">
        <f t="shared" si="256"/>
        <v>0</v>
      </c>
      <c r="BJ439" s="3298">
        <f t="shared" si="257"/>
        <v>0</v>
      </c>
      <c r="BK439" s="3298">
        <f t="shared" si="258"/>
        <v>0</v>
      </c>
      <c r="BL439" s="3298">
        <f t="shared" si="259"/>
        <v>0</v>
      </c>
      <c r="BM439" s="3298">
        <f t="shared" si="260"/>
        <v>0</v>
      </c>
      <c r="BN439" s="3298">
        <f t="shared" si="261"/>
        <v>0</v>
      </c>
      <c r="BO439" s="3298">
        <f t="shared" si="262"/>
        <v>0</v>
      </c>
      <c r="BP439" s="3298">
        <f t="shared" si="263"/>
        <v>0</v>
      </c>
      <c r="BQ439" s="3298">
        <f t="shared" si="264"/>
        <v>0</v>
      </c>
      <c r="BR439" s="3298">
        <f t="shared" si="265"/>
        <v>0</v>
      </c>
      <c r="BS439" s="3298">
        <f t="shared" si="266"/>
        <v>0</v>
      </c>
      <c r="BT439" s="3350">
        <f t="shared" si="267"/>
        <v>0</v>
      </c>
    </row>
    <row r="440" spans="1:72">
      <c r="A440" s="1407"/>
      <c r="B440" s="3296"/>
      <c r="C440" s="3296"/>
      <c r="D440" s="3297"/>
      <c r="E440" s="3298">
        <f t="shared" si="239"/>
        <v>0</v>
      </c>
      <c r="F440" s="3299"/>
      <c r="G440" s="3300">
        <f t="shared" si="240"/>
        <v>0</v>
      </c>
      <c r="H440" s="3301">
        <f t="shared" si="241"/>
        <v>0</v>
      </c>
      <c r="I440" s="3308"/>
      <c r="J440" s="3308"/>
      <c r="K440" s="3308"/>
      <c r="L440" s="3308"/>
      <c r="M440" s="3308"/>
      <c r="N440" s="3308"/>
      <c r="O440" s="3308"/>
      <c r="P440" s="3308"/>
      <c r="Q440" s="3308"/>
      <c r="R440" s="3308"/>
      <c r="S440" s="3308"/>
      <c r="T440" s="3308"/>
      <c r="U440" s="3308"/>
      <c r="V440" s="3308"/>
      <c r="W440" s="3308"/>
      <c r="X440" s="3308"/>
      <c r="Y440" s="3308"/>
      <c r="Z440" s="3308"/>
      <c r="AA440" s="3308"/>
      <c r="AB440" s="3308"/>
      <c r="AC440" s="3298">
        <f t="shared" si="242"/>
        <v>0</v>
      </c>
      <c r="AD440" s="3318"/>
      <c r="AE440" s="3318"/>
      <c r="AF440" s="3318"/>
      <c r="AG440" s="3318"/>
      <c r="AH440" s="3318"/>
      <c r="AI440" s="3318"/>
      <c r="AJ440" s="3318"/>
      <c r="AK440" s="3318"/>
      <c r="AL440" s="3318"/>
      <c r="AM440" s="3318"/>
      <c r="AN440" s="3318"/>
      <c r="AO440" s="3318"/>
      <c r="AP440" s="3318"/>
      <c r="AQ440" s="3318"/>
      <c r="AR440" s="3318"/>
      <c r="AS440" s="3318"/>
      <c r="AT440" s="3328"/>
      <c r="AU440" s="3329"/>
      <c r="AV440" s="963">
        <f t="shared" si="243"/>
        <v>0</v>
      </c>
      <c r="AW440" s="963">
        <f t="shared" si="244"/>
        <v>0</v>
      </c>
      <c r="AX440" s="963">
        <f t="shared" si="245"/>
        <v>0</v>
      </c>
      <c r="AY440" s="3343">
        <f t="shared" si="246"/>
        <v>0</v>
      </c>
      <c r="AZ440" s="3298">
        <f t="shared" si="247"/>
        <v>0</v>
      </c>
      <c r="BA440" s="3298">
        <f t="shared" si="248"/>
        <v>0</v>
      </c>
      <c r="BB440" s="3298">
        <f t="shared" si="249"/>
        <v>0</v>
      </c>
      <c r="BC440" s="3298">
        <f t="shared" si="250"/>
        <v>0</v>
      </c>
      <c r="BD440" s="3298">
        <f t="shared" si="251"/>
        <v>0</v>
      </c>
      <c r="BE440" s="3298">
        <f t="shared" si="252"/>
        <v>0</v>
      </c>
      <c r="BF440" s="3298">
        <f t="shared" si="253"/>
        <v>0</v>
      </c>
      <c r="BG440" s="3298">
        <f t="shared" si="254"/>
        <v>0</v>
      </c>
      <c r="BH440" s="3298">
        <f t="shared" si="255"/>
        <v>0</v>
      </c>
      <c r="BI440" s="3298">
        <f t="shared" si="256"/>
        <v>0</v>
      </c>
      <c r="BJ440" s="3298">
        <f t="shared" si="257"/>
        <v>0</v>
      </c>
      <c r="BK440" s="3298">
        <f t="shared" si="258"/>
        <v>0</v>
      </c>
      <c r="BL440" s="3298">
        <f t="shared" si="259"/>
        <v>0</v>
      </c>
      <c r="BM440" s="3298">
        <f t="shared" si="260"/>
        <v>0</v>
      </c>
      <c r="BN440" s="3298">
        <f t="shared" si="261"/>
        <v>0</v>
      </c>
      <c r="BO440" s="3298">
        <f t="shared" si="262"/>
        <v>0</v>
      </c>
      <c r="BP440" s="3298">
        <f t="shared" si="263"/>
        <v>0</v>
      </c>
      <c r="BQ440" s="3298">
        <f t="shared" si="264"/>
        <v>0</v>
      </c>
      <c r="BR440" s="3298">
        <f t="shared" si="265"/>
        <v>0</v>
      </c>
      <c r="BS440" s="3298">
        <f t="shared" si="266"/>
        <v>0</v>
      </c>
      <c r="BT440" s="3350">
        <f t="shared" si="267"/>
        <v>0</v>
      </c>
    </row>
    <row r="441" spans="1:72">
      <c r="A441" s="1407"/>
      <c r="B441" s="3296"/>
      <c r="C441" s="3296"/>
      <c r="D441" s="3297"/>
      <c r="E441" s="3298">
        <f t="shared" si="239"/>
        <v>0</v>
      </c>
      <c r="F441" s="3299"/>
      <c r="G441" s="3300">
        <f t="shared" si="240"/>
        <v>0</v>
      </c>
      <c r="H441" s="3301">
        <f t="shared" si="241"/>
        <v>0</v>
      </c>
      <c r="I441" s="3308"/>
      <c r="J441" s="3308"/>
      <c r="K441" s="3308"/>
      <c r="L441" s="3308"/>
      <c r="M441" s="3308"/>
      <c r="N441" s="3308"/>
      <c r="O441" s="3308"/>
      <c r="P441" s="3308"/>
      <c r="Q441" s="3308"/>
      <c r="R441" s="3308"/>
      <c r="S441" s="3308"/>
      <c r="T441" s="3308"/>
      <c r="U441" s="3308"/>
      <c r="V441" s="3308"/>
      <c r="W441" s="3308"/>
      <c r="X441" s="3308"/>
      <c r="Y441" s="3308"/>
      <c r="Z441" s="3308"/>
      <c r="AA441" s="3308"/>
      <c r="AB441" s="3308"/>
      <c r="AC441" s="3298">
        <f t="shared" si="242"/>
        <v>0</v>
      </c>
      <c r="AD441" s="3318"/>
      <c r="AE441" s="3318"/>
      <c r="AF441" s="3318"/>
      <c r="AG441" s="3318"/>
      <c r="AH441" s="3318"/>
      <c r="AI441" s="3318"/>
      <c r="AJ441" s="3318"/>
      <c r="AK441" s="3318"/>
      <c r="AL441" s="3318"/>
      <c r="AM441" s="3318"/>
      <c r="AN441" s="3318"/>
      <c r="AO441" s="3318"/>
      <c r="AP441" s="3318"/>
      <c r="AQ441" s="3318"/>
      <c r="AR441" s="3318"/>
      <c r="AS441" s="3318"/>
      <c r="AT441" s="3328"/>
      <c r="AU441" s="3329"/>
      <c r="AV441" s="963">
        <f t="shared" si="243"/>
        <v>0</v>
      </c>
      <c r="AW441" s="963">
        <f t="shared" si="244"/>
        <v>0</v>
      </c>
      <c r="AX441" s="963">
        <f t="shared" si="245"/>
        <v>0</v>
      </c>
      <c r="AY441" s="3343">
        <f t="shared" si="246"/>
        <v>0</v>
      </c>
      <c r="AZ441" s="3298">
        <f t="shared" si="247"/>
        <v>0</v>
      </c>
      <c r="BA441" s="3298">
        <f t="shared" si="248"/>
        <v>0</v>
      </c>
      <c r="BB441" s="3298">
        <f t="shared" si="249"/>
        <v>0</v>
      </c>
      <c r="BC441" s="3298">
        <f t="shared" si="250"/>
        <v>0</v>
      </c>
      <c r="BD441" s="3298">
        <f t="shared" si="251"/>
        <v>0</v>
      </c>
      <c r="BE441" s="3298">
        <f t="shared" si="252"/>
        <v>0</v>
      </c>
      <c r="BF441" s="3298">
        <f t="shared" si="253"/>
        <v>0</v>
      </c>
      <c r="BG441" s="3298">
        <f t="shared" si="254"/>
        <v>0</v>
      </c>
      <c r="BH441" s="3298">
        <f t="shared" si="255"/>
        <v>0</v>
      </c>
      <c r="BI441" s="3298">
        <f t="shared" si="256"/>
        <v>0</v>
      </c>
      <c r="BJ441" s="3298">
        <f t="shared" si="257"/>
        <v>0</v>
      </c>
      <c r="BK441" s="3298">
        <f t="shared" si="258"/>
        <v>0</v>
      </c>
      <c r="BL441" s="3298">
        <f t="shared" si="259"/>
        <v>0</v>
      </c>
      <c r="BM441" s="3298">
        <f t="shared" si="260"/>
        <v>0</v>
      </c>
      <c r="BN441" s="3298">
        <f t="shared" si="261"/>
        <v>0</v>
      </c>
      <c r="BO441" s="3298">
        <f t="shared" si="262"/>
        <v>0</v>
      </c>
      <c r="BP441" s="3298">
        <f t="shared" si="263"/>
        <v>0</v>
      </c>
      <c r="BQ441" s="3298">
        <f t="shared" si="264"/>
        <v>0</v>
      </c>
      <c r="BR441" s="3298">
        <f t="shared" si="265"/>
        <v>0</v>
      </c>
      <c r="BS441" s="3298">
        <f t="shared" si="266"/>
        <v>0</v>
      </c>
      <c r="BT441" s="3350">
        <f t="shared" si="267"/>
        <v>0</v>
      </c>
    </row>
    <row r="442" spans="1:72">
      <c r="A442" s="1407"/>
      <c r="B442" s="3296"/>
      <c r="C442" s="3296"/>
      <c r="D442" s="3297"/>
      <c r="E442" s="3298">
        <f t="shared" si="239"/>
        <v>0</v>
      </c>
      <c r="F442" s="3299"/>
      <c r="G442" s="3300">
        <f t="shared" si="240"/>
        <v>0</v>
      </c>
      <c r="H442" s="3301">
        <f t="shared" si="241"/>
        <v>0</v>
      </c>
      <c r="I442" s="3308"/>
      <c r="J442" s="3308"/>
      <c r="K442" s="3308"/>
      <c r="L442" s="3308"/>
      <c r="M442" s="3308"/>
      <c r="N442" s="3308"/>
      <c r="O442" s="3308"/>
      <c r="P442" s="3308"/>
      <c r="Q442" s="3308"/>
      <c r="R442" s="3308"/>
      <c r="S442" s="3308"/>
      <c r="T442" s="3308"/>
      <c r="U442" s="3308"/>
      <c r="V442" s="3308"/>
      <c r="W442" s="3308"/>
      <c r="X442" s="3308"/>
      <c r="Y442" s="3308"/>
      <c r="Z442" s="3308"/>
      <c r="AA442" s="3308"/>
      <c r="AB442" s="3308"/>
      <c r="AC442" s="3298">
        <f t="shared" si="242"/>
        <v>0</v>
      </c>
      <c r="AD442" s="3318"/>
      <c r="AE442" s="3318"/>
      <c r="AF442" s="3318"/>
      <c r="AG442" s="3318"/>
      <c r="AH442" s="3318"/>
      <c r="AI442" s="3318"/>
      <c r="AJ442" s="3318"/>
      <c r="AK442" s="3318"/>
      <c r="AL442" s="3318"/>
      <c r="AM442" s="3318"/>
      <c r="AN442" s="3318"/>
      <c r="AO442" s="3318"/>
      <c r="AP442" s="3318"/>
      <c r="AQ442" s="3318"/>
      <c r="AR442" s="3318"/>
      <c r="AS442" s="3318"/>
      <c r="AT442" s="3328"/>
      <c r="AU442" s="3329"/>
      <c r="AV442" s="963">
        <f t="shared" si="243"/>
        <v>0</v>
      </c>
      <c r="AW442" s="963">
        <f t="shared" si="244"/>
        <v>0</v>
      </c>
      <c r="AX442" s="963">
        <f t="shared" si="245"/>
        <v>0</v>
      </c>
      <c r="AY442" s="3343">
        <f t="shared" si="246"/>
        <v>0</v>
      </c>
      <c r="AZ442" s="3298">
        <f t="shared" si="247"/>
        <v>0</v>
      </c>
      <c r="BA442" s="3298">
        <f t="shared" si="248"/>
        <v>0</v>
      </c>
      <c r="BB442" s="3298">
        <f t="shared" si="249"/>
        <v>0</v>
      </c>
      <c r="BC442" s="3298">
        <f t="shared" si="250"/>
        <v>0</v>
      </c>
      <c r="BD442" s="3298">
        <f t="shared" si="251"/>
        <v>0</v>
      </c>
      <c r="BE442" s="3298">
        <f t="shared" si="252"/>
        <v>0</v>
      </c>
      <c r="BF442" s="3298">
        <f t="shared" si="253"/>
        <v>0</v>
      </c>
      <c r="BG442" s="3298">
        <f t="shared" si="254"/>
        <v>0</v>
      </c>
      <c r="BH442" s="3298">
        <f t="shared" si="255"/>
        <v>0</v>
      </c>
      <c r="BI442" s="3298">
        <f t="shared" si="256"/>
        <v>0</v>
      </c>
      <c r="BJ442" s="3298">
        <f t="shared" si="257"/>
        <v>0</v>
      </c>
      <c r="BK442" s="3298">
        <f t="shared" si="258"/>
        <v>0</v>
      </c>
      <c r="BL442" s="3298">
        <f t="shared" si="259"/>
        <v>0</v>
      </c>
      <c r="BM442" s="3298">
        <f t="shared" si="260"/>
        <v>0</v>
      </c>
      <c r="BN442" s="3298">
        <f t="shared" si="261"/>
        <v>0</v>
      </c>
      <c r="BO442" s="3298">
        <f t="shared" si="262"/>
        <v>0</v>
      </c>
      <c r="BP442" s="3298">
        <f t="shared" si="263"/>
        <v>0</v>
      </c>
      <c r="BQ442" s="3298">
        <f t="shared" si="264"/>
        <v>0</v>
      </c>
      <c r="BR442" s="3298">
        <f t="shared" si="265"/>
        <v>0</v>
      </c>
      <c r="BS442" s="3298">
        <f t="shared" si="266"/>
        <v>0</v>
      </c>
      <c r="BT442" s="3350">
        <f t="shared" si="267"/>
        <v>0</v>
      </c>
    </row>
    <row r="443" spans="1:72">
      <c r="A443" s="1407"/>
      <c r="B443" s="3296"/>
      <c r="C443" s="3296"/>
      <c r="D443" s="3297"/>
      <c r="E443" s="3298">
        <f t="shared" si="239"/>
        <v>0</v>
      </c>
      <c r="F443" s="3299"/>
      <c r="G443" s="3300">
        <f t="shared" si="240"/>
        <v>0</v>
      </c>
      <c r="H443" s="3301">
        <f t="shared" si="241"/>
        <v>0</v>
      </c>
      <c r="I443" s="3308"/>
      <c r="J443" s="3308"/>
      <c r="K443" s="3308"/>
      <c r="L443" s="3308"/>
      <c r="M443" s="3308"/>
      <c r="N443" s="3308"/>
      <c r="O443" s="3308"/>
      <c r="P443" s="3308"/>
      <c r="Q443" s="3308"/>
      <c r="R443" s="3308"/>
      <c r="S443" s="3308"/>
      <c r="T443" s="3308"/>
      <c r="U443" s="3308"/>
      <c r="V443" s="3308"/>
      <c r="W443" s="3308"/>
      <c r="X443" s="3308"/>
      <c r="Y443" s="3308"/>
      <c r="Z443" s="3308"/>
      <c r="AA443" s="3308"/>
      <c r="AB443" s="3308"/>
      <c r="AC443" s="3298">
        <f t="shared" si="242"/>
        <v>0</v>
      </c>
      <c r="AD443" s="3318"/>
      <c r="AE443" s="3318"/>
      <c r="AF443" s="3318"/>
      <c r="AG443" s="3318"/>
      <c r="AH443" s="3318"/>
      <c r="AI443" s="3318"/>
      <c r="AJ443" s="3318"/>
      <c r="AK443" s="3318"/>
      <c r="AL443" s="3318"/>
      <c r="AM443" s="3318"/>
      <c r="AN443" s="3318"/>
      <c r="AO443" s="3318"/>
      <c r="AP443" s="3318"/>
      <c r="AQ443" s="3318"/>
      <c r="AR443" s="3318"/>
      <c r="AS443" s="3318"/>
      <c r="AT443" s="3328"/>
      <c r="AU443" s="3329"/>
      <c r="AV443" s="963">
        <f t="shared" si="243"/>
        <v>0</v>
      </c>
      <c r="AW443" s="963">
        <f t="shared" si="244"/>
        <v>0</v>
      </c>
      <c r="AX443" s="963">
        <f t="shared" si="245"/>
        <v>0</v>
      </c>
      <c r="AY443" s="3343">
        <f t="shared" si="246"/>
        <v>0</v>
      </c>
      <c r="AZ443" s="3298">
        <f t="shared" si="247"/>
        <v>0</v>
      </c>
      <c r="BA443" s="3298">
        <f t="shared" si="248"/>
        <v>0</v>
      </c>
      <c r="BB443" s="3298">
        <f t="shared" si="249"/>
        <v>0</v>
      </c>
      <c r="BC443" s="3298">
        <f t="shared" si="250"/>
        <v>0</v>
      </c>
      <c r="BD443" s="3298">
        <f t="shared" si="251"/>
        <v>0</v>
      </c>
      <c r="BE443" s="3298">
        <f t="shared" si="252"/>
        <v>0</v>
      </c>
      <c r="BF443" s="3298">
        <f t="shared" si="253"/>
        <v>0</v>
      </c>
      <c r="BG443" s="3298">
        <f t="shared" si="254"/>
        <v>0</v>
      </c>
      <c r="BH443" s="3298">
        <f t="shared" si="255"/>
        <v>0</v>
      </c>
      <c r="BI443" s="3298">
        <f t="shared" si="256"/>
        <v>0</v>
      </c>
      <c r="BJ443" s="3298">
        <f t="shared" si="257"/>
        <v>0</v>
      </c>
      <c r="BK443" s="3298">
        <f t="shared" si="258"/>
        <v>0</v>
      </c>
      <c r="BL443" s="3298">
        <f t="shared" si="259"/>
        <v>0</v>
      </c>
      <c r="BM443" s="3298">
        <f t="shared" si="260"/>
        <v>0</v>
      </c>
      <c r="BN443" s="3298">
        <f t="shared" si="261"/>
        <v>0</v>
      </c>
      <c r="BO443" s="3298">
        <f t="shared" si="262"/>
        <v>0</v>
      </c>
      <c r="BP443" s="3298">
        <f t="shared" si="263"/>
        <v>0</v>
      </c>
      <c r="BQ443" s="3298">
        <f t="shared" si="264"/>
        <v>0</v>
      </c>
      <c r="BR443" s="3298">
        <f t="shared" si="265"/>
        <v>0</v>
      </c>
      <c r="BS443" s="3298">
        <f t="shared" si="266"/>
        <v>0</v>
      </c>
      <c r="BT443" s="3350">
        <f t="shared" si="267"/>
        <v>0</v>
      </c>
    </row>
    <row r="444" spans="1:72">
      <c r="A444" s="1407"/>
      <c r="B444" s="3296"/>
      <c r="C444" s="3296"/>
      <c r="D444" s="3297"/>
      <c r="E444" s="3298">
        <f t="shared" si="239"/>
        <v>0</v>
      </c>
      <c r="F444" s="3299"/>
      <c r="G444" s="3300">
        <f t="shared" si="240"/>
        <v>0</v>
      </c>
      <c r="H444" s="3301">
        <f t="shared" si="241"/>
        <v>0</v>
      </c>
      <c r="I444" s="3308"/>
      <c r="J444" s="3308"/>
      <c r="K444" s="3308"/>
      <c r="L444" s="3308"/>
      <c r="M444" s="3308"/>
      <c r="N444" s="3308"/>
      <c r="O444" s="3308"/>
      <c r="P444" s="3308"/>
      <c r="Q444" s="3308"/>
      <c r="R444" s="3308"/>
      <c r="S444" s="3308"/>
      <c r="T444" s="3308"/>
      <c r="U444" s="3308"/>
      <c r="V444" s="3308"/>
      <c r="W444" s="3308"/>
      <c r="X444" s="3308"/>
      <c r="Y444" s="3308"/>
      <c r="Z444" s="3308"/>
      <c r="AA444" s="3308"/>
      <c r="AB444" s="3308"/>
      <c r="AC444" s="3298">
        <f t="shared" si="242"/>
        <v>0</v>
      </c>
      <c r="AD444" s="3318"/>
      <c r="AE444" s="3318"/>
      <c r="AF444" s="3318"/>
      <c r="AG444" s="3318"/>
      <c r="AH444" s="3318"/>
      <c r="AI444" s="3318"/>
      <c r="AJ444" s="3318"/>
      <c r="AK444" s="3318"/>
      <c r="AL444" s="3318"/>
      <c r="AM444" s="3318"/>
      <c r="AN444" s="3318"/>
      <c r="AO444" s="3318"/>
      <c r="AP444" s="3318"/>
      <c r="AQ444" s="3318"/>
      <c r="AR444" s="3318"/>
      <c r="AS444" s="3318"/>
      <c r="AT444" s="3328"/>
      <c r="AU444" s="3329"/>
      <c r="AV444" s="963">
        <f t="shared" si="243"/>
        <v>0</v>
      </c>
      <c r="AW444" s="963">
        <f t="shared" si="244"/>
        <v>0</v>
      </c>
      <c r="AX444" s="963">
        <f t="shared" si="245"/>
        <v>0</v>
      </c>
      <c r="AY444" s="3343">
        <f t="shared" si="246"/>
        <v>0</v>
      </c>
      <c r="AZ444" s="3298">
        <f t="shared" si="247"/>
        <v>0</v>
      </c>
      <c r="BA444" s="3298">
        <f t="shared" si="248"/>
        <v>0</v>
      </c>
      <c r="BB444" s="3298">
        <f t="shared" si="249"/>
        <v>0</v>
      </c>
      <c r="BC444" s="3298">
        <f t="shared" si="250"/>
        <v>0</v>
      </c>
      <c r="BD444" s="3298">
        <f t="shared" si="251"/>
        <v>0</v>
      </c>
      <c r="BE444" s="3298">
        <f t="shared" si="252"/>
        <v>0</v>
      </c>
      <c r="BF444" s="3298">
        <f t="shared" si="253"/>
        <v>0</v>
      </c>
      <c r="BG444" s="3298">
        <f t="shared" si="254"/>
        <v>0</v>
      </c>
      <c r="BH444" s="3298">
        <f t="shared" si="255"/>
        <v>0</v>
      </c>
      <c r="BI444" s="3298">
        <f t="shared" si="256"/>
        <v>0</v>
      </c>
      <c r="BJ444" s="3298">
        <f t="shared" si="257"/>
        <v>0</v>
      </c>
      <c r="BK444" s="3298">
        <f t="shared" si="258"/>
        <v>0</v>
      </c>
      <c r="BL444" s="3298">
        <f t="shared" si="259"/>
        <v>0</v>
      </c>
      <c r="BM444" s="3298">
        <f t="shared" si="260"/>
        <v>0</v>
      </c>
      <c r="BN444" s="3298">
        <f t="shared" si="261"/>
        <v>0</v>
      </c>
      <c r="BO444" s="3298">
        <f t="shared" si="262"/>
        <v>0</v>
      </c>
      <c r="BP444" s="3298">
        <f t="shared" si="263"/>
        <v>0</v>
      </c>
      <c r="BQ444" s="3298">
        <f t="shared" si="264"/>
        <v>0</v>
      </c>
      <c r="BR444" s="3298">
        <f t="shared" si="265"/>
        <v>0</v>
      </c>
      <c r="BS444" s="3298">
        <f t="shared" si="266"/>
        <v>0</v>
      </c>
      <c r="BT444" s="3350">
        <f t="shared" si="267"/>
        <v>0</v>
      </c>
    </row>
    <row r="445" spans="1:72">
      <c r="A445" s="1407"/>
      <c r="B445" s="3296"/>
      <c r="C445" s="3296"/>
      <c r="D445" s="3297"/>
      <c r="E445" s="3298">
        <f t="shared" si="239"/>
        <v>0</v>
      </c>
      <c r="F445" s="3299"/>
      <c r="G445" s="3300">
        <f t="shared" si="240"/>
        <v>0</v>
      </c>
      <c r="H445" s="3301">
        <f t="shared" si="241"/>
        <v>0</v>
      </c>
      <c r="I445" s="3308"/>
      <c r="J445" s="3308"/>
      <c r="K445" s="3308"/>
      <c r="L445" s="3308"/>
      <c r="M445" s="3308"/>
      <c r="N445" s="3308"/>
      <c r="O445" s="3308"/>
      <c r="P445" s="3308"/>
      <c r="Q445" s="3308"/>
      <c r="R445" s="3308"/>
      <c r="S445" s="3308"/>
      <c r="T445" s="3308"/>
      <c r="U445" s="3308"/>
      <c r="V445" s="3308"/>
      <c r="W445" s="3308"/>
      <c r="X445" s="3308"/>
      <c r="Y445" s="3308"/>
      <c r="Z445" s="3308"/>
      <c r="AA445" s="3308"/>
      <c r="AB445" s="3308"/>
      <c r="AC445" s="3298">
        <f t="shared" si="242"/>
        <v>0</v>
      </c>
      <c r="AD445" s="3318"/>
      <c r="AE445" s="3318"/>
      <c r="AF445" s="3318"/>
      <c r="AG445" s="3318"/>
      <c r="AH445" s="3318"/>
      <c r="AI445" s="3318"/>
      <c r="AJ445" s="3318"/>
      <c r="AK445" s="3318"/>
      <c r="AL445" s="3318"/>
      <c r="AM445" s="3318"/>
      <c r="AN445" s="3318"/>
      <c r="AO445" s="3318"/>
      <c r="AP445" s="3318"/>
      <c r="AQ445" s="3318"/>
      <c r="AR445" s="3318"/>
      <c r="AS445" s="3318"/>
      <c r="AT445" s="3328"/>
      <c r="AU445" s="3329"/>
      <c r="AV445" s="963">
        <f t="shared" si="243"/>
        <v>0</v>
      </c>
      <c r="AW445" s="963">
        <f t="shared" si="244"/>
        <v>0</v>
      </c>
      <c r="AX445" s="963">
        <f t="shared" si="245"/>
        <v>0</v>
      </c>
      <c r="AY445" s="3343">
        <f t="shared" si="246"/>
        <v>0</v>
      </c>
      <c r="AZ445" s="3298">
        <f t="shared" si="247"/>
        <v>0</v>
      </c>
      <c r="BA445" s="3298">
        <f t="shared" si="248"/>
        <v>0</v>
      </c>
      <c r="BB445" s="3298">
        <f t="shared" si="249"/>
        <v>0</v>
      </c>
      <c r="BC445" s="3298">
        <f t="shared" si="250"/>
        <v>0</v>
      </c>
      <c r="BD445" s="3298">
        <f t="shared" si="251"/>
        <v>0</v>
      </c>
      <c r="BE445" s="3298">
        <f t="shared" si="252"/>
        <v>0</v>
      </c>
      <c r="BF445" s="3298">
        <f t="shared" si="253"/>
        <v>0</v>
      </c>
      <c r="BG445" s="3298">
        <f t="shared" si="254"/>
        <v>0</v>
      </c>
      <c r="BH445" s="3298">
        <f t="shared" si="255"/>
        <v>0</v>
      </c>
      <c r="BI445" s="3298">
        <f t="shared" si="256"/>
        <v>0</v>
      </c>
      <c r="BJ445" s="3298">
        <f t="shared" si="257"/>
        <v>0</v>
      </c>
      <c r="BK445" s="3298">
        <f t="shared" si="258"/>
        <v>0</v>
      </c>
      <c r="BL445" s="3298">
        <f t="shared" si="259"/>
        <v>0</v>
      </c>
      <c r="BM445" s="3298">
        <f t="shared" si="260"/>
        <v>0</v>
      </c>
      <c r="BN445" s="3298">
        <f t="shared" si="261"/>
        <v>0</v>
      </c>
      <c r="BO445" s="3298">
        <f t="shared" si="262"/>
        <v>0</v>
      </c>
      <c r="BP445" s="3298">
        <f t="shared" si="263"/>
        <v>0</v>
      </c>
      <c r="BQ445" s="3298">
        <f t="shared" si="264"/>
        <v>0</v>
      </c>
      <c r="BR445" s="3298">
        <f t="shared" si="265"/>
        <v>0</v>
      </c>
      <c r="BS445" s="3298">
        <f t="shared" si="266"/>
        <v>0</v>
      </c>
      <c r="BT445" s="3350">
        <f t="shared" si="267"/>
        <v>0</v>
      </c>
    </row>
    <row r="446" spans="1:72">
      <c r="A446" s="1407"/>
      <c r="B446" s="3296"/>
      <c r="C446" s="3296"/>
      <c r="D446" s="3297"/>
      <c r="E446" s="3298">
        <f t="shared" si="239"/>
        <v>0</v>
      </c>
      <c r="F446" s="3299"/>
      <c r="G446" s="3300">
        <f t="shared" si="240"/>
        <v>0</v>
      </c>
      <c r="H446" s="3301">
        <f t="shared" si="241"/>
        <v>0</v>
      </c>
      <c r="I446" s="3308"/>
      <c r="J446" s="3308"/>
      <c r="K446" s="3308"/>
      <c r="L446" s="3308"/>
      <c r="M446" s="3308"/>
      <c r="N446" s="3308"/>
      <c r="O446" s="3308"/>
      <c r="P446" s="3308"/>
      <c r="Q446" s="3308"/>
      <c r="R446" s="3308"/>
      <c r="S446" s="3308"/>
      <c r="T446" s="3308"/>
      <c r="U446" s="3308"/>
      <c r="V446" s="3308"/>
      <c r="W446" s="3308"/>
      <c r="X446" s="3308"/>
      <c r="Y446" s="3308"/>
      <c r="Z446" s="3308"/>
      <c r="AA446" s="3308"/>
      <c r="AB446" s="3308"/>
      <c r="AC446" s="3298">
        <f t="shared" si="242"/>
        <v>0</v>
      </c>
      <c r="AD446" s="3318"/>
      <c r="AE446" s="3318"/>
      <c r="AF446" s="3318"/>
      <c r="AG446" s="3318"/>
      <c r="AH446" s="3318"/>
      <c r="AI446" s="3318"/>
      <c r="AJ446" s="3318"/>
      <c r="AK446" s="3318"/>
      <c r="AL446" s="3318"/>
      <c r="AM446" s="3318"/>
      <c r="AN446" s="3318"/>
      <c r="AO446" s="3318"/>
      <c r="AP446" s="3318"/>
      <c r="AQ446" s="3318"/>
      <c r="AR446" s="3318"/>
      <c r="AS446" s="3318"/>
      <c r="AT446" s="3328"/>
      <c r="AU446" s="3329"/>
      <c r="AV446" s="963">
        <f t="shared" si="243"/>
        <v>0</v>
      </c>
      <c r="AW446" s="963">
        <f t="shared" si="244"/>
        <v>0</v>
      </c>
      <c r="AX446" s="963">
        <f t="shared" si="245"/>
        <v>0</v>
      </c>
      <c r="AY446" s="3343">
        <f t="shared" si="246"/>
        <v>0</v>
      </c>
      <c r="AZ446" s="3298">
        <f t="shared" si="247"/>
        <v>0</v>
      </c>
      <c r="BA446" s="3298">
        <f t="shared" si="248"/>
        <v>0</v>
      </c>
      <c r="BB446" s="3298">
        <f t="shared" si="249"/>
        <v>0</v>
      </c>
      <c r="BC446" s="3298">
        <f t="shared" si="250"/>
        <v>0</v>
      </c>
      <c r="BD446" s="3298">
        <f t="shared" si="251"/>
        <v>0</v>
      </c>
      <c r="BE446" s="3298">
        <f t="shared" si="252"/>
        <v>0</v>
      </c>
      <c r="BF446" s="3298">
        <f t="shared" si="253"/>
        <v>0</v>
      </c>
      <c r="BG446" s="3298">
        <f t="shared" si="254"/>
        <v>0</v>
      </c>
      <c r="BH446" s="3298">
        <f t="shared" si="255"/>
        <v>0</v>
      </c>
      <c r="BI446" s="3298">
        <f t="shared" si="256"/>
        <v>0</v>
      </c>
      <c r="BJ446" s="3298">
        <f t="shared" si="257"/>
        <v>0</v>
      </c>
      <c r="BK446" s="3298">
        <f t="shared" si="258"/>
        <v>0</v>
      </c>
      <c r="BL446" s="3298">
        <f t="shared" si="259"/>
        <v>0</v>
      </c>
      <c r="BM446" s="3298">
        <f t="shared" si="260"/>
        <v>0</v>
      </c>
      <c r="BN446" s="3298">
        <f t="shared" si="261"/>
        <v>0</v>
      </c>
      <c r="BO446" s="3298">
        <f t="shared" si="262"/>
        <v>0</v>
      </c>
      <c r="BP446" s="3298">
        <f t="shared" si="263"/>
        <v>0</v>
      </c>
      <c r="BQ446" s="3298">
        <f t="shared" si="264"/>
        <v>0</v>
      </c>
      <c r="BR446" s="3298">
        <f t="shared" si="265"/>
        <v>0</v>
      </c>
      <c r="BS446" s="3298">
        <f t="shared" si="266"/>
        <v>0</v>
      </c>
      <c r="BT446" s="3350">
        <f t="shared" si="267"/>
        <v>0</v>
      </c>
    </row>
    <row r="447" spans="1:72">
      <c r="A447" s="1407"/>
      <c r="B447" s="3296"/>
      <c r="C447" s="3296"/>
      <c r="D447" s="3297"/>
      <c r="E447" s="3298">
        <f t="shared" si="239"/>
        <v>0</v>
      </c>
      <c r="F447" s="3299"/>
      <c r="G447" s="3300">
        <f t="shared" si="240"/>
        <v>0</v>
      </c>
      <c r="H447" s="3301">
        <f t="shared" si="241"/>
        <v>0</v>
      </c>
      <c r="I447" s="3308"/>
      <c r="J447" s="3308"/>
      <c r="K447" s="3308"/>
      <c r="L447" s="3308"/>
      <c r="M447" s="3308"/>
      <c r="N447" s="3308"/>
      <c r="O447" s="3308"/>
      <c r="P447" s="3308"/>
      <c r="Q447" s="3308"/>
      <c r="R447" s="3308"/>
      <c r="S447" s="3308"/>
      <c r="T447" s="3308"/>
      <c r="U447" s="3308"/>
      <c r="V447" s="3308"/>
      <c r="W447" s="3308"/>
      <c r="X447" s="3308"/>
      <c r="Y447" s="3308"/>
      <c r="Z447" s="3308"/>
      <c r="AA447" s="3308"/>
      <c r="AB447" s="3308"/>
      <c r="AC447" s="3298">
        <f t="shared" si="242"/>
        <v>0</v>
      </c>
      <c r="AD447" s="3318"/>
      <c r="AE447" s="3318"/>
      <c r="AF447" s="3318"/>
      <c r="AG447" s="3318"/>
      <c r="AH447" s="3318"/>
      <c r="AI447" s="3318"/>
      <c r="AJ447" s="3318"/>
      <c r="AK447" s="3318"/>
      <c r="AL447" s="3318"/>
      <c r="AM447" s="3318"/>
      <c r="AN447" s="3318"/>
      <c r="AO447" s="3318"/>
      <c r="AP447" s="3318"/>
      <c r="AQ447" s="3318"/>
      <c r="AR447" s="3318"/>
      <c r="AS447" s="3318"/>
      <c r="AT447" s="3328"/>
      <c r="AU447" s="3329"/>
      <c r="AV447" s="963">
        <f t="shared" si="243"/>
        <v>0</v>
      </c>
      <c r="AW447" s="963">
        <f t="shared" si="244"/>
        <v>0</v>
      </c>
      <c r="AX447" s="963">
        <f t="shared" si="245"/>
        <v>0</v>
      </c>
      <c r="AY447" s="3343">
        <f t="shared" si="246"/>
        <v>0</v>
      </c>
      <c r="AZ447" s="3298">
        <f t="shared" si="247"/>
        <v>0</v>
      </c>
      <c r="BA447" s="3298">
        <f t="shared" si="248"/>
        <v>0</v>
      </c>
      <c r="BB447" s="3298">
        <f t="shared" si="249"/>
        <v>0</v>
      </c>
      <c r="BC447" s="3298">
        <f t="shared" si="250"/>
        <v>0</v>
      </c>
      <c r="BD447" s="3298">
        <f t="shared" si="251"/>
        <v>0</v>
      </c>
      <c r="BE447" s="3298">
        <f t="shared" si="252"/>
        <v>0</v>
      </c>
      <c r="BF447" s="3298">
        <f t="shared" si="253"/>
        <v>0</v>
      </c>
      <c r="BG447" s="3298">
        <f t="shared" si="254"/>
        <v>0</v>
      </c>
      <c r="BH447" s="3298">
        <f t="shared" si="255"/>
        <v>0</v>
      </c>
      <c r="BI447" s="3298">
        <f t="shared" si="256"/>
        <v>0</v>
      </c>
      <c r="BJ447" s="3298">
        <f t="shared" si="257"/>
        <v>0</v>
      </c>
      <c r="BK447" s="3298">
        <f t="shared" si="258"/>
        <v>0</v>
      </c>
      <c r="BL447" s="3298">
        <f t="shared" si="259"/>
        <v>0</v>
      </c>
      <c r="BM447" s="3298">
        <f t="shared" si="260"/>
        <v>0</v>
      </c>
      <c r="BN447" s="3298">
        <f t="shared" si="261"/>
        <v>0</v>
      </c>
      <c r="BO447" s="3298">
        <f t="shared" si="262"/>
        <v>0</v>
      </c>
      <c r="BP447" s="3298">
        <f t="shared" si="263"/>
        <v>0</v>
      </c>
      <c r="BQ447" s="3298">
        <f t="shared" si="264"/>
        <v>0</v>
      </c>
      <c r="BR447" s="3298">
        <f t="shared" si="265"/>
        <v>0</v>
      </c>
      <c r="BS447" s="3298">
        <f t="shared" si="266"/>
        <v>0</v>
      </c>
      <c r="BT447" s="3350">
        <f t="shared" si="267"/>
        <v>0</v>
      </c>
    </row>
    <row r="448" spans="1:72">
      <c r="A448" s="1407"/>
      <c r="B448" s="3296"/>
      <c r="C448" s="3296"/>
      <c r="D448" s="3297"/>
      <c r="E448" s="3298">
        <f t="shared" si="239"/>
        <v>0</v>
      </c>
      <c r="F448" s="3299"/>
      <c r="G448" s="3300">
        <f t="shared" si="240"/>
        <v>0</v>
      </c>
      <c r="H448" s="3301">
        <f t="shared" si="241"/>
        <v>0</v>
      </c>
      <c r="I448" s="3308"/>
      <c r="J448" s="3308"/>
      <c r="K448" s="3308"/>
      <c r="L448" s="3308"/>
      <c r="M448" s="3308"/>
      <c r="N448" s="3308"/>
      <c r="O448" s="3308"/>
      <c r="P448" s="3308"/>
      <c r="Q448" s="3308"/>
      <c r="R448" s="3308"/>
      <c r="S448" s="3308"/>
      <c r="T448" s="3308"/>
      <c r="U448" s="3308"/>
      <c r="V448" s="3308"/>
      <c r="W448" s="3308"/>
      <c r="X448" s="3308"/>
      <c r="Y448" s="3308"/>
      <c r="Z448" s="3308"/>
      <c r="AA448" s="3308"/>
      <c r="AB448" s="3308"/>
      <c r="AC448" s="3298">
        <f t="shared" si="242"/>
        <v>0</v>
      </c>
      <c r="AD448" s="3318"/>
      <c r="AE448" s="3318"/>
      <c r="AF448" s="3318"/>
      <c r="AG448" s="3318"/>
      <c r="AH448" s="3318"/>
      <c r="AI448" s="3318"/>
      <c r="AJ448" s="3318"/>
      <c r="AK448" s="3318"/>
      <c r="AL448" s="3318"/>
      <c r="AM448" s="3318"/>
      <c r="AN448" s="3318"/>
      <c r="AO448" s="3318"/>
      <c r="AP448" s="3318"/>
      <c r="AQ448" s="3318"/>
      <c r="AR448" s="3318"/>
      <c r="AS448" s="3318"/>
      <c r="AT448" s="3328"/>
      <c r="AU448" s="3329"/>
      <c r="AV448" s="963">
        <f t="shared" si="243"/>
        <v>0</v>
      </c>
      <c r="AW448" s="963">
        <f t="shared" si="244"/>
        <v>0</v>
      </c>
      <c r="AX448" s="963">
        <f t="shared" si="245"/>
        <v>0</v>
      </c>
      <c r="AY448" s="3343">
        <f t="shared" si="246"/>
        <v>0</v>
      </c>
      <c r="AZ448" s="3298">
        <f t="shared" si="247"/>
        <v>0</v>
      </c>
      <c r="BA448" s="3298">
        <f t="shared" si="248"/>
        <v>0</v>
      </c>
      <c r="BB448" s="3298">
        <f t="shared" si="249"/>
        <v>0</v>
      </c>
      <c r="BC448" s="3298">
        <f t="shared" si="250"/>
        <v>0</v>
      </c>
      <c r="BD448" s="3298">
        <f t="shared" si="251"/>
        <v>0</v>
      </c>
      <c r="BE448" s="3298">
        <f t="shared" si="252"/>
        <v>0</v>
      </c>
      <c r="BF448" s="3298">
        <f t="shared" si="253"/>
        <v>0</v>
      </c>
      <c r="BG448" s="3298">
        <f t="shared" si="254"/>
        <v>0</v>
      </c>
      <c r="BH448" s="3298">
        <f t="shared" si="255"/>
        <v>0</v>
      </c>
      <c r="BI448" s="3298">
        <f t="shared" si="256"/>
        <v>0</v>
      </c>
      <c r="BJ448" s="3298">
        <f t="shared" si="257"/>
        <v>0</v>
      </c>
      <c r="BK448" s="3298">
        <f t="shared" si="258"/>
        <v>0</v>
      </c>
      <c r="BL448" s="3298">
        <f t="shared" si="259"/>
        <v>0</v>
      </c>
      <c r="BM448" s="3298">
        <f t="shared" si="260"/>
        <v>0</v>
      </c>
      <c r="BN448" s="3298">
        <f t="shared" si="261"/>
        <v>0</v>
      </c>
      <c r="BO448" s="3298">
        <f t="shared" si="262"/>
        <v>0</v>
      </c>
      <c r="BP448" s="3298">
        <f t="shared" si="263"/>
        <v>0</v>
      </c>
      <c r="BQ448" s="3298">
        <f t="shared" si="264"/>
        <v>0</v>
      </c>
      <c r="BR448" s="3298">
        <f t="shared" si="265"/>
        <v>0</v>
      </c>
      <c r="BS448" s="3298">
        <f t="shared" si="266"/>
        <v>0</v>
      </c>
      <c r="BT448" s="3350">
        <f t="shared" si="267"/>
        <v>0</v>
      </c>
    </row>
    <row r="449" spans="1:72">
      <c r="A449" s="1407"/>
      <c r="B449" s="3296"/>
      <c r="C449" s="3296"/>
      <c r="D449" s="3297"/>
      <c r="E449" s="3298">
        <f t="shared" si="239"/>
        <v>0</v>
      </c>
      <c r="F449" s="3299"/>
      <c r="G449" s="3300">
        <f t="shared" si="240"/>
        <v>0</v>
      </c>
      <c r="H449" s="3301">
        <f t="shared" si="241"/>
        <v>0</v>
      </c>
      <c r="I449" s="3308"/>
      <c r="J449" s="3308"/>
      <c r="K449" s="3308"/>
      <c r="L449" s="3308"/>
      <c r="M449" s="3308"/>
      <c r="N449" s="3308"/>
      <c r="O449" s="3308"/>
      <c r="P449" s="3308"/>
      <c r="Q449" s="3308"/>
      <c r="R449" s="3308"/>
      <c r="S449" s="3308"/>
      <c r="T449" s="3308"/>
      <c r="U449" s="3308"/>
      <c r="V449" s="3308"/>
      <c r="W449" s="3308"/>
      <c r="X449" s="3308"/>
      <c r="Y449" s="3308"/>
      <c r="Z449" s="3308"/>
      <c r="AA449" s="3308"/>
      <c r="AB449" s="3308"/>
      <c r="AC449" s="3298">
        <f t="shared" si="242"/>
        <v>0</v>
      </c>
      <c r="AD449" s="3318"/>
      <c r="AE449" s="3318"/>
      <c r="AF449" s="3318"/>
      <c r="AG449" s="3318"/>
      <c r="AH449" s="3318"/>
      <c r="AI449" s="3318"/>
      <c r="AJ449" s="3318"/>
      <c r="AK449" s="3318"/>
      <c r="AL449" s="3318"/>
      <c r="AM449" s="3318"/>
      <c r="AN449" s="3318"/>
      <c r="AO449" s="3318"/>
      <c r="AP449" s="3318"/>
      <c r="AQ449" s="3318"/>
      <c r="AR449" s="3318"/>
      <c r="AS449" s="3318"/>
      <c r="AT449" s="3328"/>
      <c r="AU449" s="3329"/>
      <c r="AV449" s="963">
        <f t="shared" si="243"/>
        <v>0</v>
      </c>
      <c r="AW449" s="963">
        <f t="shared" si="244"/>
        <v>0</v>
      </c>
      <c r="AX449" s="963">
        <f t="shared" si="245"/>
        <v>0</v>
      </c>
      <c r="AY449" s="3343">
        <f t="shared" si="246"/>
        <v>0</v>
      </c>
      <c r="AZ449" s="3298">
        <f t="shared" si="247"/>
        <v>0</v>
      </c>
      <c r="BA449" s="3298">
        <f t="shared" si="248"/>
        <v>0</v>
      </c>
      <c r="BB449" s="3298">
        <f t="shared" si="249"/>
        <v>0</v>
      </c>
      <c r="BC449" s="3298">
        <f t="shared" si="250"/>
        <v>0</v>
      </c>
      <c r="BD449" s="3298">
        <f t="shared" si="251"/>
        <v>0</v>
      </c>
      <c r="BE449" s="3298">
        <f t="shared" si="252"/>
        <v>0</v>
      </c>
      <c r="BF449" s="3298">
        <f t="shared" si="253"/>
        <v>0</v>
      </c>
      <c r="BG449" s="3298">
        <f t="shared" si="254"/>
        <v>0</v>
      </c>
      <c r="BH449" s="3298">
        <f t="shared" si="255"/>
        <v>0</v>
      </c>
      <c r="BI449" s="3298">
        <f t="shared" si="256"/>
        <v>0</v>
      </c>
      <c r="BJ449" s="3298">
        <f t="shared" si="257"/>
        <v>0</v>
      </c>
      <c r="BK449" s="3298">
        <f t="shared" si="258"/>
        <v>0</v>
      </c>
      <c r="BL449" s="3298">
        <f t="shared" si="259"/>
        <v>0</v>
      </c>
      <c r="BM449" s="3298">
        <f t="shared" si="260"/>
        <v>0</v>
      </c>
      <c r="BN449" s="3298">
        <f t="shared" si="261"/>
        <v>0</v>
      </c>
      <c r="BO449" s="3298">
        <f t="shared" si="262"/>
        <v>0</v>
      </c>
      <c r="BP449" s="3298">
        <f t="shared" si="263"/>
        <v>0</v>
      </c>
      <c r="BQ449" s="3298">
        <f t="shared" si="264"/>
        <v>0</v>
      </c>
      <c r="BR449" s="3298">
        <f t="shared" si="265"/>
        <v>0</v>
      </c>
      <c r="BS449" s="3298">
        <f t="shared" si="266"/>
        <v>0</v>
      </c>
      <c r="BT449" s="3350">
        <f t="shared" si="267"/>
        <v>0</v>
      </c>
    </row>
    <row r="450" spans="1:72">
      <c r="A450" s="1407"/>
      <c r="B450" s="3296"/>
      <c r="C450" s="3296"/>
      <c r="D450" s="3297"/>
      <c r="E450" s="3298">
        <f t="shared" si="239"/>
        <v>0</v>
      </c>
      <c r="F450" s="3299"/>
      <c r="G450" s="3300">
        <f t="shared" si="240"/>
        <v>0</v>
      </c>
      <c r="H450" s="3301">
        <f t="shared" si="241"/>
        <v>0</v>
      </c>
      <c r="I450" s="3308"/>
      <c r="J450" s="3308"/>
      <c r="K450" s="3308"/>
      <c r="L450" s="3308"/>
      <c r="M450" s="3308"/>
      <c r="N450" s="3308"/>
      <c r="O450" s="3308"/>
      <c r="P450" s="3308"/>
      <c r="Q450" s="3308"/>
      <c r="R450" s="3308"/>
      <c r="S450" s="3308"/>
      <c r="T450" s="3308"/>
      <c r="U450" s="3308"/>
      <c r="V450" s="3308"/>
      <c r="W450" s="3308"/>
      <c r="X450" s="3308"/>
      <c r="Y450" s="3308"/>
      <c r="Z450" s="3308"/>
      <c r="AA450" s="3308"/>
      <c r="AB450" s="3308"/>
      <c r="AC450" s="3298">
        <f t="shared" si="242"/>
        <v>0</v>
      </c>
      <c r="AD450" s="3318"/>
      <c r="AE450" s="3318"/>
      <c r="AF450" s="3318"/>
      <c r="AG450" s="3318"/>
      <c r="AH450" s="3318"/>
      <c r="AI450" s="3318"/>
      <c r="AJ450" s="3318"/>
      <c r="AK450" s="3318"/>
      <c r="AL450" s="3318"/>
      <c r="AM450" s="3318"/>
      <c r="AN450" s="3318"/>
      <c r="AO450" s="3318"/>
      <c r="AP450" s="3318"/>
      <c r="AQ450" s="3318"/>
      <c r="AR450" s="3318"/>
      <c r="AS450" s="3318"/>
      <c r="AT450" s="3328"/>
      <c r="AU450" s="3329"/>
      <c r="AV450" s="963">
        <f t="shared" si="243"/>
        <v>0</v>
      </c>
      <c r="AW450" s="963">
        <f t="shared" si="244"/>
        <v>0</v>
      </c>
      <c r="AX450" s="963">
        <f t="shared" si="245"/>
        <v>0</v>
      </c>
      <c r="AY450" s="3343">
        <f t="shared" si="246"/>
        <v>0</v>
      </c>
      <c r="AZ450" s="3298">
        <f t="shared" si="247"/>
        <v>0</v>
      </c>
      <c r="BA450" s="3298">
        <f t="shared" si="248"/>
        <v>0</v>
      </c>
      <c r="BB450" s="3298">
        <f t="shared" si="249"/>
        <v>0</v>
      </c>
      <c r="BC450" s="3298">
        <f t="shared" si="250"/>
        <v>0</v>
      </c>
      <c r="BD450" s="3298">
        <f t="shared" si="251"/>
        <v>0</v>
      </c>
      <c r="BE450" s="3298">
        <f t="shared" si="252"/>
        <v>0</v>
      </c>
      <c r="BF450" s="3298">
        <f t="shared" si="253"/>
        <v>0</v>
      </c>
      <c r="BG450" s="3298">
        <f t="shared" si="254"/>
        <v>0</v>
      </c>
      <c r="BH450" s="3298">
        <f t="shared" si="255"/>
        <v>0</v>
      </c>
      <c r="BI450" s="3298">
        <f t="shared" si="256"/>
        <v>0</v>
      </c>
      <c r="BJ450" s="3298">
        <f t="shared" si="257"/>
        <v>0</v>
      </c>
      <c r="BK450" s="3298">
        <f t="shared" si="258"/>
        <v>0</v>
      </c>
      <c r="BL450" s="3298">
        <f t="shared" si="259"/>
        <v>0</v>
      </c>
      <c r="BM450" s="3298">
        <f t="shared" si="260"/>
        <v>0</v>
      </c>
      <c r="BN450" s="3298">
        <f t="shared" si="261"/>
        <v>0</v>
      </c>
      <c r="BO450" s="3298">
        <f t="shared" si="262"/>
        <v>0</v>
      </c>
      <c r="BP450" s="3298">
        <f t="shared" si="263"/>
        <v>0</v>
      </c>
      <c r="BQ450" s="3298">
        <f t="shared" si="264"/>
        <v>0</v>
      </c>
      <c r="BR450" s="3298">
        <f t="shared" si="265"/>
        <v>0</v>
      </c>
      <c r="BS450" s="3298">
        <f t="shared" si="266"/>
        <v>0</v>
      </c>
      <c r="BT450" s="3350">
        <f t="shared" si="267"/>
        <v>0</v>
      </c>
    </row>
    <row r="451" spans="1:72">
      <c r="A451" s="1407"/>
      <c r="B451" s="3296"/>
      <c r="C451" s="3296"/>
      <c r="D451" s="3297"/>
      <c r="E451" s="3298">
        <f t="shared" si="239"/>
        <v>0</v>
      </c>
      <c r="F451" s="3299"/>
      <c r="G451" s="3300">
        <f t="shared" si="240"/>
        <v>0</v>
      </c>
      <c r="H451" s="3301">
        <f t="shared" si="241"/>
        <v>0</v>
      </c>
      <c r="I451" s="3308"/>
      <c r="J451" s="3308"/>
      <c r="K451" s="3308"/>
      <c r="L451" s="3308"/>
      <c r="M451" s="3308"/>
      <c r="N451" s="3308"/>
      <c r="O451" s="3308"/>
      <c r="P451" s="3308"/>
      <c r="Q451" s="3308"/>
      <c r="R451" s="3308"/>
      <c r="S451" s="3308"/>
      <c r="T451" s="3308"/>
      <c r="U451" s="3308"/>
      <c r="V451" s="3308"/>
      <c r="W451" s="3308"/>
      <c r="X451" s="3308"/>
      <c r="Y451" s="3308"/>
      <c r="Z451" s="3308"/>
      <c r="AA451" s="3308"/>
      <c r="AB451" s="3308"/>
      <c r="AC451" s="3298">
        <f t="shared" si="242"/>
        <v>0</v>
      </c>
      <c r="AD451" s="3318"/>
      <c r="AE451" s="3318"/>
      <c r="AF451" s="3318"/>
      <c r="AG451" s="3318"/>
      <c r="AH451" s="3318"/>
      <c r="AI451" s="3318"/>
      <c r="AJ451" s="3318"/>
      <c r="AK451" s="3318"/>
      <c r="AL451" s="3318"/>
      <c r="AM451" s="3318"/>
      <c r="AN451" s="3318"/>
      <c r="AO451" s="3318"/>
      <c r="AP451" s="3318"/>
      <c r="AQ451" s="3318"/>
      <c r="AR451" s="3318"/>
      <c r="AS451" s="3318"/>
      <c r="AT451" s="3328"/>
      <c r="AU451" s="3329"/>
      <c r="AV451" s="963">
        <f t="shared" si="243"/>
        <v>0</v>
      </c>
      <c r="AW451" s="963">
        <f t="shared" si="244"/>
        <v>0</v>
      </c>
      <c r="AX451" s="963">
        <f t="shared" si="245"/>
        <v>0</v>
      </c>
      <c r="AY451" s="3343">
        <f t="shared" si="246"/>
        <v>0</v>
      </c>
      <c r="AZ451" s="3298">
        <f t="shared" si="247"/>
        <v>0</v>
      </c>
      <c r="BA451" s="3298">
        <f t="shared" si="248"/>
        <v>0</v>
      </c>
      <c r="BB451" s="3298">
        <f t="shared" si="249"/>
        <v>0</v>
      </c>
      <c r="BC451" s="3298">
        <f t="shared" si="250"/>
        <v>0</v>
      </c>
      <c r="BD451" s="3298">
        <f t="shared" si="251"/>
        <v>0</v>
      </c>
      <c r="BE451" s="3298">
        <f t="shared" si="252"/>
        <v>0</v>
      </c>
      <c r="BF451" s="3298">
        <f t="shared" si="253"/>
        <v>0</v>
      </c>
      <c r="BG451" s="3298">
        <f t="shared" si="254"/>
        <v>0</v>
      </c>
      <c r="BH451" s="3298">
        <f t="shared" si="255"/>
        <v>0</v>
      </c>
      <c r="BI451" s="3298">
        <f t="shared" si="256"/>
        <v>0</v>
      </c>
      <c r="BJ451" s="3298">
        <f t="shared" si="257"/>
        <v>0</v>
      </c>
      <c r="BK451" s="3298">
        <f t="shared" si="258"/>
        <v>0</v>
      </c>
      <c r="BL451" s="3298">
        <f t="shared" si="259"/>
        <v>0</v>
      </c>
      <c r="BM451" s="3298">
        <f t="shared" si="260"/>
        <v>0</v>
      </c>
      <c r="BN451" s="3298">
        <f t="shared" si="261"/>
        <v>0</v>
      </c>
      <c r="BO451" s="3298">
        <f t="shared" si="262"/>
        <v>0</v>
      </c>
      <c r="BP451" s="3298">
        <f t="shared" si="263"/>
        <v>0</v>
      </c>
      <c r="BQ451" s="3298">
        <f t="shared" si="264"/>
        <v>0</v>
      </c>
      <c r="BR451" s="3298">
        <f t="shared" si="265"/>
        <v>0</v>
      </c>
      <c r="BS451" s="3298">
        <f t="shared" si="266"/>
        <v>0</v>
      </c>
      <c r="BT451" s="3350">
        <f t="shared" si="267"/>
        <v>0</v>
      </c>
    </row>
    <row r="452" spans="1:72">
      <c r="A452" s="1407"/>
      <c r="B452" s="3296"/>
      <c r="C452" s="3296"/>
      <c r="D452" s="3297"/>
      <c r="E452" s="3298">
        <f t="shared" si="239"/>
        <v>0</v>
      </c>
      <c r="F452" s="3299"/>
      <c r="G452" s="3300">
        <f t="shared" si="240"/>
        <v>0</v>
      </c>
      <c r="H452" s="3301">
        <f t="shared" si="241"/>
        <v>0</v>
      </c>
      <c r="I452" s="3308"/>
      <c r="J452" s="3308"/>
      <c r="K452" s="3308"/>
      <c r="L452" s="3308"/>
      <c r="M452" s="3308"/>
      <c r="N452" s="3308"/>
      <c r="O452" s="3308"/>
      <c r="P452" s="3308"/>
      <c r="Q452" s="3308"/>
      <c r="R452" s="3308"/>
      <c r="S452" s="3308"/>
      <c r="T452" s="3308"/>
      <c r="U452" s="3308"/>
      <c r="V452" s="3308"/>
      <c r="W452" s="3308"/>
      <c r="X452" s="3308"/>
      <c r="Y452" s="3308"/>
      <c r="Z452" s="3308"/>
      <c r="AA452" s="3308"/>
      <c r="AB452" s="3308"/>
      <c r="AC452" s="3298">
        <f t="shared" si="242"/>
        <v>0</v>
      </c>
      <c r="AD452" s="3318"/>
      <c r="AE452" s="3318"/>
      <c r="AF452" s="3318"/>
      <c r="AG452" s="3318"/>
      <c r="AH452" s="3318"/>
      <c r="AI452" s="3318"/>
      <c r="AJ452" s="3318"/>
      <c r="AK452" s="3318"/>
      <c r="AL452" s="3318"/>
      <c r="AM452" s="3318"/>
      <c r="AN452" s="3318"/>
      <c r="AO452" s="3318"/>
      <c r="AP452" s="3318"/>
      <c r="AQ452" s="3318"/>
      <c r="AR452" s="3318"/>
      <c r="AS452" s="3318"/>
      <c r="AT452" s="3328"/>
      <c r="AU452" s="3329"/>
      <c r="AV452" s="963">
        <f t="shared" si="243"/>
        <v>0</v>
      </c>
      <c r="AW452" s="963">
        <f t="shared" si="244"/>
        <v>0</v>
      </c>
      <c r="AX452" s="963">
        <f t="shared" si="245"/>
        <v>0</v>
      </c>
      <c r="AY452" s="3343">
        <f t="shared" si="246"/>
        <v>0</v>
      </c>
      <c r="AZ452" s="3298">
        <f t="shared" si="247"/>
        <v>0</v>
      </c>
      <c r="BA452" s="3298">
        <f t="shared" si="248"/>
        <v>0</v>
      </c>
      <c r="BB452" s="3298">
        <f t="shared" si="249"/>
        <v>0</v>
      </c>
      <c r="BC452" s="3298">
        <f t="shared" si="250"/>
        <v>0</v>
      </c>
      <c r="BD452" s="3298">
        <f t="shared" si="251"/>
        <v>0</v>
      </c>
      <c r="BE452" s="3298">
        <f t="shared" si="252"/>
        <v>0</v>
      </c>
      <c r="BF452" s="3298">
        <f t="shared" si="253"/>
        <v>0</v>
      </c>
      <c r="BG452" s="3298">
        <f t="shared" si="254"/>
        <v>0</v>
      </c>
      <c r="BH452" s="3298">
        <f t="shared" si="255"/>
        <v>0</v>
      </c>
      <c r="BI452" s="3298">
        <f t="shared" si="256"/>
        <v>0</v>
      </c>
      <c r="BJ452" s="3298">
        <f t="shared" si="257"/>
        <v>0</v>
      </c>
      <c r="BK452" s="3298">
        <f t="shared" si="258"/>
        <v>0</v>
      </c>
      <c r="BL452" s="3298">
        <f t="shared" si="259"/>
        <v>0</v>
      </c>
      <c r="BM452" s="3298">
        <f t="shared" si="260"/>
        <v>0</v>
      </c>
      <c r="BN452" s="3298">
        <f t="shared" si="261"/>
        <v>0</v>
      </c>
      <c r="BO452" s="3298">
        <f t="shared" si="262"/>
        <v>0</v>
      </c>
      <c r="BP452" s="3298">
        <f t="shared" si="263"/>
        <v>0</v>
      </c>
      <c r="BQ452" s="3298">
        <f t="shared" si="264"/>
        <v>0</v>
      </c>
      <c r="BR452" s="3298">
        <f t="shared" si="265"/>
        <v>0</v>
      </c>
      <c r="BS452" s="3298">
        <f t="shared" si="266"/>
        <v>0</v>
      </c>
      <c r="BT452" s="3350">
        <f t="shared" si="267"/>
        <v>0</v>
      </c>
    </row>
    <row r="453" spans="1:72">
      <c r="A453" s="1407"/>
      <c r="B453" s="3296"/>
      <c r="C453" s="3296"/>
      <c r="D453" s="3297"/>
      <c r="E453" s="3298">
        <f t="shared" si="239"/>
        <v>0</v>
      </c>
      <c r="F453" s="3299"/>
      <c r="G453" s="3300">
        <f t="shared" si="240"/>
        <v>0</v>
      </c>
      <c r="H453" s="3301">
        <f t="shared" si="241"/>
        <v>0</v>
      </c>
      <c r="I453" s="3308"/>
      <c r="J453" s="3308"/>
      <c r="K453" s="3308"/>
      <c r="L453" s="3308"/>
      <c r="M453" s="3308"/>
      <c r="N453" s="3308"/>
      <c r="O453" s="3308"/>
      <c r="P453" s="3308"/>
      <c r="Q453" s="3308"/>
      <c r="R453" s="3308"/>
      <c r="S453" s="3308"/>
      <c r="T453" s="3308"/>
      <c r="U453" s="3308"/>
      <c r="V453" s="3308"/>
      <c r="W453" s="3308"/>
      <c r="X453" s="3308"/>
      <c r="Y453" s="3308"/>
      <c r="Z453" s="3308"/>
      <c r="AA453" s="3308"/>
      <c r="AB453" s="3308"/>
      <c r="AC453" s="3298">
        <f t="shared" si="242"/>
        <v>0</v>
      </c>
      <c r="AD453" s="3318"/>
      <c r="AE453" s="3318"/>
      <c r="AF453" s="3318"/>
      <c r="AG453" s="3318"/>
      <c r="AH453" s="3318"/>
      <c r="AI453" s="3318"/>
      <c r="AJ453" s="3318"/>
      <c r="AK453" s="3318"/>
      <c r="AL453" s="3318"/>
      <c r="AM453" s="3318"/>
      <c r="AN453" s="3318"/>
      <c r="AO453" s="3318"/>
      <c r="AP453" s="3318"/>
      <c r="AQ453" s="3318"/>
      <c r="AR453" s="3318"/>
      <c r="AS453" s="3318"/>
      <c r="AT453" s="3328"/>
      <c r="AU453" s="3329"/>
      <c r="AV453" s="963">
        <f t="shared" si="243"/>
        <v>0</v>
      </c>
      <c r="AW453" s="963">
        <f t="shared" si="244"/>
        <v>0</v>
      </c>
      <c r="AX453" s="963">
        <f t="shared" si="245"/>
        <v>0</v>
      </c>
      <c r="AY453" s="3343">
        <f t="shared" si="246"/>
        <v>0</v>
      </c>
      <c r="AZ453" s="3298">
        <f t="shared" si="247"/>
        <v>0</v>
      </c>
      <c r="BA453" s="3298">
        <f t="shared" si="248"/>
        <v>0</v>
      </c>
      <c r="BB453" s="3298">
        <f t="shared" si="249"/>
        <v>0</v>
      </c>
      <c r="BC453" s="3298">
        <f t="shared" si="250"/>
        <v>0</v>
      </c>
      <c r="BD453" s="3298">
        <f t="shared" si="251"/>
        <v>0</v>
      </c>
      <c r="BE453" s="3298">
        <f t="shared" si="252"/>
        <v>0</v>
      </c>
      <c r="BF453" s="3298">
        <f t="shared" si="253"/>
        <v>0</v>
      </c>
      <c r="BG453" s="3298">
        <f t="shared" si="254"/>
        <v>0</v>
      </c>
      <c r="BH453" s="3298">
        <f t="shared" si="255"/>
        <v>0</v>
      </c>
      <c r="BI453" s="3298">
        <f t="shared" si="256"/>
        <v>0</v>
      </c>
      <c r="BJ453" s="3298">
        <f t="shared" si="257"/>
        <v>0</v>
      </c>
      <c r="BK453" s="3298">
        <f t="shared" si="258"/>
        <v>0</v>
      </c>
      <c r="BL453" s="3298">
        <f t="shared" si="259"/>
        <v>0</v>
      </c>
      <c r="BM453" s="3298">
        <f t="shared" si="260"/>
        <v>0</v>
      </c>
      <c r="BN453" s="3298">
        <f t="shared" si="261"/>
        <v>0</v>
      </c>
      <c r="BO453" s="3298">
        <f t="shared" si="262"/>
        <v>0</v>
      </c>
      <c r="BP453" s="3298">
        <f t="shared" si="263"/>
        <v>0</v>
      </c>
      <c r="BQ453" s="3298">
        <f t="shared" si="264"/>
        <v>0</v>
      </c>
      <c r="BR453" s="3298">
        <f t="shared" si="265"/>
        <v>0</v>
      </c>
      <c r="BS453" s="3298">
        <f t="shared" si="266"/>
        <v>0</v>
      </c>
      <c r="BT453" s="3350">
        <f t="shared" si="267"/>
        <v>0</v>
      </c>
    </row>
    <row r="454" spans="1:72">
      <c r="A454" s="1407"/>
      <c r="B454" s="3296"/>
      <c r="C454" s="3296"/>
      <c r="D454" s="3297"/>
      <c r="E454" s="3298">
        <f t="shared" si="239"/>
        <v>0</v>
      </c>
      <c r="F454" s="3299"/>
      <c r="G454" s="3300">
        <f t="shared" si="240"/>
        <v>0</v>
      </c>
      <c r="H454" s="3301">
        <f t="shared" si="241"/>
        <v>0</v>
      </c>
      <c r="I454" s="3308"/>
      <c r="J454" s="3308"/>
      <c r="K454" s="3308"/>
      <c r="L454" s="3308"/>
      <c r="M454" s="3308"/>
      <c r="N454" s="3308"/>
      <c r="O454" s="3308"/>
      <c r="P454" s="3308"/>
      <c r="Q454" s="3308"/>
      <c r="R454" s="3308"/>
      <c r="S454" s="3308"/>
      <c r="T454" s="3308"/>
      <c r="U454" s="3308"/>
      <c r="V454" s="3308"/>
      <c r="W454" s="3308"/>
      <c r="X454" s="3308"/>
      <c r="Y454" s="3308"/>
      <c r="Z454" s="3308"/>
      <c r="AA454" s="3308"/>
      <c r="AB454" s="3308"/>
      <c r="AC454" s="3298">
        <f t="shared" si="242"/>
        <v>0</v>
      </c>
      <c r="AD454" s="3318"/>
      <c r="AE454" s="3318"/>
      <c r="AF454" s="3318"/>
      <c r="AG454" s="3318"/>
      <c r="AH454" s="3318"/>
      <c r="AI454" s="3318"/>
      <c r="AJ454" s="3318"/>
      <c r="AK454" s="3318"/>
      <c r="AL454" s="3318"/>
      <c r="AM454" s="3318"/>
      <c r="AN454" s="3318"/>
      <c r="AO454" s="3318"/>
      <c r="AP454" s="3318"/>
      <c r="AQ454" s="3318"/>
      <c r="AR454" s="3318"/>
      <c r="AS454" s="3318"/>
      <c r="AT454" s="3328"/>
      <c r="AU454" s="3329"/>
      <c r="AV454" s="963">
        <f t="shared" si="243"/>
        <v>0</v>
      </c>
      <c r="AW454" s="963">
        <f t="shared" si="244"/>
        <v>0</v>
      </c>
      <c r="AX454" s="963">
        <f t="shared" si="245"/>
        <v>0</v>
      </c>
      <c r="AY454" s="3343">
        <f t="shared" si="246"/>
        <v>0</v>
      </c>
      <c r="AZ454" s="3298">
        <f t="shared" si="247"/>
        <v>0</v>
      </c>
      <c r="BA454" s="3298">
        <f t="shared" si="248"/>
        <v>0</v>
      </c>
      <c r="BB454" s="3298">
        <f t="shared" si="249"/>
        <v>0</v>
      </c>
      <c r="BC454" s="3298">
        <f t="shared" si="250"/>
        <v>0</v>
      </c>
      <c r="BD454" s="3298">
        <f t="shared" si="251"/>
        <v>0</v>
      </c>
      <c r="BE454" s="3298">
        <f t="shared" si="252"/>
        <v>0</v>
      </c>
      <c r="BF454" s="3298">
        <f t="shared" si="253"/>
        <v>0</v>
      </c>
      <c r="BG454" s="3298">
        <f t="shared" si="254"/>
        <v>0</v>
      </c>
      <c r="BH454" s="3298">
        <f t="shared" si="255"/>
        <v>0</v>
      </c>
      <c r="BI454" s="3298">
        <f t="shared" si="256"/>
        <v>0</v>
      </c>
      <c r="BJ454" s="3298">
        <f t="shared" si="257"/>
        <v>0</v>
      </c>
      <c r="BK454" s="3298">
        <f t="shared" si="258"/>
        <v>0</v>
      </c>
      <c r="BL454" s="3298">
        <f t="shared" si="259"/>
        <v>0</v>
      </c>
      <c r="BM454" s="3298">
        <f t="shared" si="260"/>
        <v>0</v>
      </c>
      <c r="BN454" s="3298">
        <f t="shared" si="261"/>
        <v>0</v>
      </c>
      <c r="BO454" s="3298">
        <f t="shared" si="262"/>
        <v>0</v>
      </c>
      <c r="BP454" s="3298">
        <f t="shared" si="263"/>
        <v>0</v>
      </c>
      <c r="BQ454" s="3298">
        <f t="shared" si="264"/>
        <v>0</v>
      </c>
      <c r="BR454" s="3298">
        <f t="shared" si="265"/>
        <v>0</v>
      </c>
      <c r="BS454" s="3298">
        <f t="shared" si="266"/>
        <v>0</v>
      </c>
      <c r="BT454" s="3350">
        <f t="shared" si="267"/>
        <v>0</v>
      </c>
    </row>
    <row r="455" spans="1:72">
      <c r="A455" s="1407"/>
      <c r="B455" s="3296"/>
      <c r="C455" s="3296"/>
      <c r="D455" s="3297"/>
      <c r="E455" s="3298">
        <f t="shared" si="239"/>
        <v>0</v>
      </c>
      <c r="F455" s="3299"/>
      <c r="G455" s="3300">
        <f t="shared" si="240"/>
        <v>0</v>
      </c>
      <c r="H455" s="3301">
        <f t="shared" si="241"/>
        <v>0</v>
      </c>
      <c r="I455" s="3308"/>
      <c r="J455" s="3308"/>
      <c r="K455" s="3308"/>
      <c r="L455" s="3308"/>
      <c r="M455" s="3308"/>
      <c r="N455" s="3308"/>
      <c r="O455" s="3308"/>
      <c r="P455" s="3308"/>
      <c r="Q455" s="3308"/>
      <c r="R455" s="3308"/>
      <c r="S455" s="3308"/>
      <c r="T455" s="3308"/>
      <c r="U455" s="3308"/>
      <c r="V455" s="3308"/>
      <c r="W455" s="3308"/>
      <c r="X455" s="3308"/>
      <c r="Y455" s="3308"/>
      <c r="Z455" s="3308"/>
      <c r="AA455" s="3308"/>
      <c r="AB455" s="3308"/>
      <c r="AC455" s="3298">
        <f t="shared" si="242"/>
        <v>0</v>
      </c>
      <c r="AD455" s="3318"/>
      <c r="AE455" s="3318"/>
      <c r="AF455" s="3318"/>
      <c r="AG455" s="3318"/>
      <c r="AH455" s="3318"/>
      <c r="AI455" s="3318"/>
      <c r="AJ455" s="3318"/>
      <c r="AK455" s="3318"/>
      <c r="AL455" s="3318"/>
      <c r="AM455" s="3318"/>
      <c r="AN455" s="3318"/>
      <c r="AO455" s="3318"/>
      <c r="AP455" s="3318"/>
      <c r="AQ455" s="3318"/>
      <c r="AR455" s="3318"/>
      <c r="AS455" s="3318"/>
      <c r="AT455" s="3328"/>
      <c r="AU455" s="3329"/>
      <c r="AV455" s="963">
        <f t="shared" si="243"/>
        <v>0</v>
      </c>
      <c r="AW455" s="963">
        <f t="shared" si="244"/>
        <v>0</v>
      </c>
      <c r="AX455" s="963">
        <f t="shared" si="245"/>
        <v>0</v>
      </c>
      <c r="AY455" s="3343">
        <f t="shared" si="246"/>
        <v>0</v>
      </c>
      <c r="AZ455" s="3298">
        <f t="shared" si="247"/>
        <v>0</v>
      </c>
      <c r="BA455" s="3298">
        <f t="shared" si="248"/>
        <v>0</v>
      </c>
      <c r="BB455" s="3298">
        <f t="shared" si="249"/>
        <v>0</v>
      </c>
      <c r="BC455" s="3298">
        <f t="shared" si="250"/>
        <v>0</v>
      </c>
      <c r="BD455" s="3298">
        <f t="shared" si="251"/>
        <v>0</v>
      </c>
      <c r="BE455" s="3298">
        <f t="shared" si="252"/>
        <v>0</v>
      </c>
      <c r="BF455" s="3298">
        <f t="shared" si="253"/>
        <v>0</v>
      </c>
      <c r="BG455" s="3298">
        <f t="shared" si="254"/>
        <v>0</v>
      </c>
      <c r="BH455" s="3298">
        <f t="shared" si="255"/>
        <v>0</v>
      </c>
      <c r="BI455" s="3298">
        <f t="shared" si="256"/>
        <v>0</v>
      </c>
      <c r="BJ455" s="3298">
        <f t="shared" si="257"/>
        <v>0</v>
      </c>
      <c r="BK455" s="3298">
        <f t="shared" si="258"/>
        <v>0</v>
      </c>
      <c r="BL455" s="3298">
        <f t="shared" si="259"/>
        <v>0</v>
      </c>
      <c r="BM455" s="3298">
        <f t="shared" si="260"/>
        <v>0</v>
      </c>
      <c r="BN455" s="3298">
        <f t="shared" si="261"/>
        <v>0</v>
      </c>
      <c r="BO455" s="3298">
        <f t="shared" si="262"/>
        <v>0</v>
      </c>
      <c r="BP455" s="3298">
        <f t="shared" si="263"/>
        <v>0</v>
      </c>
      <c r="BQ455" s="3298">
        <f t="shared" si="264"/>
        <v>0</v>
      </c>
      <c r="BR455" s="3298">
        <f t="shared" si="265"/>
        <v>0</v>
      </c>
      <c r="BS455" s="3298">
        <f t="shared" si="266"/>
        <v>0</v>
      </c>
      <c r="BT455" s="3350">
        <f t="shared" si="267"/>
        <v>0</v>
      </c>
    </row>
    <row r="456" spans="1:72">
      <c r="A456" s="1407"/>
      <c r="B456" s="3296"/>
      <c r="C456" s="3296"/>
      <c r="D456" s="3297"/>
      <c r="E456" s="3298">
        <f t="shared" si="239"/>
        <v>0</v>
      </c>
      <c r="F456" s="3299"/>
      <c r="G456" s="3300">
        <f t="shared" si="240"/>
        <v>0</v>
      </c>
      <c r="H456" s="3301">
        <f t="shared" si="241"/>
        <v>0</v>
      </c>
      <c r="I456" s="3308"/>
      <c r="J456" s="3308"/>
      <c r="K456" s="3308"/>
      <c r="L456" s="3308"/>
      <c r="M456" s="3308"/>
      <c r="N456" s="3308"/>
      <c r="O456" s="3308"/>
      <c r="P456" s="3308"/>
      <c r="Q456" s="3308"/>
      <c r="R456" s="3308"/>
      <c r="S456" s="3308"/>
      <c r="T456" s="3308"/>
      <c r="U456" s="3308"/>
      <c r="V456" s="3308"/>
      <c r="W456" s="3308"/>
      <c r="X456" s="3308"/>
      <c r="Y456" s="3308"/>
      <c r="Z456" s="3308"/>
      <c r="AA456" s="3308"/>
      <c r="AB456" s="3308"/>
      <c r="AC456" s="3298">
        <f t="shared" si="242"/>
        <v>0</v>
      </c>
      <c r="AD456" s="3318"/>
      <c r="AE456" s="3318"/>
      <c r="AF456" s="3318"/>
      <c r="AG456" s="3318"/>
      <c r="AH456" s="3318"/>
      <c r="AI456" s="3318"/>
      <c r="AJ456" s="3318"/>
      <c r="AK456" s="3318"/>
      <c r="AL456" s="3318"/>
      <c r="AM456" s="3318"/>
      <c r="AN456" s="3318"/>
      <c r="AO456" s="3318"/>
      <c r="AP456" s="3318"/>
      <c r="AQ456" s="3318"/>
      <c r="AR456" s="3318"/>
      <c r="AS456" s="3318"/>
      <c r="AT456" s="3328"/>
      <c r="AU456" s="3329"/>
      <c r="AV456" s="963">
        <f t="shared" si="243"/>
        <v>0</v>
      </c>
      <c r="AW456" s="963">
        <f t="shared" si="244"/>
        <v>0</v>
      </c>
      <c r="AX456" s="963">
        <f t="shared" si="245"/>
        <v>0</v>
      </c>
      <c r="AY456" s="3343">
        <f t="shared" si="246"/>
        <v>0</v>
      </c>
      <c r="AZ456" s="3298">
        <f t="shared" si="247"/>
        <v>0</v>
      </c>
      <c r="BA456" s="3298">
        <f t="shared" si="248"/>
        <v>0</v>
      </c>
      <c r="BB456" s="3298">
        <f t="shared" si="249"/>
        <v>0</v>
      </c>
      <c r="BC456" s="3298">
        <f t="shared" si="250"/>
        <v>0</v>
      </c>
      <c r="BD456" s="3298">
        <f t="shared" si="251"/>
        <v>0</v>
      </c>
      <c r="BE456" s="3298">
        <f t="shared" si="252"/>
        <v>0</v>
      </c>
      <c r="BF456" s="3298">
        <f t="shared" si="253"/>
        <v>0</v>
      </c>
      <c r="BG456" s="3298">
        <f t="shared" si="254"/>
        <v>0</v>
      </c>
      <c r="BH456" s="3298">
        <f t="shared" si="255"/>
        <v>0</v>
      </c>
      <c r="BI456" s="3298">
        <f t="shared" si="256"/>
        <v>0</v>
      </c>
      <c r="BJ456" s="3298">
        <f t="shared" si="257"/>
        <v>0</v>
      </c>
      <c r="BK456" s="3298">
        <f t="shared" si="258"/>
        <v>0</v>
      </c>
      <c r="BL456" s="3298">
        <f t="shared" si="259"/>
        <v>0</v>
      </c>
      <c r="BM456" s="3298">
        <f t="shared" si="260"/>
        <v>0</v>
      </c>
      <c r="BN456" s="3298">
        <f t="shared" si="261"/>
        <v>0</v>
      </c>
      <c r="BO456" s="3298">
        <f t="shared" si="262"/>
        <v>0</v>
      </c>
      <c r="BP456" s="3298">
        <f t="shared" si="263"/>
        <v>0</v>
      </c>
      <c r="BQ456" s="3298">
        <f t="shared" si="264"/>
        <v>0</v>
      </c>
      <c r="BR456" s="3298">
        <f t="shared" si="265"/>
        <v>0</v>
      </c>
      <c r="BS456" s="3298">
        <f t="shared" si="266"/>
        <v>0</v>
      </c>
      <c r="BT456" s="3350">
        <f t="shared" si="267"/>
        <v>0</v>
      </c>
    </row>
    <row r="457" spans="1:72">
      <c r="A457" s="1407"/>
      <c r="B457" s="3296"/>
      <c r="C457" s="3296"/>
      <c r="D457" s="3297"/>
      <c r="E457" s="3298">
        <f t="shared" si="239"/>
        <v>0</v>
      </c>
      <c r="F457" s="3299"/>
      <c r="G457" s="3300">
        <f t="shared" si="240"/>
        <v>0</v>
      </c>
      <c r="H457" s="3301">
        <f t="shared" si="241"/>
        <v>0</v>
      </c>
      <c r="I457" s="3308"/>
      <c r="J457" s="3308"/>
      <c r="K457" s="3308"/>
      <c r="L457" s="3308"/>
      <c r="M457" s="3308"/>
      <c r="N457" s="3308"/>
      <c r="O457" s="3308"/>
      <c r="P457" s="3308"/>
      <c r="Q457" s="3308"/>
      <c r="R457" s="3308"/>
      <c r="S457" s="3308"/>
      <c r="T457" s="3308"/>
      <c r="U457" s="3308"/>
      <c r="V457" s="3308"/>
      <c r="W457" s="3308"/>
      <c r="X457" s="3308"/>
      <c r="Y457" s="3308"/>
      <c r="Z457" s="3308"/>
      <c r="AA457" s="3308"/>
      <c r="AB457" s="3308"/>
      <c r="AC457" s="3298">
        <f t="shared" si="242"/>
        <v>0</v>
      </c>
      <c r="AD457" s="3318"/>
      <c r="AE457" s="3318"/>
      <c r="AF457" s="3318"/>
      <c r="AG457" s="3318"/>
      <c r="AH457" s="3318"/>
      <c r="AI457" s="3318"/>
      <c r="AJ457" s="3318"/>
      <c r="AK457" s="3318"/>
      <c r="AL457" s="3318"/>
      <c r="AM457" s="3318"/>
      <c r="AN457" s="3318"/>
      <c r="AO457" s="3318"/>
      <c r="AP457" s="3318"/>
      <c r="AQ457" s="3318"/>
      <c r="AR457" s="3318"/>
      <c r="AS457" s="3318"/>
      <c r="AT457" s="3328"/>
      <c r="AU457" s="3329"/>
      <c r="AV457" s="963">
        <f t="shared" si="243"/>
        <v>0</v>
      </c>
      <c r="AW457" s="963">
        <f t="shared" si="244"/>
        <v>0</v>
      </c>
      <c r="AX457" s="963">
        <f t="shared" si="245"/>
        <v>0</v>
      </c>
      <c r="AY457" s="3343">
        <f t="shared" si="246"/>
        <v>0</v>
      </c>
      <c r="AZ457" s="3298">
        <f t="shared" si="247"/>
        <v>0</v>
      </c>
      <c r="BA457" s="3298">
        <f t="shared" si="248"/>
        <v>0</v>
      </c>
      <c r="BB457" s="3298">
        <f t="shared" si="249"/>
        <v>0</v>
      </c>
      <c r="BC457" s="3298">
        <f t="shared" si="250"/>
        <v>0</v>
      </c>
      <c r="BD457" s="3298">
        <f t="shared" si="251"/>
        <v>0</v>
      </c>
      <c r="BE457" s="3298">
        <f t="shared" si="252"/>
        <v>0</v>
      </c>
      <c r="BF457" s="3298">
        <f t="shared" si="253"/>
        <v>0</v>
      </c>
      <c r="BG457" s="3298">
        <f t="shared" si="254"/>
        <v>0</v>
      </c>
      <c r="BH457" s="3298">
        <f t="shared" si="255"/>
        <v>0</v>
      </c>
      <c r="BI457" s="3298">
        <f t="shared" si="256"/>
        <v>0</v>
      </c>
      <c r="BJ457" s="3298">
        <f t="shared" si="257"/>
        <v>0</v>
      </c>
      <c r="BK457" s="3298">
        <f t="shared" si="258"/>
        <v>0</v>
      </c>
      <c r="BL457" s="3298">
        <f t="shared" si="259"/>
        <v>0</v>
      </c>
      <c r="BM457" s="3298">
        <f t="shared" si="260"/>
        <v>0</v>
      </c>
      <c r="BN457" s="3298">
        <f t="shared" si="261"/>
        <v>0</v>
      </c>
      <c r="BO457" s="3298">
        <f t="shared" si="262"/>
        <v>0</v>
      </c>
      <c r="BP457" s="3298">
        <f t="shared" si="263"/>
        <v>0</v>
      </c>
      <c r="BQ457" s="3298">
        <f t="shared" si="264"/>
        <v>0</v>
      </c>
      <c r="BR457" s="3298">
        <f t="shared" si="265"/>
        <v>0</v>
      </c>
      <c r="BS457" s="3298">
        <f t="shared" si="266"/>
        <v>0</v>
      </c>
      <c r="BT457" s="3350">
        <f t="shared" si="267"/>
        <v>0</v>
      </c>
    </row>
    <row r="458" spans="1:72">
      <c r="A458" s="1407"/>
      <c r="B458" s="3296"/>
      <c r="C458" s="3296"/>
      <c r="D458" s="3297"/>
      <c r="E458" s="3298">
        <f t="shared" si="239"/>
        <v>0</v>
      </c>
      <c r="F458" s="3299"/>
      <c r="G458" s="3300">
        <f t="shared" si="240"/>
        <v>0</v>
      </c>
      <c r="H458" s="3301">
        <f t="shared" si="241"/>
        <v>0</v>
      </c>
      <c r="I458" s="3308"/>
      <c r="J458" s="3308"/>
      <c r="K458" s="3308"/>
      <c r="L458" s="3308"/>
      <c r="M458" s="3308"/>
      <c r="N458" s="3308"/>
      <c r="O458" s="3308"/>
      <c r="P458" s="3308"/>
      <c r="Q458" s="3308"/>
      <c r="R458" s="3308"/>
      <c r="S458" s="3308"/>
      <c r="T458" s="3308"/>
      <c r="U458" s="3308"/>
      <c r="V458" s="3308"/>
      <c r="W458" s="3308"/>
      <c r="X458" s="3308"/>
      <c r="Y458" s="3308"/>
      <c r="Z458" s="3308"/>
      <c r="AA458" s="3308"/>
      <c r="AB458" s="3308"/>
      <c r="AC458" s="3298">
        <f t="shared" si="242"/>
        <v>0</v>
      </c>
      <c r="AD458" s="3318"/>
      <c r="AE458" s="3318"/>
      <c r="AF458" s="3318"/>
      <c r="AG458" s="3318"/>
      <c r="AH458" s="3318"/>
      <c r="AI458" s="3318"/>
      <c r="AJ458" s="3318"/>
      <c r="AK458" s="3318"/>
      <c r="AL458" s="3318"/>
      <c r="AM458" s="3318"/>
      <c r="AN458" s="3318"/>
      <c r="AO458" s="3318"/>
      <c r="AP458" s="3318"/>
      <c r="AQ458" s="3318"/>
      <c r="AR458" s="3318"/>
      <c r="AS458" s="3318"/>
      <c r="AT458" s="3328"/>
      <c r="AU458" s="3329"/>
      <c r="AV458" s="963">
        <f t="shared" si="243"/>
        <v>0</v>
      </c>
      <c r="AW458" s="963">
        <f t="shared" si="244"/>
        <v>0</v>
      </c>
      <c r="AX458" s="963">
        <f t="shared" si="245"/>
        <v>0</v>
      </c>
      <c r="AY458" s="3343">
        <f t="shared" si="246"/>
        <v>0</v>
      </c>
      <c r="AZ458" s="3298">
        <f t="shared" si="247"/>
        <v>0</v>
      </c>
      <c r="BA458" s="3298">
        <f t="shared" si="248"/>
        <v>0</v>
      </c>
      <c r="BB458" s="3298">
        <f t="shared" si="249"/>
        <v>0</v>
      </c>
      <c r="BC458" s="3298">
        <f t="shared" si="250"/>
        <v>0</v>
      </c>
      <c r="BD458" s="3298">
        <f t="shared" si="251"/>
        <v>0</v>
      </c>
      <c r="BE458" s="3298">
        <f t="shared" si="252"/>
        <v>0</v>
      </c>
      <c r="BF458" s="3298">
        <f t="shared" si="253"/>
        <v>0</v>
      </c>
      <c r="BG458" s="3298">
        <f t="shared" si="254"/>
        <v>0</v>
      </c>
      <c r="BH458" s="3298">
        <f t="shared" si="255"/>
        <v>0</v>
      </c>
      <c r="BI458" s="3298">
        <f t="shared" si="256"/>
        <v>0</v>
      </c>
      <c r="BJ458" s="3298">
        <f t="shared" si="257"/>
        <v>0</v>
      </c>
      <c r="BK458" s="3298">
        <f t="shared" si="258"/>
        <v>0</v>
      </c>
      <c r="BL458" s="3298">
        <f t="shared" si="259"/>
        <v>0</v>
      </c>
      <c r="BM458" s="3298">
        <f t="shared" si="260"/>
        <v>0</v>
      </c>
      <c r="BN458" s="3298">
        <f t="shared" si="261"/>
        <v>0</v>
      </c>
      <c r="BO458" s="3298">
        <f t="shared" si="262"/>
        <v>0</v>
      </c>
      <c r="BP458" s="3298">
        <f t="shared" si="263"/>
        <v>0</v>
      </c>
      <c r="BQ458" s="3298">
        <f t="shared" si="264"/>
        <v>0</v>
      </c>
      <c r="BR458" s="3298">
        <f t="shared" si="265"/>
        <v>0</v>
      </c>
      <c r="BS458" s="3298">
        <f t="shared" si="266"/>
        <v>0</v>
      </c>
      <c r="BT458" s="3350">
        <f t="shared" si="267"/>
        <v>0</v>
      </c>
    </row>
    <row r="459" spans="1:72">
      <c r="A459" s="1407"/>
      <c r="B459" s="3296"/>
      <c r="C459" s="3296"/>
      <c r="D459" s="3297"/>
      <c r="E459" s="3298">
        <f t="shared" si="239"/>
        <v>0</v>
      </c>
      <c r="F459" s="3299"/>
      <c r="G459" s="3300">
        <f t="shared" si="240"/>
        <v>0</v>
      </c>
      <c r="H459" s="3301">
        <f t="shared" si="241"/>
        <v>0</v>
      </c>
      <c r="I459" s="3308"/>
      <c r="J459" s="3308"/>
      <c r="K459" s="3308"/>
      <c r="L459" s="3308"/>
      <c r="M459" s="3308"/>
      <c r="N459" s="3308"/>
      <c r="O459" s="3308"/>
      <c r="P459" s="3308"/>
      <c r="Q459" s="3308"/>
      <c r="R459" s="3308"/>
      <c r="S459" s="3308"/>
      <c r="T459" s="3308"/>
      <c r="U459" s="3308"/>
      <c r="V459" s="3308"/>
      <c r="W459" s="3308"/>
      <c r="X459" s="3308"/>
      <c r="Y459" s="3308"/>
      <c r="Z459" s="3308"/>
      <c r="AA459" s="3308"/>
      <c r="AB459" s="3308"/>
      <c r="AC459" s="3298">
        <f t="shared" si="242"/>
        <v>0</v>
      </c>
      <c r="AD459" s="3318"/>
      <c r="AE459" s="3318"/>
      <c r="AF459" s="3318"/>
      <c r="AG459" s="3318"/>
      <c r="AH459" s="3318"/>
      <c r="AI459" s="3318"/>
      <c r="AJ459" s="3318"/>
      <c r="AK459" s="3318"/>
      <c r="AL459" s="3318"/>
      <c r="AM459" s="3318"/>
      <c r="AN459" s="3318"/>
      <c r="AO459" s="3318"/>
      <c r="AP459" s="3318"/>
      <c r="AQ459" s="3318"/>
      <c r="AR459" s="3318"/>
      <c r="AS459" s="3318"/>
      <c r="AT459" s="3328"/>
      <c r="AU459" s="3329"/>
      <c r="AV459" s="963">
        <f t="shared" si="243"/>
        <v>0</v>
      </c>
      <c r="AW459" s="963">
        <f t="shared" si="244"/>
        <v>0</v>
      </c>
      <c r="AX459" s="963">
        <f t="shared" si="245"/>
        <v>0</v>
      </c>
      <c r="AY459" s="3343">
        <f t="shared" si="246"/>
        <v>0</v>
      </c>
      <c r="AZ459" s="3298">
        <f t="shared" si="247"/>
        <v>0</v>
      </c>
      <c r="BA459" s="3298">
        <f t="shared" si="248"/>
        <v>0</v>
      </c>
      <c r="BB459" s="3298">
        <f t="shared" si="249"/>
        <v>0</v>
      </c>
      <c r="BC459" s="3298">
        <f t="shared" si="250"/>
        <v>0</v>
      </c>
      <c r="BD459" s="3298">
        <f t="shared" si="251"/>
        <v>0</v>
      </c>
      <c r="BE459" s="3298">
        <f t="shared" si="252"/>
        <v>0</v>
      </c>
      <c r="BF459" s="3298">
        <f t="shared" si="253"/>
        <v>0</v>
      </c>
      <c r="BG459" s="3298">
        <f t="shared" si="254"/>
        <v>0</v>
      </c>
      <c r="BH459" s="3298">
        <f t="shared" si="255"/>
        <v>0</v>
      </c>
      <c r="BI459" s="3298">
        <f t="shared" si="256"/>
        <v>0</v>
      </c>
      <c r="BJ459" s="3298">
        <f t="shared" si="257"/>
        <v>0</v>
      </c>
      <c r="BK459" s="3298">
        <f t="shared" si="258"/>
        <v>0</v>
      </c>
      <c r="BL459" s="3298">
        <f t="shared" si="259"/>
        <v>0</v>
      </c>
      <c r="BM459" s="3298">
        <f t="shared" si="260"/>
        <v>0</v>
      </c>
      <c r="BN459" s="3298">
        <f t="shared" si="261"/>
        <v>0</v>
      </c>
      <c r="BO459" s="3298">
        <f t="shared" si="262"/>
        <v>0</v>
      </c>
      <c r="BP459" s="3298">
        <f t="shared" si="263"/>
        <v>0</v>
      </c>
      <c r="BQ459" s="3298">
        <f t="shared" si="264"/>
        <v>0</v>
      </c>
      <c r="BR459" s="3298">
        <f t="shared" si="265"/>
        <v>0</v>
      </c>
      <c r="BS459" s="3298">
        <f t="shared" si="266"/>
        <v>0</v>
      </c>
      <c r="BT459" s="3350">
        <f t="shared" si="267"/>
        <v>0</v>
      </c>
    </row>
    <row r="460" spans="1:72">
      <c r="A460" s="1407"/>
      <c r="B460" s="3296"/>
      <c r="C460" s="3296"/>
      <c r="D460" s="3297"/>
      <c r="E460" s="3298">
        <f t="shared" si="239"/>
        <v>0</v>
      </c>
      <c r="F460" s="3299"/>
      <c r="G460" s="3300">
        <f t="shared" si="240"/>
        <v>0</v>
      </c>
      <c r="H460" s="3301">
        <f t="shared" si="241"/>
        <v>0</v>
      </c>
      <c r="I460" s="3308"/>
      <c r="J460" s="3308"/>
      <c r="K460" s="3308"/>
      <c r="L460" s="3308"/>
      <c r="M460" s="3308"/>
      <c r="N460" s="3308"/>
      <c r="O460" s="3308"/>
      <c r="P460" s="3308"/>
      <c r="Q460" s="3308"/>
      <c r="R460" s="3308"/>
      <c r="S460" s="3308"/>
      <c r="T460" s="3308"/>
      <c r="U460" s="3308"/>
      <c r="V460" s="3308"/>
      <c r="W460" s="3308"/>
      <c r="X460" s="3308"/>
      <c r="Y460" s="3308"/>
      <c r="Z460" s="3308"/>
      <c r="AA460" s="3308"/>
      <c r="AB460" s="3308"/>
      <c r="AC460" s="3298">
        <f t="shared" si="242"/>
        <v>0</v>
      </c>
      <c r="AD460" s="3318"/>
      <c r="AE460" s="3318"/>
      <c r="AF460" s="3318"/>
      <c r="AG460" s="3318"/>
      <c r="AH460" s="3318"/>
      <c r="AI460" s="3318"/>
      <c r="AJ460" s="3318"/>
      <c r="AK460" s="3318"/>
      <c r="AL460" s="3318"/>
      <c r="AM460" s="3318"/>
      <c r="AN460" s="3318"/>
      <c r="AO460" s="3318"/>
      <c r="AP460" s="3318"/>
      <c r="AQ460" s="3318"/>
      <c r="AR460" s="3318"/>
      <c r="AS460" s="3318"/>
      <c r="AT460" s="3328"/>
      <c r="AU460" s="3329"/>
      <c r="AV460" s="963">
        <f t="shared" si="243"/>
        <v>0</v>
      </c>
      <c r="AW460" s="963">
        <f t="shared" si="244"/>
        <v>0</v>
      </c>
      <c r="AX460" s="963">
        <f t="shared" si="245"/>
        <v>0</v>
      </c>
      <c r="AY460" s="3343">
        <f t="shared" si="246"/>
        <v>0</v>
      </c>
      <c r="AZ460" s="3298">
        <f t="shared" si="247"/>
        <v>0</v>
      </c>
      <c r="BA460" s="3298">
        <f t="shared" si="248"/>
        <v>0</v>
      </c>
      <c r="BB460" s="3298">
        <f t="shared" si="249"/>
        <v>0</v>
      </c>
      <c r="BC460" s="3298">
        <f t="shared" si="250"/>
        <v>0</v>
      </c>
      <c r="BD460" s="3298">
        <f t="shared" si="251"/>
        <v>0</v>
      </c>
      <c r="BE460" s="3298">
        <f t="shared" si="252"/>
        <v>0</v>
      </c>
      <c r="BF460" s="3298">
        <f t="shared" si="253"/>
        <v>0</v>
      </c>
      <c r="BG460" s="3298">
        <f t="shared" si="254"/>
        <v>0</v>
      </c>
      <c r="BH460" s="3298">
        <f t="shared" si="255"/>
        <v>0</v>
      </c>
      <c r="BI460" s="3298">
        <f t="shared" si="256"/>
        <v>0</v>
      </c>
      <c r="BJ460" s="3298">
        <f t="shared" si="257"/>
        <v>0</v>
      </c>
      <c r="BK460" s="3298">
        <f t="shared" si="258"/>
        <v>0</v>
      </c>
      <c r="BL460" s="3298">
        <f t="shared" si="259"/>
        <v>0</v>
      </c>
      <c r="BM460" s="3298">
        <f t="shared" si="260"/>
        <v>0</v>
      </c>
      <c r="BN460" s="3298">
        <f t="shared" si="261"/>
        <v>0</v>
      </c>
      <c r="BO460" s="3298">
        <f t="shared" si="262"/>
        <v>0</v>
      </c>
      <c r="BP460" s="3298">
        <f t="shared" si="263"/>
        <v>0</v>
      </c>
      <c r="BQ460" s="3298">
        <f t="shared" si="264"/>
        <v>0</v>
      </c>
      <c r="BR460" s="3298">
        <f t="shared" si="265"/>
        <v>0</v>
      </c>
      <c r="BS460" s="3298">
        <f t="shared" si="266"/>
        <v>0</v>
      </c>
      <c r="BT460" s="3350">
        <f t="shared" si="267"/>
        <v>0</v>
      </c>
    </row>
    <row r="461" spans="1:72">
      <c r="A461" s="1407"/>
      <c r="B461" s="3296"/>
      <c r="C461" s="3296"/>
      <c r="D461" s="3297"/>
      <c r="E461" s="3298">
        <f t="shared" si="239"/>
        <v>0</v>
      </c>
      <c r="F461" s="3299"/>
      <c r="G461" s="3300">
        <f t="shared" si="240"/>
        <v>0</v>
      </c>
      <c r="H461" s="3301">
        <f t="shared" si="241"/>
        <v>0</v>
      </c>
      <c r="I461" s="3308"/>
      <c r="J461" s="3308"/>
      <c r="K461" s="3308"/>
      <c r="L461" s="3308"/>
      <c r="M461" s="3308"/>
      <c r="N461" s="3308"/>
      <c r="O461" s="3308"/>
      <c r="P461" s="3308"/>
      <c r="Q461" s="3308"/>
      <c r="R461" s="3308"/>
      <c r="S461" s="3308"/>
      <c r="T461" s="3308"/>
      <c r="U461" s="3308"/>
      <c r="V461" s="3308"/>
      <c r="W461" s="3308"/>
      <c r="X461" s="3308"/>
      <c r="Y461" s="3308"/>
      <c r="Z461" s="3308"/>
      <c r="AA461" s="3308"/>
      <c r="AB461" s="3308"/>
      <c r="AC461" s="3298">
        <f t="shared" si="242"/>
        <v>0</v>
      </c>
      <c r="AD461" s="3318"/>
      <c r="AE461" s="3318"/>
      <c r="AF461" s="3318"/>
      <c r="AG461" s="3318"/>
      <c r="AH461" s="3318"/>
      <c r="AI461" s="3318"/>
      <c r="AJ461" s="3318"/>
      <c r="AK461" s="3318"/>
      <c r="AL461" s="3318"/>
      <c r="AM461" s="3318"/>
      <c r="AN461" s="3318"/>
      <c r="AO461" s="3318"/>
      <c r="AP461" s="3318"/>
      <c r="AQ461" s="3318"/>
      <c r="AR461" s="3318"/>
      <c r="AS461" s="3318"/>
      <c r="AT461" s="3328"/>
      <c r="AU461" s="3329"/>
      <c r="AV461" s="963">
        <f t="shared" si="243"/>
        <v>0</v>
      </c>
      <c r="AW461" s="963">
        <f t="shared" si="244"/>
        <v>0</v>
      </c>
      <c r="AX461" s="963">
        <f t="shared" si="245"/>
        <v>0</v>
      </c>
      <c r="AY461" s="3343">
        <f t="shared" si="246"/>
        <v>0</v>
      </c>
      <c r="AZ461" s="3298">
        <f t="shared" si="247"/>
        <v>0</v>
      </c>
      <c r="BA461" s="3298">
        <f t="shared" si="248"/>
        <v>0</v>
      </c>
      <c r="BB461" s="3298">
        <f t="shared" si="249"/>
        <v>0</v>
      </c>
      <c r="BC461" s="3298">
        <f t="shared" si="250"/>
        <v>0</v>
      </c>
      <c r="BD461" s="3298">
        <f t="shared" si="251"/>
        <v>0</v>
      </c>
      <c r="BE461" s="3298">
        <f t="shared" si="252"/>
        <v>0</v>
      </c>
      <c r="BF461" s="3298">
        <f t="shared" si="253"/>
        <v>0</v>
      </c>
      <c r="BG461" s="3298">
        <f t="shared" si="254"/>
        <v>0</v>
      </c>
      <c r="BH461" s="3298">
        <f t="shared" si="255"/>
        <v>0</v>
      </c>
      <c r="BI461" s="3298">
        <f t="shared" si="256"/>
        <v>0</v>
      </c>
      <c r="BJ461" s="3298">
        <f t="shared" si="257"/>
        <v>0</v>
      </c>
      <c r="BK461" s="3298">
        <f t="shared" si="258"/>
        <v>0</v>
      </c>
      <c r="BL461" s="3298">
        <f t="shared" si="259"/>
        <v>0</v>
      </c>
      <c r="BM461" s="3298">
        <f t="shared" si="260"/>
        <v>0</v>
      </c>
      <c r="BN461" s="3298">
        <f t="shared" si="261"/>
        <v>0</v>
      </c>
      <c r="BO461" s="3298">
        <f t="shared" si="262"/>
        <v>0</v>
      </c>
      <c r="BP461" s="3298">
        <f t="shared" si="263"/>
        <v>0</v>
      </c>
      <c r="BQ461" s="3298">
        <f t="shared" si="264"/>
        <v>0</v>
      </c>
      <c r="BR461" s="3298">
        <f t="shared" si="265"/>
        <v>0</v>
      </c>
      <c r="BS461" s="3298">
        <f t="shared" si="266"/>
        <v>0</v>
      </c>
      <c r="BT461" s="3350">
        <f t="shared" si="267"/>
        <v>0</v>
      </c>
    </row>
    <row r="462" spans="1:72">
      <c r="A462" s="1407"/>
      <c r="B462" s="3296"/>
      <c r="C462" s="3296"/>
      <c r="D462" s="3297"/>
      <c r="E462" s="3298">
        <f t="shared" si="239"/>
        <v>0</v>
      </c>
      <c r="F462" s="3299"/>
      <c r="G462" s="3300">
        <f t="shared" si="240"/>
        <v>0</v>
      </c>
      <c r="H462" s="3301">
        <f t="shared" si="241"/>
        <v>0</v>
      </c>
      <c r="I462" s="3308"/>
      <c r="J462" s="3308"/>
      <c r="K462" s="3308"/>
      <c r="L462" s="3308"/>
      <c r="M462" s="3308"/>
      <c r="N462" s="3308"/>
      <c r="O462" s="3308"/>
      <c r="P462" s="3308"/>
      <c r="Q462" s="3308"/>
      <c r="R462" s="3308"/>
      <c r="S462" s="3308"/>
      <c r="T462" s="3308"/>
      <c r="U462" s="3308"/>
      <c r="V462" s="3308"/>
      <c r="W462" s="3308"/>
      <c r="X462" s="3308"/>
      <c r="Y462" s="3308"/>
      <c r="Z462" s="3308"/>
      <c r="AA462" s="3308"/>
      <c r="AB462" s="3308"/>
      <c r="AC462" s="3298">
        <f t="shared" si="242"/>
        <v>0</v>
      </c>
      <c r="AD462" s="3318"/>
      <c r="AE462" s="3318"/>
      <c r="AF462" s="3318"/>
      <c r="AG462" s="3318"/>
      <c r="AH462" s="3318"/>
      <c r="AI462" s="3318"/>
      <c r="AJ462" s="3318"/>
      <c r="AK462" s="3318"/>
      <c r="AL462" s="3318"/>
      <c r="AM462" s="3318"/>
      <c r="AN462" s="3318"/>
      <c r="AO462" s="3318"/>
      <c r="AP462" s="3318"/>
      <c r="AQ462" s="3318"/>
      <c r="AR462" s="3318"/>
      <c r="AS462" s="3318"/>
      <c r="AT462" s="3328"/>
      <c r="AU462" s="3329"/>
      <c r="AV462" s="963">
        <f t="shared" si="243"/>
        <v>0</v>
      </c>
      <c r="AW462" s="963">
        <f t="shared" si="244"/>
        <v>0</v>
      </c>
      <c r="AX462" s="963">
        <f t="shared" si="245"/>
        <v>0</v>
      </c>
      <c r="AY462" s="3343">
        <f t="shared" si="246"/>
        <v>0</v>
      </c>
      <c r="AZ462" s="3298">
        <f t="shared" si="247"/>
        <v>0</v>
      </c>
      <c r="BA462" s="3298">
        <f t="shared" si="248"/>
        <v>0</v>
      </c>
      <c r="BB462" s="3298">
        <f t="shared" si="249"/>
        <v>0</v>
      </c>
      <c r="BC462" s="3298">
        <f t="shared" si="250"/>
        <v>0</v>
      </c>
      <c r="BD462" s="3298">
        <f t="shared" si="251"/>
        <v>0</v>
      </c>
      <c r="BE462" s="3298">
        <f t="shared" si="252"/>
        <v>0</v>
      </c>
      <c r="BF462" s="3298">
        <f t="shared" si="253"/>
        <v>0</v>
      </c>
      <c r="BG462" s="3298">
        <f t="shared" si="254"/>
        <v>0</v>
      </c>
      <c r="BH462" s="3298">
        <f t="shared" si="255"/>
        <v>0</v>
      </c>
      <c r="BI462" s="3298">
        <f t="shared" si="256"/>
        <v>0</v>
      </c>
      <c r="BJ462" s="3298">
        <f t="shared" si="257"/>
        <v>0</v>
      </c>
      <c r="BK462" s="3298">
        <f t="shared" si="258"/>
        <v>0</v>
      </c>
      <c r="BL462" s="3298">
        <f t="shared" si="259"/>
        <v>0</v>
      </c>
      <c r="BM462" s="3298">
        <f t="shared" si="260"/>
        <v>0</v>
      </c>
      <c r="BN462" s="3298">
        <f t="shared" si="261"/>
        <v>0</v>
      </c>
      <c r="BO462" s="3298">
        <f t="shared" si="262"/>
        <v>0</v>
      </c>
      <c r="BP462" s="3298">
        <f t="shared" si="263"/>
        <v>0</v>
      </c>
      <c r="BQ462" s="3298">
        <f t="shared" si="264"/>
        <v>0</v>
      </c>
      <c r="BR462" s="3298">
        <f t="shared" si="265"/>
        <v>0</v>
      </c>
      <c r="BS462" s="3298">
        <f t="shared" si="266"/>
        <v>0</v>
      </c>
      <c r="BT462" s="3350">
        <f t="shared" si="267"/>
        <v>0</v>
      </c>
    </row>
    <row r="463" spans="1:72">
      <c r="A463" s="1407"/>
      <c r="B463" s="3296"/>
      <c r="C463" s="3296"/>
      <c r="D463" s="3297"/>
      <c r="E463" s="3298">
        <f t="shared" si="239"/>
        <v>0</v>
      </c>
      <c r="F463" s="3299"/>
      <c r="G463" s="3300">
        <f t="shared" si="240"/>
        <v>0</v>
      </c>
      <c r="H463" s="3301">
        <f t="shared" si="241"/>
        <v>0</v>
      </c>
      <c r="I463" s="3308"/>
      <c r="J463" s="3308"/>
      <c r="K463" s="3308"/>
      <c r="L463" s="3308"/>
      <c r="M463" s="3308"/>
      <c r="N463" s="3308"/>
      <c r="O463" s="3308"/>
      <c r="P463" s="3308"/>
      <c r="Q463" s="3308"/>
      <c r="R463" s="3308"/>
      <c r="S463" s="3308"/>
      <c r="T463" s="3308"/>
      <c r="U463" s="3308"/>
      <c r="V463" s="3308"/>
      <c r="W463" s="3308"/>
      <c r="X463" s="3308"/>
      <c r="Y463" s="3308"/>
      <c r="Z463" s="3308"/>
      <c r="AA463" s="3308"/>
      <c r="AB463" s="3308"/>
      <c r="AC463" s="3298">
        <f t="shared" si="242"/>
        <v>0</v>
      </c>
      <c r="AD463" s="3318"/>
      <c r="AE463" s="3318"/>
      <c r="AF463" s="3318"/>
      <c r="AG463" s="3318"/>
      <c r="AH463" s="3318"/>
      <c r="AI463" s="3318"/>
      <c r="AJ463" s="3318"/>
      <c r="AK463" s="3318"/>
      <c r="AL463" s="3318"/>
      <c r="AM463" s="3318"/>
      <c r="AN463" s="3318"/>
      <c r="AO463" s="3318"/>
      <c r="AP463" s="3318"/>
      <c r="AQ463" s="3318"/>
      <c r="AR463" s="3318"/>
      <c r="AS463" s="3318"/>
      <c r="AT463" s="3328"/>
      <c r="AU463" s="3329"/>
      <c r="AV463" s="963">
        <f t="shared" si="243"/>
        <v>0</v>
      </c>
      <c r="AW463" s="963">
        <f t="shared" si="244"/>
        <v>0</v>
      </c>
      <c r="AX463" s="963">
        <f t="shared" si="245"/>
        <v>0</v>
      </c>
      <c r="AY463" s="3343">
        <f t="shared" si="246"/>
        <v>0</v>
      </c>
      <c r="AZ463" s="3298">
        <f t="shared" si="247"/>
        <v>0</v>
      </c>
      <c r="BA463" s="3298">
        <f t="shared" si="248"/>
        <v>0</v>
      </c>
      <c r="BB463" s="3298">
        <f t="shared" si="249"/>
        <v>0</v>
      </c>
      <c r="BC463" s="3298">
        <f t="shared" si="250"/>
        <v>0</v>
      </c>
      <c r="BD463" s="3298">
        <f t="shared" si="251"/>
        <v>0</v>
      </c>
      <c r="BE463" s="3298">
        <f t="shared" si="252"/>
        <v>0</v>
      </c>
      <c r="BF463" s="3298">
        <f t="shared" si="253"/>
        <v>0</v>
      </c>
      <c r="BG463" s="3298">
        <f t="shared" si="254"/>
        <v>0</v>
      </c>
      <c r="BH463" s="3298">
        <f t="shared" si="255"/>
        <v>0</v>
      </c>
      <c r="BI463" s="3298">
        <f t="shared" si="256"/>
        <v>0</v>
      </c>
      <c r="BJ463" s="3298">
        <f t="shared" si="257"/>
        <v>0</v>
      </c>
      <c r="BK463" s="3298">
        <f t="shared" si="258"/>
        <v>0</v>
      </c>
      <c r="BL463" s="3298">
        <f t="shared" si="259"/>
        <v>0</v>
      </c>
      <c r="BM463" s="3298">
        <f t="shared" si="260"/>
        <v>0</v>
      </c>
      <c r="BN463" s="3298">
        <f t="shared" si="261"/>
        <v>0</v>
      </c>
      <c r="BO463" s="3298">
        <f t="shared" si="262"/>
        <v>0</v>
      </c>
      <c r="BP463" s="3298">
        <f t="shared" si="263"/>
        <v>0</v>
      </c>
      <c r="BQ463" s="3298">
        <f t="shared" si="264"/>
        <v>0</v>
      </c>
      <c r="BR463" s="3298">
        <f t="shared" si="265"/>
        <v>0</v>
      </c>
      <c r="BS463" s="3298">
        <f t="shared" si="266"/>
        <v>0</v>
      </c>
      <c r="BT463" s="3350">
        <f t="shared" si="267"/>
        <v>0</v>
      </c>
    </row>
    <row r="464" spans="1:72">
      <c r="A464" s="1407"/>
      <c r="B464" s="3296"/>
      <c r="C464" s="3296"/>
      <c r="D464" s="3297"/>
      <c r="E464" s="3298">
        <f t="shared" si="239"/>
        <v>0</v>
      </c>
      <c r="F464" s="3299"/>
      <c r="G464" s="3300">
        <f t="shared" si="240"/>
        <v>0</v>
      </c>
      <c r="H464" s="3301">
        <f t="shared" si="241"/>
        <v>0</v>
      </c>
      <c r="I464" s="3308"/>
      <c r="J464" s="3308"/>
      <c r="K464" s="3308"/>
      <c r="L464" s="3308"/>
      <c r="M464" s="3308"/>
      <c r="N464" s="3308"/>
      <c r="O464" s="3308"/>
      <c r="P464" s="3308"/>
      <c r="Q464" s="3308"/>
      <c r="R464" s="3308"/>
      <c r="S464" s="3308"/>
      <c r="T464" s="3308"/>
      <c r="U464" s="3308"/>
      <c r="V464" s="3308"/>
      <c r="W464" s="3308"/>
      <c r="X464" s="3308"/>
      <c r="Y464" s="3308"/>
      <c r="Z464" s="3308"/>
      <c r="AA464" s="3308"/>
      <c r="AB464" s="3308"/>
      <c r="AC464" s="3298">
        <f t="shared" si="242"/>
        <v>0</v>
      </c>
      <c r="AD464" s="3318"/>
      <c r="AE464" s="3318"/>
      <c r="AF464" s="3318"/>
      <c r="AG464" s="3318"/>
      <c r="AH464" s="3318"/>
      <c r="AI464" s="3318"/>
      <c r="AJ464" s="3318"/>
      <c r="AK464" s="3318"/>
      <c r="AL464" s="3318"/>
      <c r="AM464" s="3318"/>
      <c r="AN464" s="3318"/>
      <c r="AO464" s="3318"/>
      <c r="AP464" s="3318"/>
      <c r="AQ464" s="3318"/>
      <c r="AR464" s="3318"/>
      <c r="AS464" s="3318"/>
      <c r="AT464" s="3328"/>
      <c r="AU464" s="3329"/>
      <c r="AV464" s="963">
        <f t="shared" si="243"/>
        <v>0</v>
      </c>
      <c r="AW464" s="963">
        <f t="shared" si="244"/>
        <v>0</v>
      </c>
      <c r="AX464" s="963">
        <f t="shared" si="245"/>
        <v>0</v>
      </c>
      <c r="AY464" s="3343">
        <f t="shared" si="246"/>
        <v>0</v>
      </c>
      <c r="AZ464" s="3298">
        <f t="shared" si="247"/>
        <v>0</v>
      </c>
      <c r="BA464" s="3298">
        <f t="shared" si="248"/>
        <v>0</v>
      </c>
      <c r="BB464" s="3298">
        <f t="shared" si="249"/>
        <v>0</v>
      </c>
      <c r="BC464" s="3298">
        <f t="shared" si="250"/>
        <v>0</v>
      </c>
      <c r="BD464" s="3298">
        <f t="shared" si="251"/>
        <v>0</v>
      </c>
      <c r="BE464" s="3298">
        <f t="shared" si="252"/>
        <v>0</v>
      </c>
      <c r="BF464" s="3298">
        <f t="shared" si="253"/>
        <v>0</v>
      </c>
      <c r="BG464" s="3298">
        <f t="shared" si="254"/>
        <v>0</v>
      </c>
      <c r="BH464" s="3298">
        <f t="shared" si="255"/>
        <v>0</v>
      </c>
      <c r="BI464" s="3298">
        <f t="shared" si="256"/>
        <v>0</v>
      </c>
      <c r="BJ464" s="3298">
        <f t="shared" si="257"/>
        <v>0</v>
      </c>
      <c r="BK464" s="3298">
        <f t="shared" si="258"/>
        <v>0</v>
      </c>
      <c r="BL464" s="3298">
        <f t="shared" si="259"/>
        <v>0</v>
      </c>
      <c r="BM464" s="3298">
        <f t="shared" si="260"/>
        <v>0</v>
      </c>
      <c r="BN464" s="3298">
        <f t="shared" si="261"/>
        <v>0</v>
      </c>
      <c r="BO464" s="3298">
        <f t="shared" si="262"/>
        <v>0</v>
      </c>
      <c r="BP464" s="3298">
        <f t="shared" si="263"/>
        <v>0</v>
      </c>
      <c r="BQ464" s="3298">
        <f t="shared" si="264"/>
        <v>0</v>
      </c>
      <c r="BR464" s="3298">
        <f t="shared" si="265"/>
        <v>0</v>
      </c>
      <c r="BS464" s="3298">
        <f t="shared" si="266"/>
        <v>0</v>
      </c>
      <c r="BT464" s="3350">
        <f t="shared" si="267"/>
        <v>0</v>
      </c>
    </row>
    <row r="465" spans="1:72">
      <c r="A465" s="1407"/>
      <c r="B465" s="3296"/>
      <c r="C465" s="3296"/>
      <c r="D465" s="3297"/>
      <c r="E465" s="3298">
        <f t="shared" si="239"/>
        <v>0</v>
      </c>
      <c r="F465" s="3299"/>
      <c r="G465" s="3300">
        <f t="shared" si="240"/>
        <v>0</v>
      </c>
      <c r="H465" s="3301">
        <f t="shared" si="241"/>
        <v>0</v>
      </c>
      <c r="I465" s="3308"/>
      <c r="J465" s="3308"/>
      <c r="K465" s="3308"/>
      <c r="L465" s="3308"/>
      <c r="M465" s="3308"/>
      <c r="N465" s="3308"/>
      <c r="O465" s="3308"/>
      <c r="P465" s="3308"/>
      <c r="Q465" s="3308"/>
      <c r="R465" s="3308"/>
      <c r="S465" s="3308"/>
      <c r="T465" s="3308"/>
      <c r="U465" s="3308"/>
      <c r="V465" s="3308"/>
      <c r="W465" s="3308"/>
      <c r="X465" s="3308"/>
      <c r="Y465" s="3308"/>
      <c r="Z465" s="3308"/>
      <c r="AA465" s="3308"/>
      <c r="AB465" s="3308"/>
      <c r="AC465" s="3298">
        <f t="shared" si="242"/>
        <v>0</v>
      </c>
      <c r="AD465" s="3318"/>
      <c r="AE465" s="3318"/>
      <c r="AF465" s="3318"/>
      <c r="AG465" s="3318"/>
      <c r="AH465" s="3318"/>
      <c r="AI465" s="3318"/>
      <c r="AJ465" s="3318"/>
      <c r="AK465" s="3318"/>
      <c r="AL465" s="3318"/>
      <c r="AM465" s="3318"/>
      <c r="AN465" s="3318"/>
      <c r="AO465" s="3318"/>
      <c r="AP465" s="3318"/>
      <c r="AQ465" s="3318"/>
      <c r="AR465" s="3318"/>
      <c r="AS465" s="3318"/>
      <c r="AT465" s="3328"/>
      <c r="AU465" s="3329"/>
      <c r="AV465" s="963">
        <f t="shared" si="243"/>
        <v>0</v>
      </c>
      <c r="AW465" s="963">
        <f t="shared" si="244"/>
        <v>0</v>
      </c>
      <c r="AX465" s="963">
        <f t="shared" si="245"/>
        <v>0</v>
      </c>
      <c r="AY465" s="3343">
        <f t="shared" si="246"/>
        <v>0</v>
      </c>
      <c r="AZ465" s="3298">
        <f t="shared" si="247"/>
        <v>0</v>
      </c>
      <c r="BA465" s="3298">
        <f t="shared" si="248"/>
        <v>0</v>
      </c>
      <c r="BB465" s="3298">
        <f t="shared" si="249"/>
        <v>0</v>
      </c>
      <c r="BC465" s="3298">
        <f t="shared" si="250"/>
        <v>0</v>
      </c>
      <c r="BD465" s="3298">
        <f t="shared" si="251"/>
        <v>0</v>
      </c>
      <c r="BE465" s="3298">
        <f t="shared" si="252"/>
        <v>0</v>
      </c>
      <c r="BF465" s="3298">
        <f t="shared" si="253"/>
        <v>0</v>
      </c>
      <c r="BG465" s="3298">
        <f t="shared" si="254"/>
        <v>0</v>
      </c>
      <c r="BH465" s="3298">
        <f t="shared" si="255"/>
        <v>0</v>
      </c>
      <c r="BI465" s="3298">
        <f t="shared" si="256"/>
        <v>0</v>
      </c>
      <c r="BJ465" s="3298">
        <f t="shared" si="257"/>
        <v>0</v>
      </c>
      <c r="BK465" s="3298">
        <f t="shared" si="258"/>
        <v>0</v>
      </c>
      <c r="BL465" s="3298">
        <f t="shared" si="259"/>
        <v>0</v>
      </c>
      <c r="BM465" s="3298">
        <f t="shared" si="260"/>
        <v>0</v>
      </c>
      <c r="BN465" s="3298">
        <f t="shared" si="261"/>
        <v>0</v>
      </c>
      <c r="BO465" s="3298">
        <f t="shared" si="262"/>
        <v>0</v>
      </c>
      <c r="BP465" s="3298">
        <f t="shared" si="263"/>
        <v>0</v>
      </c>
      <c r="BQ465" s="3298">
        <f t="shared" si="264"/>
        <v>0</v>
      </c>
      <c r="BR465" s="3298">
        <f t="shared" si="265"/>
        <v>0</v>
      </c>
      <c r="BS465" s="3298">
        <f t="shared" si="266"/>
        <v>0</v>
      </c>
      <c r="BT465" s="3350">
        <f t="shared" si="267"/>
        <v>0</v>
      </c>
    </row>
    <row r="466" spans="1:72">
      <c r="A466" s="1407"/>
      <c r="B466" s="3296"/>
      <c r="C466" s="3296"/>
      <c r="D466" s="3297"/>
      <c r="E466" s="3298">
        <f t="shared" si="239"/>
        <v>0</v>
      </c>
      <c r="F466" s="3299"/>
      <c r="G466" s="3300">
        <f t="shared" si="240"/>
        <v>0</v>
      </c>
      <c r="H466" s="3301">
        <f t="shared" si="241"/>
        <v>0</v>
      </c>
      <c r="I466" s="3308"/>
      <c r="J466" s="3308"/>
      <c r="K466" s="3308"/>
      <c r="L466" s="3308"/>
      <c r="M466" s="3308"/>
      <c r="N466" s="3308"/>
      <c r="O466" s="3308"/>
      <c r="P466" s="3308"/>
      <c r="Q466" s="3308"/>
      <c r="R466" s="3308"/>
      <c r="S466" s="3308"/>
      <c r="T466" s="3308"/>
      <c r="U466" s="3308"/>
      <c r="V466" s="3308"/>
      <c r="W466" s="3308"/>
      <c r="X466" s="3308"/>
      <c r="Y466" s="3308"/>
      <c r="Z466" s="3308"/>
      <c r="AA466" s="3308"/>
      <c r="AB466" s="3308"/>
      <c r="AC466" s="3298">
        <f t="shared" si="242"/>
        <v>0</v>
      </c>
      <c r="AD466" s="3318"/>
      <c r="AE466" s="3318"/>
      <c r="AF466" s="3318"/>
      <c r="AG466" s="3318"/>
      <c r="AH466" s="3318"/>
      <c r="AI466" s="3318"/>
      <c r="AJ466" s="3318"/>
      <c r="AK466" s="3318"/>
      <c r="AL466" s="3318"/>
      <c r="AM466" s="3318"/>
      <c r="AN466" s="3318"/>
      <c r="AO466" s="3318"/>
      <c r="AP466" s="3318"/>
      <c r="AQ466" s="3318"/>
      <c r="AR466" s="3318"/>
      <c r="AS466" s="3318"/>
      <c r="AT466" s="3328"/>
      <c r="AU466" s="3329"/>
      <c r="AV466" s="963">
        <f t="shared" si="243"/>
        <v>0</v>
      </c>
      <c r="AW466" s="963">
        <f t="shared" si="244"/>
        <v>0</v>
      </c>
      <c r="AX466" s="963">
        <f t="shared" si="245"/>
        <v>0</v>
      </c>
      <c r="AY466" s="3343">
        <f t="shared" si="246"/>
        <v>0</v>
      </c>
      <c r="AZ466" s="3298">
        <f t="shared" si="247"/>
        <v>0</v>
      </c>
      <c r="BA466" s="3298">
        <f t="shared" si="248"/>
        <v>0</v>
      </c>
      <c r="BB466" s="3298">
        <f t="shared" si="249"/>
        <v>0</v>
      </c>
      <c r="BC466" s="3298">
        <f t="shared" si="250"/>
        <v>0</v>
      </c>
      <c r="BD466" s="3298">
        <f t="shared" si="251"/>
        <v>0</v>
      </c>
      <c r="BE466" s="3298">
        <f t="shared" si="252"/>
        <v>0</v>
      </c>
      <c r="BF466" s="3298">
        <f t="shared" si="253"/>
        <v>0</v>
      </c>
      <c r="BG466" s="3298">
        <f t="shared" si="254"/>
        <v>0</v>
      </c>
      <c r="BH466" s="3298">
        <f t="shared" si="255"/>
        <v>0</v>
      </c>
      <c r="BI466" s="3298">
        <f t="shared" si="256"/>
        <v>0</v>
      </c>
      <c r="BJ466" s="3298">
        <f t="shared" si="257"/>
        <v>0</v>
      </c>
      <c r="BK466" s="3298">
        <f t="shared" si="258"/>
        <v>0</v>
      </c>
      <c r="BL466" s="3298">
        <f t="shared" si="259"/>
        <v>0</v>
      </c>
      <c r="BM466" s="3298">
        <f t="shared" si="260"/>
        <v>0</v>
      </c>
      <c r="BN466" s="3298">
        <f t="shared" si="261"/>
        <v>0</v>
      </c>
      <c r="BO466" s="3298">
        <f t="shared" si="262"/>
        <v>0</v>
      </c>
      <c r="BP466" s="3298">
        <f t="shared" si="263"/>
        <v>0</v>
      </c>
      <c r="BQ466" s="3298">
        <f t="shared" si="264"/>
        <v>0</v>
      </c>
      <c r="BR466" s="3298">
        <f t="shared" si="265"/>
        <v>0</v>
      </c>
      <c r="BS466" s="3298">
        <f t="shared" si="266"/>
        <v>0</v>
      </c>
      <c r="BT466" s="3350">
        <f t="shared" si="267"/>
        <v>0</v>
      </c>
    </row>
    <row r="467" spans="1:72">
      <c r="A467" s="1407"/>
      <c r="B467" s="3296"/>
      <c r="C467" s="3296"/>
      <c r="D467" s="3297"/>
      <c r="E467" s="3298">
        <f t="shared" si="239"/>
        <v>0</v>
      </c>
      <c r="F467" s="3299"/>
      <c r="G467" s="3300">
        <f t="shared" si="240"/>
        <v>0</v>
      </c>
      <c r="H467" s="3301">
        <f t="shared" si="241"/>
        <v>0</v>
      </c>
      <c r="I467" s="3308"/>
      <c r="J467" s="3308"/>
      <c r="K467" s="3308"/>
      <c r="L467" s="3308"/>
      <c r="M467" s="3308"/>
      <c r="N467" s="3308"/>
      <c r="O467" s="3308"/>
      <c r="P467" s="3308"/>
      <c r="Q467" s="3308"/>
      <c r="R467" s="3308"/>
      <c r="S467" s="3308"/>
      <c r="T467" s="3308"/>
      <c r="U467" s="3308"/>
      <c r="V467" s="3308"/>
      <c r="W467" s="3308"/>
      <c r="X467" s="3308"/>
      <c r="Y467" s="3308"/>
      <c r="Z467" s="3308"/>
      <c r="AA467" s="3308"/>
      <c r="AB467" s="3308"/>
      <c r="AC467" s="3298">
        <f t="shared" si="242"/>
        <v>0</v>
      </c>
      <c r="AD467" s="3318"/>
      <c r="AE467" s="3318"/>
      <c r="AF467" s="3318"/>
      <c r="AG467" s="3318"/>
      <c r="AH467" s="3318"/>
      <c r="AI467" s="3318"/>
      <c r="AJ467" s="3318"/>
      <c r="AK467" s="3318"/>
      <c r="AL467" s="3318"/>
      <c r="AM467" s="3318"/>
      <c r="AN467" s="3318"/>
      <c r="AO467" s="3318"/>
      <c r="AP467" s="3318"/>
      <c r="AQ467" s="3318"/>
      <c r="AR467" s="3318"/>
      <c r="AS467" s="3318"/>
      <c r="AT467" s="3328"/>
      <c r="AU467" s="3329"/>
      <c r="AV467" s="963">
        <f t="shared" si="243"/>
        <v>0</v>
      </c>
      <c r="AW467" s="963">
        <f t="shared" si="244"/>
        <v>0</v>
      </c>
      <c r="AX467" s="963">
        <f t="shared" si="245"/>
        <v>0</v>
      </c>
      <c r="AY467" s="3343">
        <f t="shared" si="246"/>
        <v>0</v>
      </c>
      <c r="AZ467" s="3298">
        <f t="shared" si="247"/>
        <v>0</v>
      </c>
      <c r="BA467" s="3298">
        <f t="shared" si="248"/>
        <v>0</v>
      </c>
      <c r="BB467" s="3298">
        <f t="shared" si="249"/>
        <v>0</v>
      </c>
      <c r="BC467" s="3298">
        <f t="shared" si="250"/>
        <v>0</v>
      </c>
      <c r="BD467" s="3298">
        <f t="shared" si="251"/>
        <v>0</v>
      </c>
      <c r="BE467" s="3298">
        <f t="shared" si="252"/>
        <v>0</v>
      </c>
      <c r="BF467" s="3298">
        <f t="shared" si="253"/>
        <v>0</v>
      </c>
      <c r="BG467" s="3298">
        <f t="shared" si="254"/>
        <v>0</v>
      </c>
      <c r="BH467" s="3298">
        <f t="shared" si="255"/>
        <v>0</v>
      </c>
      <c r="BI467" s="3298">
        <f t="shared" si="256"/>
        <v>0</v>
      </c>
      <c r="BJ467" s="3298">
        <f t="shared" si="257"/>
        <v>0</v>
      </c>
      <c r="BK467" s="3298">
        <f t="shared" si="258"/>
        <v>0</v>
      </c>
      <c r="BL467" s="3298">
        <f t="shared" si="259"/>
        <v>0</v>
      </c>
      <c r="BM467" s="3298">
        <f t="shared" si="260"/>
        <v>0</v>
      </c>
      <c r="BN467" s="3298">
        <f t="shared" si="261"/>
        <v>0</v>
      </c>
      <c r="BO467" s="3298">
        <f t="shared" si="262"/>
        <v>0</v>
      </c>
      <c r="BP467" s="3298">
        <f t="shared" si="263"/>
        <v>0</v>
      </c>
      <c r="BQ467" s="3298">
        <f t="shared" si="264"/>
        <v>0</v>
      </c>
      <c r="BR467" s="3298">
        <f t="shared" si="265"/>
        <v>0</v>
      </c>
      <c r="BS467" s="3298">
        <f t="shared" si="266"/>
        <v>0</v>
      </c>
      <c r="BT467" s="3350">
        <f t="shared" si="267"/>
        <v>0</v>
      </c>
    </row>
    <row r="468" spans="1:72">
      <c r="A468" s="1407"/>
      <c r="B468" s="3296"/>
      <c r="C468" s="3296"/>
      <c r="D468" s="3297"/>
      <c r="E468" s="3298">
        <f t="shared" si="239"/>
        <v>0</v>
      </c>
      <c r="F468" s="3299"/>
      <c r="G468" s="3300">
        <f t="shared" si="240"/>
        <v>0</v>
      </c>
      <c r="H468" s="3301">
        <f t="shared" si="241"/>
        <v>0</v>
      </c>
      <c r="I468" s="3308"/>
      <c r="J468" s="3308"/>
      <c r="K468" s="3308"/>
      <c r="L468" s="3308"/>
      <c r="M468" s="3308"/>
      <c r="N468" s="3308"/>
      <c r="O468" s="3308"/>
      <c r="P468" s="3308"/>
      <c r="Q468" s="3308"/>
      <c r="R468" s="3308"/>
      <c r="S468" s="3308"/>
      <c r="T468" s="3308"/>
      <c r="U468" s="3308"/>
      <c r="V468" s="3308"/>
      <c r="W468" s="3308"/>
      <c r="X468" s="3308"/>
      <c r="Y468" s="3308"/>
      <c r="Z468" s="3308"/>
      <c r="AA468" s="3308"/>
      <c r="AB468" s="3308"/>
      <c r="AC468" s="3298">
        <f t="shared" si="242"/>
        <v>0</v>
      </c>
      <c r="AD468" s="3318"/>
      <c r="AE468" s="3318"/>
      <c r="AF468" s="3318"/>
      <c r="AG468" s="3318"/>
      <c r="AH468" s="3318"/>
      <c r="AI468" s="3318"/>
      <c r="AJ468" s="3318"/>
      <c r="AK468" s="3318"/>
      <c r="AL468" s="3318"/>
      <c r="AM468" s="3318"/>
      <c r="AN468" s="3318"/>
      <c r="AO468" s="3318"/>
      <c r="AP468" s="3318"/>
      <c r="AQ468" s="3318"/>
      <c r="AR468" s="3318"/>
      <c r="AS468" s="3318"/>
      <c r="AT468" s="3328"/>
      <c r="AU468" s="3329"/>
      <c r="AV468" s="963">
        <f t="shared" si="243"/>
        <v>0</v>
      </c>
      <c r="AW468" s="963">
        <f t="shared" si="244"/>
        <v>0</v>
      </c>
      <c r="AX468" s="963">
        <f t="shared" si="245"/>
        <v>0</v>
      </c>
      <c r="AY468" s="3343">
        <f t="shared" si="246"/>
        <v>0</v>
      </c>
      <c r="AZ468" s="3298">
        <f t="shared" si="247"/>
        <v>0</v>
      </c>
      <c r="BA468" s="3298">
        <f t="shared" si="248"/>
        <v>0</v>
      </c>
      <c r="BB468" s="3298">
        <f t="shared" si="249"/>
        <v>0</v>
      </c>
      <c r="BC468" s="3298">
        <f t="shared" si="250"/>
        <v>0</v>
      </c>
      <c r="BD468" s="3298">
        <f t="shared" si="251"/>
        <v>0</v>
      </c>
      <c r="BE468" s="3298">
        <f t="shared" si="252"/>
        <v>0</v>
      </c>
      <c r="BF468" s="3298">
        <f t="shared" si="253"/>
        <v>0</v>
      </c>
      <c r="BG468" s="3298">
        <f t="shared" si="254"/>
        <v>0</v>
      </c>
      <c r="BH468" s="3298">
        <f t="shared" si="255"/>
        <v>0</v>
      </c>
      <c r="BI468" s="3298">
        <f t="shared" si="256"/>
        <v>0</v>
      </c>
      <c r="BJ468" s="3298">
        <f t="shared" si="257"/>
        <v>0</v>
      </c>
      <c r="BK468" s="3298">
        <f t="shared" si="258"/>
        <v>0</v>
      </c>
      <c r="BL468" s="3298">
        <f t="shared" si="259"/>
        <v>0</v>
      </c>
      <c r="BM468" s="3298">
        <f t="shared" si="260"/>
        <v>0</v>
      </c>
      <c r="BN468" s="3298">
        <f t="shared" si="261"/>
        <v>0</v>
      </c>
      <c r="BO468" s="3298">
        <f t="shared" si="262"/>
        <v>0</v>
      </c>
      <c r="BP468" s="3298">
        <f t="shared" si="263"/>
        <v>0</v>
      </c>
      <c r="BQ468" s="3298">
        <f t="shared" si="264"/>
        <v>0</v>
      </c>
      <c r="BR468" s="3298">
        <f t="shared" si="265"/>
        <v>0</v>
      </c>
      <c r="BS468" s="3298">
        <f t="shared" si="266"/>
        <v>0</v>
      </c>
      <c r="BT468" s="3350">
        <f t="shared" si="267"/>
        <v>0</v>
      </c>
    </row>
    <row r="469" spans="1:72">
      <c r="A469" s="1407"/>
      <c r="B469" s="3296"/>
      <c r="C469" s="3296"/>
      <c r="D469" s="3297"/>
      <c r="E469" s="3298">
        <f t="shared" si="239"/>
        <v>0</v>
      </c>
      <c r="F469" s="3299"/>
      <c r="G469" s="3300">
        <f t="shared" si="240"/>
        <v>0</v>
      </c>
      <c r="H469" s="3301">
        <f t="shared" si="241"/>
        <v>0</v>
      </c>
      <c r="I469" s="3308"/>
      <c r="J469" s="3308"/>
      <c r="K469" s="3308"/>
      <c r="L469" s="3308"/>
      <c r="M469" s="3308"/>
      <c r="N469" s="3308"/>
      <c r="O469" s="3308"/>
      <c r="P469" s="3308"/>
      <c r="Q469" s="3308"/>
      <c r="R469" s="3308"/>
      <c r="S469" s="3308"/>
      <c r="T469" s="3308"/>
      <c r="U469" s="3308"/>
      <c r="V469" s="3308"/>
      <c r="W469" s="3308"/>
      <c r="X469" s="3308"/>
      <c r="Y469" s="3308"/>
      <c r="Z469" s="3308"/>
      <c r="AA469" s="3308"/>
      <c r="AB469" s="3308"/>
      <c r="AC469" s="3298">
        <f t="shared" si="242"/>
        <v>0</v>
      </c>
      <c r="AD469" s="3318"/>
      <c r="AE469" s="3318"/>
      <c r="AF469" s="3318"/>
      <c r="AG469" s="3318"/>
      <c r="AH469" s="3318"/>
      <c r="AI469" s="3318"/>
      <c r="AJ469" s="3318"/>
      <c r="AK469" s="3318"/>
      <c r="AL469" s="3318"/>
      <c r="AM469" s="3318"/>
      <c r="AN469" s="3318"/>
      <c r="AO469" s="3318"/>
      <c r="AP469" s="3318"/>
      <c r="AQ469" s="3318"/>
      <c r="AR469" s="3318"/>
      <c r="AS469" s="3318"/>
      <c r="AT469" s="3328"/>
      <c r="AU469" s="3329"/>
      <c r="AV469" s="963">
        <f t="shared" si="243"/>
        <v>0</v>
      </c>
      <c r="AW469" s="963">
        <f t="shared" si="244"/>
        <v>0</v>
      </c>
      <c r="AX469" s="963">
        <f t="shared" si="245"/>
        <v>0</v>
      </c>
      <c r="AY469" s="3343">
        <f t="shared" si="246"/>
        <v>0</v>
      </c>
      <c r="AZ469" s="3298">
        <f t="shared" si="247"/>
        <v>0</v>
      </c>
      <c r="BA469" s="3298">
        <f t="shared" si="248"/>
        <v>0</v>
      </c>
      <c r="BB469" s="3298">
        <f t="shared" si="249"/>
        <v>0</v>
      </c>
      <c r="BC469" s="3298">
        <f t="shared" si="250"/>
        <v>0</v>
      </c>
      <c r="BD469" s="3298">
        <f t="shared" si="251"/>
        <v>0</v>
      </c>
      <c r="BE469" s="3298">
        <f t="shared" si="252"/>
        <v>0</v>
      </c>
      <c r="BF469" s="3298">
        <f t="shared" si="253"/>
        <v>0</v>
      </c>
      <c r="BG469" s="3298">
        <f t="shared" si="254"/>
        <v>0</v>
      </c>
      <c r="BH469" s="3298">
        <f t="shared" si="255"/>
        <v>0</v>
      </c>
      <c r="BI469" s="3298">
        <f t="shared" si="256"/>
        <v>0</v>
      </c>
      <c r="BJ469" s="3298">
        <f t="shared" si="257"/>
        <v>0</v>
      </c>
      <c r="BK469" s="3298">
        <f t="shared" si="258"/>
        <v>0</v>
      </c>
      <c r="BL469" s="3298">
        <f t="shared" si="259"/>
        <v>0</v>
      </c>
      <c r="BM469" s="3298">
        <f t="shared" si="260"/>
        <v>0</v>
      </c>
      <c r="BN469" s="3298">
        <f t="shared" si="261"/>
        <v>0</v>
      </c>
      <c r="BO469" s="3298">
        <f t="shared" si="262"/>
        <v>0</v>
      </c>
      <c r="BP469" s="3298">
        <f t="shared" si="263"/>
        <v>0</v>
      </c>
      <c r="BQ469" s="3298">
        <f t="shared" si="264"/>
        <v>0</v>
      </c>
      <c r="BR469" s="3298">
        <f t="shared" si="265"/>
        <v>0</v>
      </c>
      <c r="BS469" s="3298">
        <f t="shared" si="266"/>
        <v>0</v>
      </c>
      <c r="BT469" s="3350">
        <f t="shared" si="267"/>
        <v>0</v>
      </c>
    </row>
    <row r="470" spans="1:72">
      <c r="A470" s="1407"/>
      <c r="B470" s="3296"/>
      <c r="C470" s="3296"/>
      <c r="D470" s="3297"/>
      <c r="E470" s="3298">
        <f t="shared" si="239"/>
        <v>0</v>
      </c>
      <c r="F470" s="3299"/>
      <c r="G470" s="3300">
        <f t="shared" si="240"/>
        <v>0</v>
      </c>
      <c r="H470" s="3301">
        <f t="shared" si="241"/>
        <v>0</v>
      </c>
      <c r="I470" s="3308"/>
      <c r="J470" s="3308"/>
      <c r="K470" s="3308"/>
      <c r="L470" s="3308"/>
      <c r="M470" s="3308"/>
      <c r="N470" s="3308"/>
      <c r="O470" s="3308"/>
      <c r="P470" s="3308"/>
      <c r="Q470" s="3308"/>
      <c r="R470" s="3308"/>
      <c r="S470" s="3308"/>
      <c r="T470" s="3308"/>
      <c r="U470" s="3308"/>
      <c r="V470" s="3308"/>
      <c r="W470" s="3308"/>
      <c r="X470" s="3308"/>
      <c r="Y470" s="3308"/>
      <c r="Z470" s="3308"/>
      <c r="AA470" s="3308"/>
      <c r="AB470" s="3308"/>
      <c r="AC470" s="3298">
        <f t="shared" si="242"/>
        <v>0</v>
      </c>
      <c r="AD470" s="3318"/>
      <c r="AE470" s="3318"/>
      <c r="AF470" s="3318"/>
      <c r="AG470" s="3318"/>
      <c r="AH470" s="3318"/>
      <c r="AI470" s="3318"/>
      <c r="AJ470" s="3318"/>
      <c r="AK470" s="3318"/>
      <c r="AL470" s="3318"/>
      <c r="AM470" s="3318"/>
      <c r="AN470" s="3318"/>
      <c r="AO470" s="3318"/>
      <c r="AP470" s="3318"/>
      <c r="AQ470" s="3318"/>
      <c r="AR470" s="3318"/>
      <c r="AS470" s="3318"/>
      <c r="AT470" s="3328"/>
      <c r="AU470" s="3329"/>
      <c r="AV470" s="963">
        <f t="shared" si="243"/>
        <v>0</v>
      </c>
      <c r="AW470" s="963">
        <f t="shared" si="244"/>
        <v>0</v>
      </c>
      <c r="AX470" s="963">
        <f t="shared" si="245"/>
        <v>0</v>
      </c>
      <c r="AY470" s="3343">
        <f t="shared" si="246"/>
        <v>0</v>
      </c>
      <c r="AZ470" s="3298">
        <f t="shared" si="247"/>
        <v>0</v>
      </c>
      <c r="BA470" s="3298">
        <f t="shared" si="248"/>
        <v>0</v>
      </c>
      <c r="BB470" s="3298">
        <f t="shared" si="249"/>
        <v>0</v>
      </c>
      <c r="BC470" s="3298">
        <f t="shared" si="250"/>
        <v>0</v>
      </c>
      <c r="BD470" s="3298">
        <f t="shared" si="251"/>
        <v>0</v>
      </c>
      <c r="BE470" s="3298">
        <f t="shared" si="252"/>
        <v>0</v>
      </c>
      <c r="BF470" s="3298">
        <f t="shared" si="253"/>
        <v>0</v>
      </c>
      <c r="BG470" s="3298">
        <f t="shared" si="254"/>
        <v>0</v>
      </c>
      <c r="BH470" s="3298">
        <f t="shared" si="255"/>
        <v>0</v>
      </c>
      <c r="BI470" s="3298">
        <f t="shared" si="256"/>
        <v>0</v>
      </c>
      <c r="BJ470" s="3298">
        <f t="shared" si="257"/>
        <v>0</v>
      </c>
      <c r="BK470" s="3298">
        <f t="shared" si="258"/>
        <v>0</v>
      </c>
      <c r="BL470" s="3298">
        <f t="shared" si="259"/>
        <v>0</v>
      </c>
      <c r="BM470" s="3298">
        <f t="shared" si="260"/>
        <v>0</v>
      </c>
      <c r="BN470" s="3298">
        <f t="shared" si="261"/>
        <v>0</v>
      </c>
      <c r="BO470" s="3298">
        <f t="shared" si="262"/>
        <v>0</v>
      </c>
      <c r="BP470" s="3298">
        <f t="shared" si="263"/>
        <v>0</v>
      </c>
      <c r="BQ470" s="3298">
        <f t="shared" si="264"/>
        <v>0</v>
      </c>
      <c r="BR470" s="3298">
        <f t="shared" si="265"/>
        <v>0</v>
      </c>
      <c r="BS470" s="3298">
        <f t="shared" si="266"/>
        <v>0</v>
      </c>
      <c r="BT470" s="3350">
        <f t="shared" si="267"/>
        <v>0</v>
      </c>
    </row>
    <row r="471" spans="1:72">
      <c r="A471" s="1407"/>
      <c r="B471" s="3296"/>
      <c r="C471" s="3296"/>
      <c r="D471" s="3297"/>
      <c r="E471" s="3298">
        <f t="shared" si="239"/>
        <v>0</v>
      </c>
      <c r="F471" s="3299"/>
      <c r="G471" s="3300">
        <f t="shared" si="240"/>
        <v>0</v>
      </c>
      <c r="H471" s="3301">
        <f t="shared" si="241"/>
        <v>0</v>
      </c>
      <c r="I471" s="3308"/>
      <c r="J471" s="3308"/>
      <c r="K471" s="3308"/>
      <c r="L471" s="3308"/>
      <c r="M471" s="3308"/>
      <c r="N471" s="3308"/>
      <c r="O471" s="3308"/>
      <c r="P471" s="3308"/>
      <c r="Q471" s="3308"/>
      <c r="R471" s="3308"/>
      <c r="S471" s="3308"/>
      <c r="T471" s="3308"/>
      <c r="U471" s="3308"/>
      <c r="V471" s="3308"/>
      <c r="W471" s="3308"/>
      <c r="X471" s="3308"/>
      <c r="Y471" s="3308"/>
      <c r="Z471" s="3308"/>
      <c r="AA471" s="3308"/>
      <c r="AB471" s="3308"/>
      <c r="AC471" s="3298">
        <f t="shared" si="242"/>
        <v>0</v>
      </c>
      <c r="AD471" s="3318"/>
      <c r="AE471" s="3318"/>
      <c r="AF471" s="3318"/>
      <c r="AG471" s="3318"/>
      <c r="AH471" s="3318"/>
      <c r="AI471" s="3318"/>
      <c r="AJ471" s="3318"/>
      <c r="AK471" s="3318"/>
      <c r="AL471" s="3318"/>
      <c r="AM471" s="3318"/>
      <c r="AN471" s="3318"/>
      <c r="AO471" s="3318"/>
      <c r="AP471" s="3318"/>
      <c r="AQ471" s="3318"/>
      <c r="AR471" s="3318"/>
      <c r="AS471" s="3318"/>
      <c r="AT471" s="3328"/>
      <c r="AU471" s="3329"/>
      <c r="AV471" s="963">
        <f t="shared" si="243"/>
        <v>0</v>
      </c>
      <c r="AW471" s="963">
        <f t="shared" si="244"/>
        <v>0</v>
      </c>
      <c r="AX471" s="963">
        <f t="shared" si="245"/>
        <v>0</v>
      </c>
      <c r="AY471" s="3343">
        <f t="shared" si="246"/>
        <v>0</v>
      </c>
      <c r="AZ471" s="3298">
        <f t="shared" si="247"/>
        <v>0</v>
      </c>
      <c r="BA471" s="3298">
        <f t="shared" si="248"/>
        <v>0</v>
      </c>
      <c r="BB471" s="3298">
        <f t="shared" si="249"/>
        <v>0</v>
      </c>
      <c r="BC471" s="3298">
        <f t="shared" si="250"/>
        <v>0</v>
      </c>
      <c r="BD471" s="3298">
        <f t="shared" si="251"/>
        <v>0</v>
      </c>
      <c r="BE471" s="3298">
        <f t="shared" si="252"/>
        <v>0</v>
      </c>
      <c r="BF471" s="3298">
        <f t="shared" si="253"/>
        <v>0</v>
      </c>
      <c r="BG471" s="3298">
        <f t="shared" si="254"/>
        <v>0</v>
      </c>
      <c r="BH471" s="3298">
        <f t="shared" si="255"/>
        <v>0</v>
      </c>
      <c r="BI471" s="3298">
        <f t="shared" si="256"/>
        <v>0</v>
      </c>
      <c r="BJ471" s="3298">
        <f t="shared" si="257"/>
        <v>0</v>
      </c>
      <c r="BK471" s="3298">
        <f t="shared" si="258"/>
        <v>0</v>
      </c>
      <c r="BL471" s="3298">
        <f t="shared" si="259"/>
        <v>0</v>
      </c>
      <c r="BM471" s="3298">
        <f t="shared" si="260"/>
        <v>0</v>
      </c>
      <c r="BN471" s="3298">
        <f t="shared" si="261"/>
        <v>0</v>
      </c>
      <c r="BO471" s="3298">
        <f t="shared" si="262"/>
        <v>0</v>
      </c>
      <c r="BP471" s="3298">
        <f t="shared" si="263"/>
        <v>0</v>
      </c>
      <c r="BQ471" s="3298">
        <f t="shared" si="264"/>
        <v>0</v>
      </c>
      <c r="BR471" s="3298">
        <f t="shared" si="265"/>
        <v>0</v>
      </c>
      <c r="BS471" s="3298">
        <f t="shared" si="266"/>
        <v>0</v>
      </c>
      <c r="BT471" s="3350">
        <f t="shared" si="267"/>
        <v>0</v>
      </c>
    </row>
    <row r="472" spans="1:72">
      <c r="A472" s="1407"/>
      <c r="B472" s="3296"/>
      <c r="C472" s="3296"/>
      <c r="D472" s="3297"/>
      <c r="E472" s="3298">
        <f t="shared" si="239"/>
        <v>0</v>
      </c>
      <c r="F472" s="3299"/>
      <c r="G472" s="3300">
        <f t="shared" si="240"/>
        <v>0</v>
      </c>
      <c r="H472" s="3301">
        <f t="shared" si="241"/>
        <v>0</v>
      </c>
      <c r="I472" s="3308"/>
      <c r="J472" s="3308"/>
      <c r="K472" s="3308"/>
      <c r="L472" s="3308"/>
      <c r="M472" s="3308"/>
      <c r="N472" s="3308"/>
      <c r="O472" s="3308"/>
      <c r="P472" s="3308"/>
      <c r="Q472" s="3308"/>
      <c r="R472" s="3308"/>
      <c r="S472" s="3308"/>
      <c r="T472" s="3308"/>
      <c r="U472" s="3308"/>
      <c r="V472" s="3308"/>
      <c r="W472" s="3308"/>
      <c r="X472" s="3308"/>
      <c r="Y472" s="3308"/>
      <c r="Z472" s="3308"/>
      <c r="AA472" s="3308"/>
      <c r="AB472" s="3308"/>
      <c r="AC472" s="3298">
        <f t="shared" si="242"/>
        <v>0</v>
      </c>
      <c r="AD472" s="3318"/>
      <c r="AE472" s="3318"/>
      <c r="AF472" s="3318"/>
      <c r="AG472" s="3318"/>
      <c r="AH472" s="3318"/>
      <c r="AI472" s="3318"/>
      <c r="AJ472" s="3318"/>
      <c r="AK472" s="3318"/>
      <c r="AL472" s="3318"/>
      <c r="AM472" s="3318"/>
      <c r="AN472" s="3318"/>
      <c r="AO472" s="3318"/>
      <c r="AP472" s="3318"/>
      <c r="AQ472" s="3318"/>
      <c r="AR472" s="3318"/>
      <c r="AS472" s="3318"/>
      <c r="AT472" s="3328"/>
      <c r="AU472" s="3329"/>
      <c r="AV472" s="963">
        <f t="shared" si="243"/>
        <v>0</v>
      </c>
      <c r="AW472" s="963">
        <f t="shared" si="244"/>
        <v>0</v>
      </c>
      <c r="AX472" s="963">
        <f t="shared" si="245"/>
        <v>0</v>
      </c>
      <c r="AY472" s="3343">
        <f t="shared" si="246"/>
        <v>0</v>
      </c>
      <c r="AZ472" s="3298">
        <f t="shared" si="247"/>
        <v>0</v>
      </c>
      <c r="BA472" s="3298">
        <f t="shared" si="248"/>
        <v>0</v>
      </c>
      <c r="BB472" s="3298">
        <f t="shared" si="249"/>
        <v>0</v>
      </c>
      <c r="BC472" s="3298">
        <f t="shared" si="250"/>
        <v>0</v>
      </c>
      <c r="BD472" s="3298">
        <f t="shared" si="251"/>
        <v>0</v>
      </c>
      <c r="BE472" s="3298">
        <f t="shared" si="252"/>
        <v>0</v>
      </c>
      <c r="BF472" s="3298">
        <f t="shared" si="253"/>
        <v>0</v>
      </c>
      <c r="BG472" s="3298">
        <f t="shared" si="254"/>
        <v>0</v>
      </c>
      <c r="BH472" s="3298">
        <f t="shared" si="255"/>
        <v>0</v>
      </c>
      <c r="BI472" s="3298">
        <f t="shared" si="256"/>
        <v>0</v>
      </c>
      <c r="BJ472" s="3298">
        <f t="shared" si="257"/>
        <v>0</v>
      </c>
      <c r="BK472" s="3298">
        <f t="shared" si="258"/>
        <v>0</v>
      </c>
      <c r="BL472" s="3298">
        <f t="shared" si="259"/>
        <v>0</v>
      </c>
      <c r="BM472" s="3298">
        <f t="shared" si="260"/>
        <v>0</v>
      </c>
      <c r="BN472" s="3298">
        <f t="shared" si="261"/>
        <v>0</v>
      </c>
      <c r="BO472" s="3298">
        <f t="shared" si="262"/>
        <v>0</v>
      </c>
      <c r="BP472" s="3298">
        <f t="shared" si="263"/>
        <v>0</v>
      </c>
      <c r="BQ472" s="3298">
        <f t="shared" si="264"/>
        <v>0</v>
      </c>
      <c r="BR472" s="3298">
        <f t="shared" si="265"/>
        <v>0</v>
      </c>
      <c r="BS472" s="3298">
        <f t="shared" si="266"/>
        <v>0</v>
      </c>
      <c r="BT472" s="3350">
        <f t="shared" si="267"/>
        <v>0</v>
      </c>
    </row>
    <row r="473" spans="1:72">
      <c r="A473" s="1407"/>
      <c r="B473" s="3296"/>
      <c r="C473" s="3296"/>
      <c r="D473" s="3297"/>
      <c r="E473" s="3298">
        <f t="shared" si="239"/>
        <v>0</v>
      </c>
      <c r="F473" s="3299"/>
      <c r="G473" s="3300">
        <f t="shared" si="240"/>
        <v>0</v>
      </c>
      <c r="H473" s="3301">
        <f t="shared" si="241"/>
        <v>0</v>
      </c>
      <c r="I473" s="3308"/>
      <c r="J473" s="3308"/>
      <c r="K473" s="3308"/>
      <c r="L473" s="3308"/>
      <c r="M473" s="3308"/>
      <c r="N473" s="3308"/>
      <c r="O473" s="3308"/>
      <c r="P473" s="3308"/>
      <c r="Q473" s="3308"/>
      <c r="R473" s="3308"/>
      <c r="S473" s="3308"/>
      <c r="T473" s="3308"/>
      <c r="U473" s="3308"/>
      <c r="V473" s="3308"/>
      <c r="W473" s="3308"/>
      <c r="X473" s="3308"/>
      <c r="Y473" s="3308"/>
      <c r="Z473" s="3308"/>
      <c r="AA473" s="3308"/>
      <c r="AB473" s="3308"/>
      <c r="AC473" s="3298">
        <f t="shared" si="242"/>
        <v>0</v>
      </c>
      <c r="AD473" s="3318"/>
      <c r="AE473" s="3318"/>
      <c r="AF473" s="3318"/>
      <c r="AG473" s="3318"/>
      <c r="AH473" s="3318"/>
      <c r="AI473" s="3318"/>
      <c r="AJ473" s="3318"/>
      <c r="AK473" s="3318"/>
      <c r="AL473" s="3318"/>
      <c r="AM473" s="3318"/>
      <c r="AN473" s="3318"/>
      <c r="AO473" s="3318"/>
      <c r="AP473" s="3318"/>
      <c r="AQ473" s="3318"/>
      <c r="AR473" s="3318"/>
      <c r="AS473" s="3318"/>
      <c r="AT473" s="3328"/>
      <c r="AU473" s="3329"/>
      <c r="AV473" s="963">
        <f t="shared" si="243"/>
        <v>0</v>
      </c>
      <c r="AW473" s="963">
        <f t="shared" si="244"/>
        <v>0</v>
      </c>
      <c r="AX473" s="963">
        <f t="shared" si="245"/>
        <v>0</v>
      </c>
      <c r="AY473" s="3343">
        <f t="shared" si="246"/>
        <v>0</v>
      </c>
      <c r="AZ473" s="3298">
        <f t="shared" si="247"/>
        <v>0</v>
      </c>
      <c r="BA473" s="3298">
        <f t="shared" si="248"/>
        <v>0</v>
      </c>
      <c r="BB473" s="3298">
        <f t="shared" si="249"/>
        <v>0</v>
      </c>
      <c r="BC473" s="3298">
        <f t="shared" si="250"/>
        <v>0</v>
      </c>
      <c r="BD473" s="3298">
        <f t="shared" si="251"/>
        <v>0</v>
      </c>
      <c r="BE473" s="3298">
        <f t="shared" si="252"/>
        <v>0</v>
      </c>
      <c r="BF473" s="3298">
        <f t="shared" si="253"/>
        <v>0</v>
      </c>
      <c r="BG473" s="3298">
        <f t="shared" si="254"/>
        <v>0</v>
      </c>
      <c r="BH473" s="3298">
        <f t="shared" si="255"/>
        <v>0</v>
      </c>
      <c r="BI473" s="3298">
        <f t="shared" si="256"/>
        <v>0</v>
      </c>
      <c r="BJ473" s="3298">
        <f t="shared" si="257"/>
        <v>0</v>
      </c>
      <c r="BK473" s="3298">
        <f t="shared" si="258"/>
        <v>0</v>
      </c>
      <c r="BL473" s="3298">
        <f t="shared" si="259"/>
        <v>0</v>
      </c>
      <c r="BM473" s="3298">
        <f t="shared" si="260"/>
        <v>0</v>
      </c>
      <c r="BN473" s="3298">
        <f t="shared" si="261"/>
        <v>0</v>
      </c>
      <c r="BO473" s="3298">
        <f t="shared" si="262"/>
        <v>0</v>
      </c>
      <c r="BP473" s="3298">
        <f t="shared" si="263"/>
        <v>0</v>
      </c>
      <c r="BQ473" s="3298">
        <f t="shared" si="264"/>
        <v>0</v>
      </c>
      <c r="BR473" s="3298">
        <f t="shared" si="265"/>
        <v>0</v>
      </c>
      <c r="BS473" s="3298">
        <f t="shared" si="266"/>
        <v>0</v>
      </c>
      <c r="BT473" s="3350">
        <f t="shared" si="267"/>
        <v>0</v>
      </c>
    </row>
    <row r="474" spans="1:72">
      <c r="A474" s="1407"/>
      <c r="B474" s="3296"/>
      <c r="C474" s="3296"/>
      <c r="D474" s="3297"/>
      <c r="E474" s="3298">
        <f t="shared" si="239"/>
        <v>0</v>
      </c>
      <c r="F474" s="3299"/>
      <c r="G474" s="3300">
        <f t="shared" si="240"/>
        <v>0</v>
      </c>
      <c r="H474" s="3301">
        <f t="shared" si="241"/>
        <v>0</v>
      </c>
      <c r="I474" s="3308"/>
      <c r="J474" s="3308"/>
      <c r="K474" s="3308"/>
      <c r="L474" s="3308"/>
      <c r="M474" s="3308"/>
      <c r="N474" s="3308"/>
      <c r="O474" s="3308"/>
      <c r="P474" s="3308"/>
      <c r="Q474" s="3308"/>
      <c r="R474" s="3308"/>
      <c r="S474" s="3308"/>
      <c r="T474" s="3308"/>
      <c r="U474" s="3308"/>
      <c r="V474" s="3308"/>
      <c r="W474" s="3308"/>
      <c r="X474" s="3308"/>
      <c r="Y474" s="3308"/>
      <c r="Z474" s="3308"/>
      <c r="AA474" s="3308"/>
      <c r="AB474" s="3308"/>
      <c r="AC474" s="3298">
        <f t="shared" si="242"/>
        <v>0</v>
      </c>
      <c r="AD474" s="3318"/>
      <c r="AE474" s="3318"/>
      <c r="AF474" s="3318"/>
      <c r="AG474" s="3318"/>
      <c r="AH474" s="3318"/>
      <c r="AI474" s="3318"/>
      <c r="AJ474" s="3318"/>
      <c r="AK474" s="3318"/>
      <c r="AL474" s="3318"/>
      <c r="AM474" s="3318"/>
      <c r="AN474" s="3318"/>
      <c r="AO474" s="3318"/>
      <c r="AP474" s="3318"/>
      <c r="AQ474" s="3318"/>
      <c r="AR474" s="3318"/>
      <c r="AS474" s="3318"/>
      <c r="AT474" s="3328"/>
      <c r="AU474" s="3329"/>
      <c r="AV474" s="963">
        <f t="shared" si="243"/>
        <v>0</v>
      </c>
      <c r="AW474" s="963">
        <f t="shared" si="244"/>
        <v>0</v>
      </c>
      <c r="AX474" s="963">
        <f t="shared" si="245"/>
        <v>0</v>
      </c>
      <c r="AY474" s="3343">
        <f t="shared" si="246"/>
        <v>0</v>
      </c>
      <c r="AZ474" s="3298">
        <f t="shared" si="247"/>
        <v>0</v>
      </c>
      <c r="BA474" s="3298">
        <f t="shared" si="248"/>
        <v>0</v>
      </c>
      <c r="BB474" s="3298">
        <f t="shared" si="249"/>
        <v>0</v>
      </c>
      <c r="BC474" s="3298">
        <f t="shared" si="250"/>
        <v>0</v>
      </c>
      <c r="BD474" s="3298">
        <f t="shared" si="251"/>
        <v>0</v>
      </c>
      <c r="BE474" s="3298">
        <f t="shared" si="252"/>
        <v>0</v>
      </c>
      <c r="BF474" s="3298">
        <f t="shared" si="253"/>
        <v>0</v>
      </c>
      <c r="BG474" s="3298">
        <f t="shared" si="254"/>
        <v>0</v>
      </c>
      <c r="BH474" s="3298">
        <f t="shared" si="255"/>
        <v>0</v>
      </c>
      <c r="BI474" s="3298">
        <f t="shared" si="256"/>
        <v>0</v>
      </c>
      <c r="BJ474" s="3298">
        <f t="shared" si="257"/>
        <v>0</v>
      </c>
      <c r="BK474" s="3298">
        <f t="shared" si="258"/>
        <v>0</v>
      </c>
      <c r="BL474" s="3298">
        <f t="shared" si="259"/>
        <v>0</v>
      </c>
      <c r="BM474" s="3298">
        <f t="shared" si="260"/>
        <v>0</v>
      </c>
      <c r="BN474" s="3298">
        <f t="shared" si="261"/>
        <v>0</v>
      </c>
      <c r="BO474" s="3298">
        <f t="shared" si="262"/>
        <v>0</v>
      </c>
      <c r="BP474" s="3298">
        <f t="shared" si="263"/>
        <v>0</v>
      </c>
      <c r="BQ474" s="3298">
        <f t="shared" si="264"/>
        <v>0</v>
      </c>
      <c r="BR474" s="3298">
        <f t="shared" si="265"/>
        <v>0</v>
      </c>
      <c r="BS474" s="3298">
        <f t="shared" si="266"/>
        <v>0</v>
      </c>
      <c r="BT474" s="3350">
        <f t="shared" si="267"/>
        <v>0</v>
      </c>
    </row>
    <row r="475" spans="1:72">
      <c r="A475" s="1407"/>
      <c r="B475" s="3296"/>
      <c r="C475" s="3296"/>
      <c r="D475" s="3297"/>
      <c r="E475" s="3298">
        <f t="shared" si="239"/>
        <v>0</v>
      </c>
      <c r="F475" s="3299"/>
      <c r="G475" s="3300">
        <f t="shared" si="240"/>
        <v>0</v>
      </c>
      <c r="H475" s="3301">
        <f t="shared" si="241"/>
        <v>0</v>
      </c>
      <c r="I475" s="3308"/>
      <c r="J475" s="3308"/>
      <c r="K475" s="3308"/>
      <c r="L475" s="3308"/>
      <c r="M475" s="3308"/>
      <c r="N475" s="3308"/>
      <c r="O475" s="3308"/>
      <c r="P475" s="3308"/>
      <c r="Q475" s="3308"/>
      <c r="R475" s="3308"/>
      <c r="S475" s="3308"/>
      <c r="T475" s="3308"/>
      <c r="U475" s="3308"/>
      <c r="V475" s="3308"/>
      <c r="W475" s="3308"/>
      <c r="X475" s="3308"/>
      <c r="Y475" s="3308"/>
      <c r="Z475" s="3308"/>
      <c r="AA475" s="3308"/>
      <c r="AB475" s="3308"/>
      <c r="AC475" s="3298">
        <f t="shared" si="242"/>
        <v>0</v>
      </c>
      <c r="AD475" s="3318"/>
      <c r="AE475" s="3318"/>
      <c r="AF475" s="3318"/>
      <c r="AG475" s="3318"/>
      <c r="AH475" s="3318"/>
      <c r="AI475" s="3318"/>
      <c r="AJ475" s="3318"/>
      <c r="AK475" s="3318"/>
      <c r="AL475" s="3318"/>
      <c r="AM475" s="3318"/>
      <c r="AN475" s="3318"/>
      <c r="AO475" s="3318"/>
      <c r="AP475" s="3318"/>
      <c r="AQ475" s="3318"/>
      <c r="AR475" s="3318"/>
      <c r="AS475" s="3318"/>
      <c r="AT475" s="3328"/>
      <c r="AU475" s="3329"/>
      <c r="AV475" s="963">
        <f t="shared" si="243"/>
        <v>0</v>
      </c>
      <c r="AW475" s="963">
        <f t="shared" si="244"/>
        <v>0</v>
      </c>
      <c r="AX475" s="963">
        <f t="shared" si="245"/>
        <v>0</v>
      </c>
      <c r="AY475" s="3343">
        <f t="shared" si="246"/>
        <v>0</v>
      </c>
      <c r="AZ475" s="3298">
        <f t="shared" si="247"/>
        <v>0</v>
      </c>
      <c r="BA475" s="3298">
        <f t="shared" si="248"/>
        <v>0</v>
      </c>
      <c r="BB475" s="3298">
        <f t="shared" si="249"/>
        <v>0</v>
      </c>
      <c r="BC475" s="3298">
        <f t="shared" si="250"/>
        <v>0</v>
      </c>
      <c r="BD475" s="3298">
        <f t="shared" si="251"/>
        <v>0</v>
      </c>
      <c r="BE475" s="3298">
        <f t="shared" si="252"/>
        <v>0</v>
      </c>
      <c r="BF475" s="3298">
        <f t="shared" si="253"/>
        <v>0</v>
      </c>
      <c r="BG475" s="3298">
        <f t="shared" si="254"/>
        <v>0</v>
      </c>
      <c r="BH475" s="3298">
        <f t="shared" si="255"/>
        <v>0</v>
      </c>
      <c r="BI475" s="3298">
        <f t="shared" si="256"/>
        <v>0</v>
      </c>
      <c r="BJ475" s="3298">
        <f t="shared" si="257"/>
        <v>0</v>
      </c>
      <c r="BK475" s="3298">
        <f t="shared" si="258"/>
        <v>0</v>
      </c>
      <c r="BL475" s="3298">
        <f t="shared" si="259"/>
        <v>0</v>
      </c>
      <c r="BM475" s="3298">
        <f t="shared" si="260"/>
        <v>0</v>
      </c>
      <c r="BN475" s="3298">
        <f t="shared" si="261"/>
        <v>0</v>
      </c>
      <c r="BO475" s="3298">
        <f t="shared" si="262"/>
        <v>0</v>
      </c>
      <c r="BP475" s="3298">
        <f t="shared" si="263"/>
        <v>0</v>
      </c>
      <c r="BQ475" s="3298">
        <f t="shared" si="264"/>
        <v>0</v>
      </c>
      <c r="BR475" s="3298">
        <f t="shared" si="265"/>
        <v>0</v>
      </c>
      <c r="BS475" s="3298">
        <f t="shared" si="266"/>
        <v>0</v>
      </c>
      <c r="BT475" s="3350">
        <f t="shared" si="267"/>
        <v>0</v>
      </c>
    </row>
    <row r="476" spans="1:72">
      <c r="A476" s="1407"/>
      <c r="B476" s="3296"/>
      <c r="C476" s="3296"/>
      <c r="D476" s="3297"/>
      <c r="E476" s="3298">
        <f t="shared" si="239"/>
        <v>0</v>
      </c>
      <c r="F476" s="3299"/>
      <c r="G476" s="3300">
        <f t="shared" si="240"/>
        <v>0</v>
      </c>
      <c r="H476" s="3301">
        <f t="shared" si="241"/>
        <v>0</v>
      </c>
      <c r="I476" s="3308"/>
      <c r="J476" s="3308"/>
      <c r="K476" s="3308"/>
      <c r="L476" s="3308"/>
      <c r="M476" s="3308"/>
      <c r="N476" s="3308"/>
      <c r="O476" s="3308"/>
      <c r="P476" s="3308"/>
      <c r="Q476" s="3308"/>
      <c r="R476" s="3308"/>
      <c r="S476" s="3308"/>
      <c r="T476" s="3308"/>
      <c r="U476" s="3308"/>
      <c r="V476" s="3308"/>
      <c r="W476" s="3308"/>
      <c r="X476" s="3308"/>
      <c r="Y476" s="3308"/>
      <c r="Z476" s="3308"/>
      <c r="AA476" s="3308"/>
      <c r="AB476" s="3308"/>
      <c r="AC476" s="3298">
        <f t="shared" si="242"/>
        <v>0</v>
      </c>
      <c r="AD476" s="3318"/>
      <c r="AE476" s="3318"/>
      <c r="AF476" s="3318"/>
      <c r="AG476" s="3318"/>
      <c r="AH476" s="3318"/>
      <c r="AI476" s="3318"/>
      <c r="AJ476" s="3318"/>
      <c r="AK476" s="3318"/>
      <c r="AL476" s="3318"/>
      <c r="AM476" s="3318"/>
      <c r="AN476" s="3318"/>
      <c r="AO476" s="3318"/>
      <c r="AP476" s="3318"/>
      <c r="AQ476" s="3318"/>
      <c r="AR476" s="3318"/>
      <c r="AS476" s="3318"/>
      <c r="AT476" s="3328"/>
      <c r="AU476" s="3329"/>
      <c r="AV476" s="963">
        <f t="shared" si="243"/>
        <v>0</v>
      </c>
      <c r="AW476" s="963">
        <f t="shared" si="244"/>
        <v>0</v>
      </c>
      <c r="AX476" s="963">
        <f t="shared" si="245"/>
        <v>0</v>
      </c>
      <c r="AY476" s="3343">
        <f t="shared" si="246"/>
        <v>0</v>
      </c>
      <c r="AZ476" s="3298">
        <f t="shared" si="247"/>
        <v>0</v>
      </c>
      <c r="BA476" s="3298">
        <f t="shared" si="248"/>
        <v>0</v>
      </c>
      <c r="BB476" s="3298">
        <f t="shared" si="249"/>
        <v>0</v>
      </c>
      <c r="BC476" s="3298">
        <f t="shared" si="250"/>
        <v>0</v>
      </c>
      <c r="BD476" s="3298">
        <f t="shared" si="251"/>
        <v>0</v>
      </c>
      <c r="BE476" s="3298">
        <f t="shared" si="252"/>
        <v>0</v>
      </c>
      <c r="BF476" s="3298">
        <f t="shared" si="253"/>
        <v>0</v>
      </c>
      <c r="BG476" s="3298">
        <f t="shared" si="254"/>
        <v>0</v>
      </c>
      <c r="BH476" s="3298">
        <f t="shared" si="255"/>
        <v>0</v>
      </c>
      <c r="BI476" s="3298">
        <f t="shared" si="256"/>
        <v>0</v>
      </c>
      <c r="BJ476" s="3298">
        <f t="shared" si="257"/>
        <v>0</v>
      </c>
      <c r="BK476" s="3298">
        <f t="shared" si="258"/>
        <v>0</v>
      </c>
      <c r="BL476" s="3298">
        <f t="shared" si="259"/>
        <v>0</v>
      </c>
      <c r="BM476" s="3298">
        <f t="shared" si="260"/>
        <v>0</v>
      </c>
      <c r="BN476" s="3298">
        <f t="shared" si="261"/>
        <v>0</v>
      </c>
      <c r="BO476" s="3298">
        <f t="shared" si="262"/>
        <v>0</v>
      </c>
      <c r="BP476" s="3298">
        <f t="shared" si="263"/>
        <v>0</v>
      </c>
      <c r="BQ476" s="3298">
        <f t="shared" si="264"/>
        <v>0</v>
      </c>
      <c r="BR476" s="3298">
        <f t="shared" si="265"/>
        <v>0</v>
      </c>
      <c r="BS476" s="3298">
        <f t="shared" si="266"/>
        <v>0</v>
      </c>
      <c r="BT476" s="3350">
        <f t="shared" si="267"/>
        <v>0</v>
      </c>
    </row>
    <row r="477" spans="1:72">
      <c r="A477" s="1407"/>
      <c r="B477" s="3296"/>
      <c r="C477" s="3296"/>
      <c r="D477" s="3297"/>
      <c r="E477" s="3298">
        <f t="shared" si="239"/>
        <v>0</v>
      </c>
      <c r="F477" s="3299"/>
      <c r="G477" s="3300">
        <f t="shared" si="240"/>
        <v>0</v>
      </c>
      <c r="H477" s="3301">
        <f t="shared" si="241"/>
        <v>0</v>
      </c>
      <c r="I477" s="3308"/>
      <c r="J477" s="3308"/>
      <c r="K477" s="3308"/>
      <c r="L477" s="3308"/>
      <c r="M477" s="3308"/>
      <c r="N477" s="3308"/>
      <c r="O477" s="3308"/>
      <c r="P477" s="3308"/>
      <c r="Q477" s="3308"/>
      <c r="R477" s="3308"/>
      <c r="S477" s="3308"/>
      <c r="T477" s="3308"/>
      <c r="U477" s="3308"/>
      <c r="V477" s="3308"/>
      <c r="W477" s="3308"/>
      <c r="X477" s="3308"/>
      <c r="Y477" s="3308"/>
      <c r="Z477" s="3308"/>
      <c r="AA477" s="3308"/>
      <c r="AB477" s="3308"/>
      <c r="AC477" s="3298">
        <f t="shared" si="242"/>
        <v>0</v>
      </c>
      <c r="AD477" s="3318"/>
      <c r="AE477" s="3318"/>
      <c r="AF477" s="3318"/>
      <c r="AG477" s="3318"/>
      <c r="AH477" s="3318"/>
      <c r="AI477" s="3318"/>
      <c r="AJ477" s="3318"/>
      <c r="AK477" s="3318"/>
      <c r="AL477" s="3318"/>
      <c r="AM477" s="3318"/>
      <c r="AN477" s="3318"/>
      <c r="AO477" s="3318"/>
      <c r="AP477" s="3318"/>
      <c r="AQ477" s="3318"/>
      <c r="AR477" s="3318"/>
      <c r="AS477" s="3318"/>
      <c r="AT477" s="3328"/>
      <c r="AU477" s="3329"/>
      <c r="AV477" s="963">
        <f t="shared" si="243"/>
        <v>0</v>
      </c>
      <c r="AW477" s="963">
        <f t="shared" si="244"/>
        <v>0</v>
      </c>
      <c r="AX477" s="963">
        <f t="shared" si="245"/>
        <v>0</v>
      </c>
      <c r="AY477" s="3343">
        <f t="shared" si="246"/>
        <v>0</v>
      </c>
      <c r="AZ477" s="3298">
        <f t="shared" si="247"/>
        <v>0</v>
      </c>
      <c r="BA477" s="3298">
        <f t="shared" si="248"/>
        <v>0</v>
      </c>
      <c r="BB477" s="3298">
        <f t="shared" si="249"/>
        <v>0</v>
      </c>
      <c r="BC477" s="3298">
        <f t="shared" si="250"/>
        <v>0</v>
      </c>
      <c r="BD477" s="3298">
        <f t="shared" si="251"/>
        <v>0</v>
      </c>
      <c r="BE477" s="3298">
        <f t="shared" si="252"/>
        <v>0</v>
      </c>
      <c r="BF477" s="3298">
        <f t="shared" si="253"/>
        <v>0</v>
      </c>
      <c r="BG477" s="3298">
        <f t="shared" si="254"/>
        <v>0</v>
      </c>
      <c r="BH477" s="3298">
        <f t="shared" si="255"/>
        <v>0</v>
      </c>
      <c r="BI477" s="3298">
        <f t="shared" si="256"/>
        <v>0</v>
      </c>
      <c r="BJ477" s="3298">
        <f t="shared" si="257"/>
        <v>0</v>
      </c>
      <c r="BK477" s="3298">
        <f t="shared" si="258"/>
        <v>0</v>
      </c>
      <c r="BL477" s="3298">
        <f t="shared" si="259"/>
        <v>0</v>
      </c>
      <c r="BM477" s="3298">
        <f t="shared" si="260"/>
        <v>0</v>
      </c>
      <c r="BN477" s="3298">
        <f t="shared" si="261"/>
        <v>0</v>
      </c>
      <c r="BO477" s="3298">
        <f t="shared" si="262"/>
        <v>0</v>
      </c>
      <c r="BP477" s="3298">
        <f t="shared" si="263"/>
        <v>0</v>
      </c>
      <c r="BQ477" s="3298">
        <f t="shared" si="264"/>
        <v>0</v>
      </c>
      <c r="BR477" s="3298">
        <f t="shared" si="265"/>
        <v>0</v>
      </c>
      <c r="BS477" s="3298">
        <f t="shared" si="266"/>
        <v>0</v>
      </c>
      <c r="BT477" s="3350">
        <f t="shared" si="267"/>
        <v>0</v>
      </c>
    </row>
    <row r="478" spans="1:72">
      <c r="A478" s="1407"/>
      <c r="B478" s="3296"/>
      <c r="C478" s="3296"/>
      <c r="D478" s="3297"/>
      <c r="E478" s="3298">
        <f t="shared" si="239"/>
        <v>0</v>
      </c>
      <c r="F478" s="3299"/>
      <c r="G478" s="3300">
        <f t="shared" si="240"/>
        <v>0</v>
      </c>
      <c r="H478" s="3301">
        <f t="shared" si="241"/>
        <v>0</v>
      </c>
      <c r="I478" s="3308"/>
      <c r="J478" s="3308"/>
      <c r="K478" s="3308"/>
      <c r="L478" s="3308"/>
      <c r="M478" s="3308"/>
      <c r="N478" s="3308"/>
      <c r="O478" s="3308"/>
      <c r="P478" s="3308"/>
      <c r="Q478" s="3308"/>
      <c r="R478" s="3308"/>
      <c r="S478" s="3308"/>
      <c r="T478" s="3308"/>
      <c r="U478" s="3308"/>
      <c r="V478" s="3308"/>
      <c r="W478" s="3308"/>
      <c r="X478" s="3308"/>
      <c r="Y478" s="3308"/>
      <c r="Z478" s="3308"/>
      <c r="AA478" s="3308"/>
      <c r="AB478" s="3308"/>
      <c r="AC478" s="3298">
        <f t="shared" si="242"/>
        <v>0</v>
      </c>
      <c r="AD478" s="3318"/>
      <c r="AE478" s="3318"/>
      <c r="AF478" s="3318"/>
      <c r="AG478" s="3318"/>
      <c r="AH478" s="3318"/>
      <c r="AI478" s="3318"/>
      <c r="AJ478" s="3318"/>
      <c r="AK478" s="3318"/>
      <c r="AL478" s="3318"/>
      <c r="AM478" s="3318"/>
      <c r="AN478" s="3318"/>
      <c r="AO478" s="3318"/>
      <c r="AP478" s="3318"/>
      <c r="AQ478" s="3318"/>
      <c r="AR478" s="3318"/>
      <c r="AS478" s="3318"/>
      <c r="AT478" s="3328"/>
      <c r="AU478" s="3329"/>
      <c r="AV478" s="963">
        <f t="shared" si="243"/>
        <v>0</v>
      </c>
      <c r="AW478" s="963">
        <f t="shared" si="244"/>
        <v>0</v>
      </c>
      <c r="AX478" s="963">
        <f t="shared" si="245"/>
        <v>0</v>
      </c>
      <c r="AY478" s="3343">
        <f t="shared" si="246"/>
        <v>0</v>
      </c>
      <c r="AZ478" s="3298">
        <f t="shared" si="247"/>
        <v>0</v>
      </c>
      <c r="BA478" s="3298">
        <f t="shared" si="248"/>
        <v>0</v>
      </c>
      <c r="BB478" s="3298">
        <f t="shared" si="249"/>
        <v>0</v>
      </c>
      <c r="BC478" s="3298">
        <f t="shared" si="250"/>
        <v>0</v>
      </c>
      <c r="BD478" s="3298">
        <f t="shared" si="251"/>
        <v>0</v>
      </c>
      <c r="BE478" s="3298">
        <f t="shared" si="252"/>
        <v>0</v>
      </c>
      <c r="BF478" s="3298">
        <f t="shared" si="253"/>
        <v>0</v>
      </c>
      <c r="BG478" s="3298">
        <f t="shared" si="254"/>
        <v>0</v>
      </c>
      <c r="BH478" s="3298">
        <f t="shared" si="255"/>
        <v>0</v>
      </c>
      <c r="BI478" s="3298">
        <f t="shared" si="256"/>
        <v>0</v>
      </c>
      <c r="BJ478" s="3298">
        <f t="shared" si="257"/>
        <v>0</v>
      </c>
      <c r="BK478" s="3298">
        <f t="shared" si="258"/>
        <v>0</v>
      </c>
      <c r="BL478" s="3298">
        <f t="shared" si="259"/>
        <v>0</v>
      </c>
      <c r="BM478" s="3298">
        <f t="shared" si="260"/>
        <v>0</v>
      </c>
      <c r="BN478" s="3298">
        <f t="shared" si="261"/>
        <v>0</v>
      </c>
      <c r="BO478" s="3298">
        <f t="shared" si="262"/>
        <v>0</v>
      </c>
      <c r="BP478" s="3298">
        <f t="shared" si="263"/>
        <v>0</v>
      </c>
      <c r="BQ478" s="3298">
        <f t="shared" si="264"/>
        <v>0</v>
      </c>
      <c r="BR478" s="3298">
        <f t="shared" si="265"/>
        <v>0</v>
      </c>
      <c r="BS478" s="3298">
        <f t="shared" si="266"/>
        <v>0</v>
      </c>
      <c r="BT478" s="3350">
        <f t="shared" si="267"/>
        <v>0</v>
      </c>
    </row>
    <row r="479" spans="1:72">
      <c r="A479" s="1407"/>
      <c r="B479" s="3296"/>
      <c r="C479" s="3296"/>
      <c r="D479" s="3297"/>
      <c r="E479" s="3298">
        <f t="shared" si="239"/>
        <v>0</v>
      </c>
      <c r="F479" s="3299"/>
      <c r="G479" s="3300">
        <f t="shared" si="240"/>
        <v>0</v>
      </c>
      <c r="H479" s="3301">
        <f t="shared" si="241"/>
        <v>0</v>
      </c>
      <c r="I479" s="3308"/>
      <c r="J479" s="3308"/>
      <c r="K479" s="3308"/>
      <c r="L479" s="3308"/>
      <c r="M479" s="3308"/>
      <c r="N479" s="3308"/>
      <c r="O479" s="3308"/>
      <c r="P479" s="3308"/>
      <c r="Q479" s="3308"/>
      <c r="R479" s="3308"/>
      <c r="S479" s="3308"/>
      <c r="T479" s="3308"/>
      <c r="U479" s="3308"/>
      <c r="V479" s="3308"/>
      <c r="W479" s="3308"/>
      <c r="X479" s="3308"/>
      <c r="Y479" s="3308"/>
      <c r="Z479" s="3308"/>
      <c r="AA479" s="3308"/>
      <c r="AB479" s="3308"/>
      <c r="AC479" s="3298">
        <f t="shared" si="242"/>
        <v>0</v>
      </c>
      <c r="AD479" s="3318"/>
      <c r="AE479" s="3318"/>
      <c r="AF479" s="3318"/>
      <c r="AG479" s="3318"/>
      <c r="AH479" s="3318"/>
      <c r="AI479" s="3318"/>
      <c r="AJ479" s="3318"/>
      <c r="AK479" s="3318"/>
      <c r="AL479" s="3318"/>
      <c r="AM479" s="3318"/>
      <c r="AN479" s="3318"/>
      <c r="AO479" s="3318"/>
      <c r="AP479" s="3318"/>
      <c r="AQ479" s="3318"/>
      <c r="AR479" s="3318"/>
      <c r="AS479" s="3318"/>
      <c r="AT479" s="3328"/>
      <c r="AU479" s="3329"/>
      <c r="AV479" s="963">
        <f t="shared" si="243"/>
        <v>0</v>
      </c>
      <c r="AW479" s="963">
        <f t="shared" si="244"/>
        <v>0</v>
      </c>
      <c r="AX479" s="963">
        <f t="shared" si="245"/>
        <v>0</v>
      </c>
      <c r="AY479" s="3343">
        <f t="shared" si="246"/>
        <v>0</v>
      </c>
      <c r="AZ479" s="3298">
        <f t="shared" si="247"/>
        <v>0</v>
      </c>
      <c r="BA479" s="3298">
        <f t="shared" si="248"/>
        <v>0</v>
      </c>
      <c r="BB479" s="3298">
        <f t="shared" si="249"/>
        <v>0</v>
      </c>
      <c r="BC479" s="3298">
        <f t="shared" si="250"/>
        <v>0</v>
      </c>
      <c r="BD479" s="3298">
        <f t="shared" si="251"/>
        <v>0</v>
      </c>
      <c r="BE479" s="3298">
        <f t="shared" si="252"/>
        <v>0</v>
      </c>
      <c r="BF479" s="3298">
        <f t="shared" si="253"/>
        <v>0</v>
      </c>
      <c r="BG479" s="3298">
        <f t="shared" si="254"/>
        <v>0</v>
      </c>
      <c r="BH479" s="3298">
        <f t="shared" si="255"/>
        <v>0</v>
      </c>
      <c r="BI479" s="3298">
        <f t="shared" si="256"/>
        <v>0</v>
      </c>
      <c r="BJ479" s="3298">
        <f t="shared" si="257"/>
        <v>0</v>
      </c>
      <c r="BK479" s="3298">
        <f t="shared" si="258"/>
        <v>0</v>
      </c>
      <c r="BL479" s="3298">
        <f t="shared" si="259"/>
        <v>0</v>
      </c>
      <c r="BM479" s="3298">
        <f t="shared" si="260"/>
        <v>0</v>
      </c>
      <c r="BN479" s="3298">
        <f t="shared" si="261"/>
        <v>0</v>
      </c>
      <c r="BO479" s="3298">
        <f t="shared" si="262"/>
        <v>0</v>
      </c>
      <c r="BP479" s="3298">
        <f t="shared" si="263"/>
        <v>0</v>
      </c>
      <c r="BQ479" s="3298">
        <f t="shared" si="264"/>
        <v>0</v>
      </c>
      <c r="BR479" s="3298">
        <f t="shared" si="265"/>
        <v>0</v>
      </c>
      <c r="BS479" s="3298">
        <f t="shared" si="266"/>
        <v>0</v>
      </c>
      <c r="BT479" s="3350">
        <f t="shared" si="267"/>
        <v>0</v>
      </c>
    </row>
    <row r="480" spans="1:72">
      <c r="A480" s="1407"/>
      <c r="B480" s="3296"/>
      <c r="C480" s="3296"/>
      <c r="D480" s="3297"/>
      <c r="E480" s="3298">
        <f t="shared" si="239"/>
        <v>0</v>
      </c>
      <c r="F480" s="3299"/>
      <c r="G480" s="3300">
        <f t="shared" si="240"/>
        <v>0</v>
      </c>
      <c r="H480" s="3301">
        <f t="shared" si="241"/>
        <v>0</v>
      </c>
      <c r="I480" s="3308"/>
      <c r="J480" s="3308"/>
      <c r="K480" s="3308"/>
      <c r="L480" s="3308"/>
      <c r="M480" s="3308"/>
      <c r="N480" s="3308"/>
      <c r="O480" s="3308"/>
      <c r="P480" s="3308"/>
      <c r="Q480" s="3308"/>
      <c r="R480" s="3308"/>
      <c r="S480" s="3308"/>
      <c r="T480" s="3308"/>
      <c r="U480" s="3308"/>
      <c r="V480" s="3308"/>
      <c r="W480" s="3308"/>
      <c r="X480" s="3308"/>
      <c r="Y480" s="3308"/>
      <c r="Z480" s="3308"/>
      <c r="AA480" s="3308"/>
      <c r="AB480" s="3308"/>
      <c r="AC480" s="3298">
        <f t="shared" si="242"/>
        <v>0</v>
      </c>
      <c r="AD480" s="3318"/>
      <c r="AE480" s="3318"/>
      <c r="AF480" s="3318"/>
      <c r="AG480" s="3318"/>
      <c r="AH480" s="3318"/>
      <c r="AI480" s="3318"/>
      <c r="AJ480" s="3318"/>
      <c r="AK480" s="3318"/>
      <c r="AL480" s="3318"/>
      <c r="AM480" s="3318"/>
      <c r="AN480" s="3318"/>
      <c r="AO480" s="3318"/>
      <c r="AP480" s="3318"/>
      <c r="AQ480" s="3318"/>
      <c r="AR480" s="3318"/>
      <c r="AS480" s="3318"/>
      <c r="AT480" s="3328"/>
      <c r="AU480" s="3329"/>
      <c r="AV480" s="963">
        <f t="shared" si="243"/>
        <v>0</v>
      </c>
      <c r="AW480" s="963">
        <f t="shared" si="244"/>
        <v>0</v>
      </c>
      <c r="AX480" s="963">
        <f t="shared" si="245"/>
        <v>0</v>
      </c>
      <c r="AY480" s="3343">
        <f t="shared" si="246"/>
        <v>0</v>
      </c>
      <c r="AZ480" s="3298">
        <f t="shared" si="247"/>
        <v>0</v>
      </c>
      <c r="BA480" s="3298">
        <f t="shared" si="248"/>
        <v>0</v>
      </c>
      <c r="BB480" s="3298">
        <f t="shared" si="249"/>
        <v>0</v>
      </c>
      <c r="BC480" s="3298">
        <f t="shared" si="250"/>
        <v>0</v>
      </c>
      <c r="BD480" s="3298">
        <f t="shared" si="251"/>
        <v>0</v>
      </c>
      <c r="BE480" s="3298">
        <f t="shared" si="252"/>
        <v>0</v>
      </c>
      <c r="BF480" s="3298">
        <f t="shared" si="253"/>
        <v>0</v>
      </c>
      <c r="BG480" s="3298">
        <f t="shared" si="254"/>
        <v>0</v>
      </c>
      <c r="BH480" s="3298">
        <f t="shared" si="255"/>
        <v>0</v>
      </c>
      <c r="BI480" s="3298">
        <f t="shared" si="256"/>
        <v>0</v>
      </c>
      <c r="BJ480" s="3298">
        <f t="shared" si="257"/>
        <v>0</v>
      </c>
      <c r="BK480" s="3298">
        <f t="shared" si="258"/>
        <v>0</v>
      </c>
      <c r="BL480" s="3298">
        <f t="shared" si="259"/>
        <v>0</v>
      </c>
      <c r="BM480" s="3298">
        <f t="shared" si="260"/>
        <v>0</v>
      </c>
      <c r="BN480" s="3298">
        <f t="shared" si="261"/>
        <v>0</v>
      </c>
      <c r="BO480" s="3298">
        <f t="shared" si="262"/>
        <v>0</v>
      </c>
      <c r="BP480" s="3298">
        <f t="shared" si="263"/>
        <v>0</v>
      </c>
      <c r="BQ480" s="3298">
        <f t="shared" si="264"/>
        <v>0</v>
      </c>
      <c r="BR480" s="3298">
        <f t="shared" si="265"/>
        <v>0</v>
      </c>
      <c r="BS480" s="3298">
        <f t="shared" si="266"/>
        <v>0</v>
      </c>
      <c r="BT480" s="3350">
        <f t="shared" si="267"/>
        <v>0</v>
      </c>
    </row>
    <row r="481" spans="1:72">
      <c r="A481" s="1407"/>
      <c r="B481" s="3296"/>
      <c r="C481" s="3296"/>
      <c r="D481" s="3297"/>
      <c r="E481" s="3298">
        <f t="shared" si="239"/>
        <v>0</v>
      </c>
      <c r="F481" s="3299"/>
      <c r="G481" s="3300">
        <f t="shared" si="240"/>
        <v>0</v>
      </c>
      <c r="H481" s="3301">
        <f t="shared" si="241"/>
        <v>0</v>
      </c>
      <c r="I481" s="3308"/>
      <c r="J481" s="3308"/>
      <c r="K481" s="3308"/>
      <c r="L481" s="3308"/>
      <c r="M481" s="3308"/>
      <c r="N481" s="3308"/>
      <c r="O481" s="3308"/>
      <c r="P481" s="3308"/>
      <c r="Q481" s="3308"/>
      <c r="R481" s="3308"/>
      <c r="S481" s="3308"/>
      <c r="T481" s="3308"/>
      <c r="U481" s="3308"/>
      <c r="V481" s="3308"/>
      <c r="W481" s="3308"/>
      <c r="X481" s="3308"/>
      <c r="Y481" s="3308"/>
      <c r="Z481" s="3308"/>
      <c r="AA481" s="3308"/>
      <c r="AB481" s="3308"/>
      <c r="AC481" s="3298">
        <f t="shared" si="242"/>
        <v>0</v>
      </c>
      <c r="AD481" s="3318"/>
      <c r="AE481" s="3318"/>
      <c r="AF481" s="3318"/>
      <c r="AG481" s="3318"/>
      <c r="AH481" s="3318"/>
      <c r="AI481" s="3318"/>
      <c r="AJ481" s="3318"/>
      <c r="AK481" s="3318"/>
      <c r="AL481" s="3318"/>
      <c r="AM481" s="3318"/>
      <c r="AN481" s="3318"/>
      <c r="AO481" s="3318"/>
      <c r="AP481" s="3318"/>
      <c r="AQ481" s="3318"/>
      <c r="AR481" s="3318"/>
      <c r="AS481" s="3318"/>
      <c r="AT481" s="3328"/>
      <c r="AU481" s="3329"/>
      <c r="AV481" s="963">
        <f t="shared" si="243"/>
        <v>0</v>
      </c>
      <c r="AW481" s="963">
        <f t="shared" si="244"/>
        <v>0</v>
      </c>
      <c r="AX481" s="963">
        <f t="shared" si="245"/>
        <v>0</v>
      </c>
      <c r="AY481" s="3343">
        <f t="shared" si="246"/>
        <v>0</v>
      </c>
      <c r="AZ481" s="3298">
        <f t="shared" si="247"/>
        <v>0</v>
      </c>
      <c r="BA481" s="3298">
        <f t="shared" si="248"/>
        <v>0</v>
      </c>
      <c r="BB481" s="3298">
        <f t="shared" si="249"/>
        <v>0</v>
      </c>
      <c r="BC481" s="3298">
        <f t="shared" si="250"/>
        <v>0</v>
      </c>
      <c r="BD481" s="3298">
        <f t="shared" si="251"/>
        <v>0</v>
      </c>
      <c r="BE481" s="3298">
        <f t="shared" si="252"/>
        <v>0</v>
      </c>
      <c r="BF481" s="3298">
        <f t="shared" si="253"/>
        <v>0</v>
      </c>
      <c r="BG481" s="3298">
        <f t="shared" si="254"/>
        <v>0</v>
      </c>
      <c r="BH481" s="3298">
        <f t="shared" si="255"/>
        <v>0</v>
      </c>
      <c r="BI481" s="3298">
        <f t="shared" si="256"/>
        <v>0</v>
      </c>
      <c r="BJ481" s="3298">
        <f t="shared" si="257"/>
        <v>0</v>
      </c>
      <c r="BK481" s="3298">
        <f t="shared" si="258"/>
        <v>0</v>
      </c>
      <c r="BL481" s="3298">
        <f t="shared" si="259"/>
        <v>0</v>
      </c>
      <c r="BM481" s="3298">
        <f t="shared" si="260"/>
        <v>0</v>
      </c>
      <c r="BN481" s="3298">
        <f t="shared" si="261"/>
        <v>0</v>
      </c>
      <c r="BO481" s="3298">
        <f t="shared" si="262"/>
        <v>0</v>
      </c>
      <c r="BP481" s="3298">
        <f t="shared" si="263"/>
        <v>0</v>
      </c>
      <c r="BQ481" s="3298">
        <f t="shared" si="264"/>
        <v>0</v>
      </c>
      <c r="BR481" s="3298">
        <f t="shared" si="265"/>
        <v>0</v>
      </c>
      <c r="BS481" s="3298">
        <f t="shared" si="266"/>
        <v>0</v>
      </c>
      <c r="BT481" s="3350">
        <f t="shared" si="267"/>
        <v>0</v>
      </c>
    </row>
    <row r="482" spans="1:72">
      <c r="A482" s="1407"/>
      <c r="B482" s="3296"/>
      <c r="C482" s="3296"/>
      <c r="D482" s="3297"/>
      <c r="E482" s="3298">
        <f t="shared" si="239"/>
        <v>0</v>
      </c>
      <c r="F482" s="3299"/>
      <c r="G482" s="3300">
        <f t="shared" si="240"/>
        <v>0</v>
      </c>
      <c r="H482" s="3301">
        <f t="shared" si="241"/>
        <v>0</v>
      </c>
      <c r="I482" s="3308"/>
      <c r="J482" s="3308"/>
      <c r="K482" s="3308"/>
      <c r="L482" s="3308"/>
      <c r="M482" s="3308"/>
      <c r="N482" s="3308"/>
      <c r="O482" s="3308"/>
      <c r="P482" s="3308"/>
      <c r="Q482" s="3308"/>
      <c r="R482" s="3308"/>
      <c r="S482" s="3308"/>
      <c r="T482" s="3308"/>
      <c r="U482" s="3308"/>
      <c r="V482" s="3308"/>
      <c r="W482" s="3308"/>
      <c r="X482" s="3308"/>
      <c r="Y482" s="3308"/>
      <c r="Z482" s="3308"/>
      <c r="AA482" s="3308"/>
      <c r="AB482" s="3308"/>
      <c r="AC482" s="3298">
        <f t="shared" si="242"/>
        <v>0</v>
      </c>
      <c r="AD482" s="3318"/>
      <c r="AE482" s="3318"/>
      <c r="AF482" s="3318"/>
      <c r="AG482" s="3318"/>
      <c r="AH482" s="3318"/>
      <c r="AI482" s="3318"/>
      <c r="AJ482" s="3318"/>
      <c r="AK482" s="3318"/>
      <c r="AL482" s="3318"/>
      <c r="AM482" s="3318"/>
      <c r="AN482" s="3318"/>
      <c r="AO482" s="3318"/>
      <c r="AP482" s="3318"/>
      <c r="AQ482" s="3318"/>
      <c r="AR482" s="3318"/>
      <c r="AS482" s="3318"/>
      <c r="AT482" s="3328"/>
      <c r="AU482" s="3329"/>
      <c r="AV482" s="963">
        <f t="shared" si="243"/>
        <v>0</v>
      </c>
      <c r="AW482" s="963">
        <f t="shared" si="244"/>
        <v>0</v>
      </c>
      <c r="AX482" s="963">
        <f t="shared" si="245"/>
        <v>0</v>
      </c>
      <c r="AY482" s="3343">
        <f t="shared" si="246"/>
        <v>0</v>
      </c>
      <c r="AZ482" s="3298">
        <f t="shared" si="247"/>
        <v>0</v>
      </c>
      <c r="BA482" s="3298">
        <f t="shared" si="248"/>
        <v>0</v>
      </c>
      <c r="BB482" s="3298">
        <f t="shared" si="249"/>
        <v>0</v>
      </c>
      <c r="BC482" s="3298">
        <f t="shared" si="250"/>
        <v>0</v>
      </c>
      <c r="BD482" s="3298">
        <f t="shared" si="251"/>
        <v>0</v>
      </c>
      <c r="BE482" s="3298">
        <f t="shared" si="252"/>
        <v>0</v>
      </c>
      <c r="BF482" s="3298">
        <f t="shared" si="253"/>
        <v>0</v>
      </c>
      <c r="BG482" s="3298">
        <f t="shared" si="254"/>
        <v>0</v>
      </c>
      <c r="BH482" s="3298">
        <f t="shared" si="255"/>
        <v>0</v>
      </c>
      <c r="BI482" s="3298">
        <f t="shared" si="256"/>
        <v>0</v>
      </c>
      <c r="BJ482" s="3298">
        <f t="shared" si="257"/>
        <v>0</v>
      </c>
      <c r="BK482" s="3298">
        <f t="shared" si="258"/>
        <v>0</v>
      </c>
      <c r="BL482" s="3298">
        <f t="shared" si="259"/>
        <v>0</v>
      </c>
      <c r="BM482" s="3298">
        <f t="shared" si="260"/>
        <v>0</v>
      </c>
      <c r="BN482" s="3298">
        <f t="shared" si="261"/>
        <v>0</v>
      </c>
      <c r="BO482" s="3298">
        <f t="shared" si="262"/>
        <v>0</v>
      </c>
      <c r="BP482" s="3298">
        <f t="shared" si="263"/>
        <v>0</v>
      </c>
      <c r="BQ482" s="3298">
        <f t="shared" si="264"/>
        <v>0</v>
      </c>
      <c r="BR482" s="3298">
        <f t="shared" si="265"/>
        <v>0</v>
      </c>
      <c r="BS482" s="3298">
        <f t="shared" si="266"/>
        <v>0</v>
      </c>
      <c r="BT482" s="3350">
        <f t="shared" si="267"/>
        <v>0</v>
      </c>
    </row>
    <row r="483" spans="1:72">
      <c r="A483" s="1407"/>
      <c r="B483" s="3296"/>
      <c r="C483" s="3296"/>
      <c r="D483" s="3297"/>
      <c r="E483" s="3298">
        <f t="shared" si="239"/>
        <v>0</v>
      </c>
      <c r="F483" s="3299"/>
      <c r="G483" s="3300">
        <f t="shared" si="240"/>
        <v>0</v>
      </c>
      <c r="H483" s="3301">
        <f t="shared" si="241"/>
        <v>0</v>
      </c>
      <c r="I483" s="3308"/>
      <c r="J483" s="3308"/>
      <c r="K483" s="3308"/>
      <c r="L483" s="3308"/>
      <c r="M483" s="3308"/>
      <c r="N483" s="3308"/>
      <c r="O483" s="3308"/>
      <c r="P483" s="3308"/>
      <c r="Q483" s="3308"/>
      <c r="R483" s="3308"/>
      <c r="S483" s="3308"/>
      <c r="T483" s="3308"/>
      <c r="U483" s="3308"/>
      <c r="V483" s="3308"/>
      <c r="W483" s="3308"/>
      <c r="X483" s="3308"/>
      <c r="Y483" s="3308"/>
      <c r="Z483" s="3308"/>
      <c r="AA483" s="3308"/>
      <c r="AB483" s="3308"/>
      <c r="AC483" s="3298">
        <f t="shared" si="242"/>
        <v>0</v>
      </c>
      <c r="AD483" s="3318"/>
      <c r="AE483" s="3318"/>
      <c r="AF483" s="3318"/>
      <c r="AG483" s="3318"/>
      <c r="AH483" s="3318"/>
      <c r="AI483" s="3318"/>
      <c r="AJ483" s="3318"/>
      <c r="AK483" s="3318"/>
      <c r="AL483" s="3318"/>
      <c r="AM483" s="3318"/>
      <c r="AN483" s="3318"/>
      <c r="AO483" s="3318"/>
      <c r="AP483" s="3318"/>
      <c r="AQ483" s="3318"/>
      <c r="AR483" s="3318"/>
      <c r="AS483" s="3318"/>
      <c r="AT483" s="3328"/>
      <c r="AU483" s="3329"/>
      <c r="AV483" s="963">
        <f t="shared" si="243"/>
        <v>0</v>
      </c>
      <c r="AW483" s="963">
        <f t="shared" si="244"/>
        <v>0</v>
      </c>
      <c r="AX483" s="963">
        <f t="shared" si="245"/>
        <v>0</v>
      </c>
      <c r="AY483" s="3343">
        <f t="shared" si="246"/>
        <v>0</v>
      </c>
      <c r="AZ483" s="3298">
        <f t="shared" si="247"/>
        <v>0</v>
      </c>
      <c r="BA483" s="3298">
        <f t="shared" si="248"/>
        <v>0</v>
      </c>
      <c r="BB483" s="3298">
        <f t="shared" si="249"/>
        <v>0</v>
      </c>
      <c r="BC483" s="3298">
        <f t="shared" si="250"/>
        <v>0</v>
      </c>
      <c r="BD483" s="3298">
        <f t="shared" si="251"/>
        <v>0</v>
      </c>
      <c r="BE483" s="3298">
        <f t="shared" si="252"/>
        <v>0</v>
      </c>
      <c r="BF483" s="3298">
        <f t="shared" si="253"/>
        <v>0</v>
      </c>
      <c r="BG483" s="3298">
        <f t="shared" si="254"/>
        <v>0</v>
      </c>
      <c r="BH483" s="3298">
        <f t="shared" si="255"/>
        <v>0</v>
      </c>
      <c r="BI483" s="3298">
        <f t="shared" si="256"/>
        <v>0</v>
      </c>
      <c r="BJ483" s="3298">
        <f t="shared" si="257"/>
        <v>0</v>
      </c>
      <c r="BK483" s="3298">
        <f t="shared" si="258"/>
        <v>0</v>
      </c>
      <c r="BL483" s="3298">
        <f t="shared" si="259"/>
        <v>0</v>
      </c>
      <c r="BM483" s="3298">
        <f t="shared" si="260"/>
        <v>0</v>
      </c>
      <c r="BN483" s="3298">
        <f t="shared" si="261"/>
        <v>0</v>
      </c>
      <c r="BO483" s="3298">
        <f t="shared" si="262"/>
        <v>0</v>
      </c>
      <c r="BP483" s="3298">
        <f t="shared" si="263"/>
        <v>0</v>
      </c>
      <c r="BQ483" s="3298">
        <f t="shared" si="264"/>
        <v>0</v>
      </c>
      <c r="BR483" s="3298">
        <f t="shared" si="265"/>
        <v>0</v>
      </c>
      <c r="BS483" s="3298">
        <f t="shared" si="266"/>
        <v>0</v>
      </c>
      <c r="BT483" s="3350">
        <f t="shared" si="267"/>
        <v>0</v>
      </c>
    </row>
    <row r="484" spans="1:72">
      <c r="A484" s="1407"/>
      <c r="B484" s="3296"/>
      <c r="C484" s="3296"/>
      <c r="D484" s="3297"/>
      <c r="E484" s="3298">
        <f t="shared" si="239"/>
        <v>0</v>
      </c>
      <c r="F484" s="3299"/>
      <c r="G484" s="3300">
        <f t="shared" si="240"/>
        <v>0</v>
      </c>
      <c r="H484" s="3301">
        <f t="shared" si="241"/>
        <v>0</v>
      </c>
      <c r="I484" s="3308"/>
      <c r="J484" s="3308"/>
      <c r="K484" s="3308"/>
      <c r="L484" s="3308"/>
      <c r="M484" s="3308"/>
      <c r="N484" s="3308"/>
      <c r="O484" s="3308"/>
      <c r="P484" s="3308"/>
      <c r="Q484" s="3308"/>
      <c r="R484" s="3308"/>
      <c r="S484" s="3308"/>
      <c r="T484" s="3308"/>
      <c r="U484" s="3308"/>
      <c r="V484" s="3308"/>
      <c r="W484" s="3308"/>
      <c r="X484" s="3308"/>
      <c r="Y484" s="3308"/>
      <c r="Z484" s="3308"/>
      <c r="AA484" s="3308"/>
      <c r="AB484" s="3308"/>
      <c r="AC484" s="3298">
        <f t="shared" si="242"/>
        <v>0</v>
      </c>
      <c r="AD484" s="3318"/>
      <c r="AE484" s="3318"/>
      <c r="AF484" s="3318"/>
      <c r="AG484" s="3318"/>
      <c r="AH484" s="3318"/>
      <c r="AI484" s="3318"/>
      <c r="AJ484" s="3318"/>
      <c r="AK484" s="3318"/>
      <c r="AL484" s="3318"/>
      <c r="AM484" s="3318"/>
      <c r="AN484" s="3318"/>
      <c r="AO484" s="3318"/>
      <c r="AP484" s="3318"/>
      <c r="AQ484" s="3318"/>
      <c r="AR484" s="3318"/>
      <c r="AS484" s="3318"/>
      <c r="AT484" s="3328"/>
      <c r="AU484" s="3329"/>
      <c r="AV484" s="963">
        <f t="shared" si="243"/>
        <v>0</v>
      </c>
      <c r="AW484" s="963">
        <f t="shared" si="244"/>
        <v>0</v>
      </c>
      <c r="AX484" s="963">
        <f t="shared" si="245"/>
        <v>0</v>
      </c>
      <c r="AY484" s="3343">
        <f t="shared" si="246"/>
        <v>0</v>
      </c>
      <c r="AZ484" s="3298">
        <f t="shared" si="247"/>
        <v>0</v>
      </c>
      <c r="BA484" s="3298">
        <f t="shared" si="248"/>
        <v>0</v>
      </c>
      <c r="BB484" s="3298">
        <f t="shared" si="249"/>
        <v>0</v>
      </c>
      <c r="BC484" s="3298">
        <f t="shared" si="250"/>
        <v>0</v>
      </c>
      <c r="BD484" s="3298">
        <f t="shared" si="251"/>
        <v>0</v>
      </c>
      <c r="BE484" s="3298">
        <f t="shared" si="252"/>
        <v>0</v>
      </c>
      <c r="BF484" s="3298">
        <f t="shared" si="253"/>
        <v>0</v>
      </c>
      <c r="BG484" s="3298">
        <f t="shared" si="254"/>
        <v>0</v>
      </c>
      <c r="BH484" s="3298">
        <f t="shared" si="255"/>
        <v>0</v>
      </c>
      <c r="BI484" s="3298">
        <f t="shared" si="256"/>
        <v>0</v>
      </c>
      <c r="BJ484" s="3298">
        <f t="shared" si="257"/>
        <v>0</v>
      </c>
      <c r="BK484" s="3298">
        <f t="shared" si="258"/>
        <v>0</v>
      </c>
      <c r="BL484" s="3298">
        <f t="shared" si="259"/>
        <v>0</v>
      </c>
      <c r="BM484" s="3298">
        <f t="shared" si="260"/>
        <v>0</v>
      </c>
      <c r="BN484" s="3298">
        <f t="shared" si="261"/>
        <v>0</v>
      </c>
      <c r="BO484" s="3298">
        <f t="shared" si="262"/>
        <v>0</v>
      </c>
      <c r="BP484" s="3298">
        <f t="shared" si="263"/>
        <v>0</v>
      </c>
      <c r="BQ484" s="3298">
        <f t="shared" si="264"/>
        <v>0</v>
      </c>
      <c r="BR484" s="3298">
        <f t="shared" si="265"/>
        <v>0</v>
      </c>
      <c r="BS484" s="3298">
        <f t="shared" si="266"/>
        <v>0</v>
      </c>
      <c r="BT484" s="3350">
        <f t="shared" si="267"/>
        <v>0</v>
      </c>
    </row>
    <row r="485" spans="1:72">
      <c r="A485" s="1407"/>
      <c r="B485" s="3296"/>
      <c r="C485" s="3296"/>
      <c r="D485" s="3297"/>
      <c r="E485" s="3298">
        <f t="shared" si="239"/>
        <v>0</v>
      </c>
      <c r="F485" s="3299"/>
      <c r="G485" s="3300">
        <f t="shared" si="240"/>
        <v>0</v>
      </c>
      <c r="H485" s="3301">
        <f t="shared" si="241"/>
        <v>0</v>
      </c>
      <c r="I485" s="3308"/>
      <c r="J485" s="3308"/>
      <c r="K485" s="3308"/>
      <c r="L485" s="3308"/>
      <c r="M485" s="3308"/>
      <c r="N485" s="3308"/>
      <c r="O485" s="3308"/>
      <c r="P485" s="3308"/>
      <c r="Q485" s="3308"/>
      <c r="R485" s="3308"/>
      <c r="S485" s="3308"/>
      <c r="T485" s="3308"/>
      <c r="U485" s="3308"/>
      <c r="V485" s="3308"/>
      <c r="W485" s="3308"/>
      <c r="X485" s="3308"/>
      <c r="Y485" s="3308"/>
      <c r="Z485" s="3308"/>
      <c r="AA485" s="3308"/>
      <c r="AB485" s="3308"/>
      <c r="AC485" s="3298">
        <f t="shared" si="242"/>
        <v>0</v>
      </c>
      <c r="AD485" s="3318"/>
      <c r="AE485" s="3318"/>
      <c r="AF485" s="3318"/>
      <c r="AG485" s="3318"/>
      <c r="AH485" s="3318"/>
      <c r="AI485" s="3318"/>
      <c r="AJ485" s="3318"/>
      <c r="AK485" s="3318"/>
      <c r="AL485" s="3318"/>
      <c r="AM485" s="3318"/>
      <c r="AN485" s="3318"/>
      <c r="AO485" s="3318"/>
      <c r="AP485" s="3318"/>
      <c r="AQ485" s="3318"/>
      <c r="AR485" s="3318"/>
      <c r="AS485" s="3318"/>
      <c r="AT485" s="3328"/>
      <c r="AU485" s="3329"/>
      <c r="AV485" s="963">
        <f t="shared" si="243"/>
        <v>0</v>
      </c>
      <c r="AW485" s="963">
        <f t="shared" si="244"/>
        <v>0</v>
      </c>
      <c r="AX485" s="963">
        <f t="shared" si="245"/>
        <v>0</v>
      </c>
      <c r="AY485" s="3343">
        <f t="shared" si="246"/>
        <v>0</v>
      </c>
      <c r="AZ485" s="3298">
        <f t="shared" si="247"/>
        <v>0</v>
      </c>
      <c r="BA485" s="3298">
        <f t="shared" si="248"/>
        <v>0</v>
      </c>
      <c r="BB485" s="3298">
        <f t="shared" si="249"/>
        <v>0</v>
      </c>
      <c r="BC485" s="3298">
        <f t="shared" si="250"/>
        <v>0</v>
      </c>
      <c r="BD485" s="3298">
        <f t="shared" si="251"/>
        <v>0</v>
      </c>
      <c r="BE485" s="3298">
        <f t="shared" si="252"/>
        <v>0</v>
      </c>
      <c r="BF485" s="3298">
        <f t="shared" si="253"/>
        <v>0</v>
      </c>
      <c r="BG485" s="3298">
        <f t="shared" si="254"/>
        <v>0</v>
      </c>
      <c r="BH485" s="3298">
        <f t="shared" si="255"/>
        <v>0</v>
      </c>
      <c r="BI485" s="3298">
        <f t="shared" si="256"/>
        <v>0</v>
      </c>
      <c r="BJ485" s="3298">
        <f t="shared" si="257"/>
        <v>0</v>
      </c>
      <c r="BK485" s="3298">
        <f t="shared" si="258"/>
        <v>0</v>
      </c>
      <c r="BL485" s="3298">
        <f t="shared" si="259"/>
        <v>0</v>
      </c>
      <c r="BM485" s="3298">
        <f t="shared" si="260"/>
        <v>0</v>
      </c>
      <c r="BN485" s="3298">
        <f t="shared" si="261"/>
        <v>0</v>
      </c>
      <c r="BO485" s="3298">
        <f t="shared" si="262"/>
        <v>0</v>
      </c>
      <c r="BP485" s="3298">
        <f t="shared" si="263"/>
        <v>0</v>
      </c>
      <c r="BQ485" s="3298">
        <f t="shared" si="264"/>
        <v>0</v>
      </c>
      <c r="BR485" s="3298">
        <f t="shared" si="265"/>
        <v>0</v>
      </c>
      <c r="BS485" s="3298">
        <f t="shared" si="266"/>
        <v>0</v>
      </c>
      <c r="BT485" s="3350">
        <f t="shared" si="267"/>
        <v>0</v>
      </c>
    </row>
    <row r="486" spans="1:72">
      <c r="A486" s="1407"/>
      <c r="B486" s="3296"/>
      <c r="C486" s="3296"/>
      <c r="D486" s="3297"/>
      <c r="E486" s="3298">
        <f t="shared" si="239"/>
        <v>0</v>
      </c>
      <c r="F486" s="3299"/>
      <c r="G486" s="3300">
        <f t="shared" si="240"/>
        <v>0</v>
      </c>
      <c r="H486" s="3301">
        <f t="shared" si="241"/>
        <v>0</v>
      </c>
      <c r="I486" s="3308"/>
      <c r="J486" s="3308"/>
      <c r="K486" s="3308"/>
      <c r="L486" s="3308"/>
      <c r="M486" s="3308"/>
      <c r="N486" s="3308"/>
      <c r="O486" s="3308"/>
      <c r="P486" s="3308"/>
      <c r="Q486" s="3308"/>
      <c r="R486" s="3308"/>
      <c r="S486" s="3308"/>
      <c r="T486" s="3308"/>
      <c r="U486" s="3308"/>
      <c r="V486" s="3308"/>
      <c r="W486" s="3308"/>
      <c r="X486" s="3308"/>
      <c r="Y486" s="3308"/>
      <c r="Z486" s="3308"/>
      <c r="AA486" s="3308"/>
      <c r="AB486" s="3308"/>
      <c r="AC486" s="3298">
        <f t="shared" si="242"/>
        <v>0</v>
      </c>
      <c r="AD486" s="3318"/>
      <c r="AE486" s="3318"/>
      <c r="AF486" s="3318"/>
      <c r="AG486" s="3318"/>
      <c r="AH486" s="3318"/>
      <c r="AI486" s="3318"/>
      <c r="AJ486" s="3318"/>
      <c r="AK486" s="3318"/>
      <c r="AL486" s="3318"/>
      <c r="AM486" s="3318"/>
      <c r="AN486" s="3318"/>
      <c r="AO486" s="3318"/>
      <c r="AP486" s="3318"/>
      <c r="AQ486" s="3318"/>
      <c r="AR486" s="3318"/>
      <c r="AS486" s="3318"/>
      <c r="AT486" s="3328"/>
      <c r="AU486" s="3329"/>
      <c r="AV486" s="963">
        <f t="shared" si="243"/>
        <v>0</v>
      </c>
      <c r="AW486" s="963">
        <f t="shared" si="244"/>
        <v>0</v>
      </c>
      <c r="AX486" s="963">
        <f t="shared" si="245"/>
        <v>0</v>
      </c>
      <c r="AY486" s="3343">
        <f t="shared" si="246"/>
        <v>0</v>
      </c>
      <c r="AZ486" s="3298">
        <f t="shared" si="247"/>
        <v>0</v>
      </c>
      <c r="BA486" s="3298">
        <f t="shared" si="248"/>
        <v>0</v>
      </c>
      <c r="BB486" s="3298">
        <f t="shared" si="249"/>
        <v>0</v>
      </c>
      <c r="BC486" s="3298">
        <f t="shared" si="250"/>
        <v>0</v>
      </c>
      <c r="BD486" s="3298">
        <f t="shared" si="251"/>
        <v>0</v>
      </c>
      <c r="BE486" s="3298">
        <f t="shared" si="252"/>
        <v>0</v>
      </c>
      <c r="BF486" s="3298">
        <f t="shared" si="253"/>
        <v>0</v>
      </c>
      <c r="BG486" s="3298">
        <f t="shared" si="254"/>
        <v>0</v>
      </c>
      <c r="BH486" s="3298">
        <f t="shared" si="255"/>
        <v>0</v>
      </c>
      <c r="BI486" s="3298">
        <f t="shared" si="256"/>
        <v>0</v>
      </c>
      <c r="BJ486" s="3298">
        <f t="shared" si="257"/>
        <v>0</v>
      </c>
      <c r="BK486" s="3298">
        <f t="shared" si="258"/>
        <v>0</v>
      </c>
      <c r="BL486" s="3298">
        <f t="shared" si="259"/>
        <v>0</v>
      </c>
      <c r="BM486" s="3298">
        <f t="shared" si="260"/>
        <v>0</v>
      </c>
      <c r="BN486" s="3298">
        <f t="shared" si="261"/>
        <v>0</v>
      </c>
      <c r="BO486" s="3298">
        <f t="shared" si="262"/>
        <v>0</v>
      </c>
      <c r="BP486" s="3298">
        <f t="shared" si="263"/>
        <v>0</v>
      </c>
      <c r="BQ486" s="3298">
        <f t="shared" si="264"/>
        <v>0</v>
      </c>
      <c r="BR486" s="3298">
        <f t="shared" si="265"/>
        <v>0</v>
      </c>
      <c r="BS486" s="3298">
        <f t="shared" si="266"/>
        <v>0</v>
      </c>
      <c r="BT486" s="3350">
        <f t="shared" si="267"/>
        <v>0</v>
      </c>
    </row>
    <row r="487" spans="1:72">
      <c r="A487" s="1407"/>
      <c r="B487" s="3296"/>
      <c r="C487" s="3296"/>
      <c r="D487" s="3297"/>
      <c r="E487" s="3298">
        <f t="shared" si="239"/>
        <v>0</v>
      </c>
      <c r="F487" s="3299"/>
      <c r="G487" s="3300">
        <f t="shared" si="240"/>
        <v>0</v>
      </c>
      <c r="H487" s="3301">
        <f t="shared" si="241"/>
        <v>0</v>
      </c>
      <c r="I487" s="3308"/>
      <c r="J487" s="3308"/>
      <c r="K487" s="3308"/>
      <c r="L487" s="3308"/>
      <c r="M487" s="3308"/>
      <c r="N487" s="3308"/>
      <c r="O487" s="3308"/>
      <c r="P487" s="3308"/>
      <c r="Q487" s="3308"/>
      <c r="R487" s="3308"/>
      <c r="S487" s="3308"/>
      <c r="T487" s="3308"/>
      <c r="U487" s="3308"/>
      <c r="V487" s="3308"/>
      <c r="W487" s="3308"/>
      <c r="X487" s="3308"/>
      <c r="Y487" s="3308"/>
      <c r="Z487" s="3308"/>
      <c r="AA487" s="3308"/>
      <c r="AB487" s="3308"/>
      <c r="AC487" s="3298">
        <f t="shared" si="242"/>
        <v>0</v>
      </c>
      <c r="AD487" s="3318"/>
      <c r="AE487" s="3318"/>
      <c r="AF487" s="3318"/>
      <c r="AG487" s="3318"/>
      <c r="AH487" s="3318"/>
      <c r="AI487" s="3318"/>
      <c r="AJ487" s="3318"/>
      <c r="AK487" s="3318"/>
      <c r="AL487" s="3318"/>
      <c r="AM487" s="3318"/>
      <c r="AN487" s="3318"/>
      <c r="AO487" s="3318"/>
      <c r="AP487" s="3318"/>
      <c r="AQ487" s="3318"/>
      <c r="AR487" s="3318"/>
      <c r="AS487" s="3318"/>
      <c r="AT487" s="3328"/>
      <c r="AU487" s="3329"/>
      <c r="AV487" s="963">
        <f t="shared" si="243"/>
        <v>0</v>
      </c>
      <c r="AW487" s="963">
        <f t="shared" si="244"/>
        <v>0</v>
      </c>
      <c r="AX487" s="963">
        <f t="shared" si="245"/>
        <v>0</v>
      </c>
      <c r="AY487" s="3343">
        <f t="shared" si="246"/>
        <v>0</v>
      </c>
      <c r="AZ487" s="3298">
        <f t="shared" si="247"/>
        <v>0</v>
      </c>
      <c r="BA487" s="3298">
        <f t="shared" si="248"/>
        <v>0</v>
      </c>
      <c r="BB487" s="3298">
        <f t="shared" si="249"/>
        <v>0</v>
      </c>
      <c r="BC487" s="3298">
        <f t="shared" si="250"/>
        <v>0</v>
      </c>
      <c r="BD487" s="3298">
        <f t="shared" si="251"/>
        <v>0</v>
      </c>
      <c r="BE487" s="3298">
        <f t="shared" si="252"/>
        <v>0</v>
      </c>
      <c r="BF487" s="3298">
        <f t="shared" si="253"/>
        <v>0</v>
      </c>
      <c r="BG487" s="3298">
        <f t="shared" si="254"/>
        <v>0</v>
      </c>
      <c r="BH487" s="3298">
        <f t="shared" si="255"/>
        <v>0</v>
      </c>
      <c r="BI487" s="3298">
        <f t="shared" si="256"/>
        <v>0</v>
      </c>
      <c r="BJ487" s="3298">
        <f t="shared" si="257"/>
        <v>0</v>
      </c>
      <c r="BK487" s="3298">
        <f t="shared" si="258"/>
        <v>0</v>
      </c>
      <c r="BL487" s="3298">
        <f t="shared" si="259"/>
        <v>0</v>
      </c>
      <c r="BM487" s="3298">
        <f t="shared" si="260"/>
        <v>0</v>
      </c>
      <c r="BN487" s="3298">
        <f t="shared" si="261"/>
        <v>0</v>
      </c>
      <c r="BO487" s="3298">
        <f t="shared" si="262"/>
        <v>0</v>
      </c>
      <c r="BP487" s="3298">
        <f t="shared" si="263"/>
        <v>0</v>
      </c>
      <c r="BQ487" s="3298">
        <f t="shared" si="264"/>
        <v>0</v>
      </c>
      <c r="BR487" s="3298">
        <f t="shared" si="265"/>
        <v>0</v>
      </c>
      <c r="BS487" s="3298">
        <f t="shared" si="266"/>
        <v>0</v>
      </c>
      <c r="BT487" s="3350">
        <f t="shared" si="267"/>
        <v>0</v>
      </c>
    </row>
    <row r="488" spans="1:72">
      <c r="A488" s="1407"/>
      <c r="B488" s="3296"/>
      <c r="C488" s="3296"/>
      <c r="D488" s="3297"/>
      <c r="E488" s="3298">
        <f t="shared" si="239"/>
        <v>0</v>
      </c>
      <c r="F488" s="3299"/>
      <c r="G488" s="3300">
        <f t="shared" si="240"/>
        <v>0</v>
      </c>
      <c r="H488" s="3301">
        <f t="shared" si="241"/>
        <v>0</v>
      </c>
      <c r="I488" s="3308"/>
      <c r="J488" s="3308"/>
      <c r="K488" s="3308"/>
      <c r="L488" s="3308"/>
      <c r="M488" s="3308"/>
      <c r="N488" s="3308"/>
      <c r="O488" s="3308"/>
      <c r="P488" s="3308"/>
      <c r="Q488" s="3308"/>
      <c r="R488" s="3308"/>
      <c r="S488" s="3308"/>
      <c r="T488" s="3308"/>
      <c r="U488" s="3308"/>
      <c r="V488" s="3308"/>
      <c r="W488" s="3308"/>
      <c r="X488" s="3308"/>
      <c r="Y488" s="3308"/>
      <c r="Z488" s="3308"/>
      <c r="AA488" s="3308"/>
      <c r="AB488" s="3308"/>
      <c r="AC488" s="3298">
        <f t="shared" si="242"/>
        <v>0</v>
      </c>
      <c r="AD488" s="3318"/>
      <c r="AE488" s="3318"/>
      <c r="AF488" s="3318"/>
      <c r="AG488" s="3318"/>
      <c r="AH488" s="3318"/>
      <c r="AI488" s="3318"/>
      <c r="AJ488" s="3318"/>
      <c r="AK488" s="3318"/>
      <c r="AL488" s="3318"/>
      <c r="AM488" s="3318"/>
      <c r="AN488" s="3318"/>
      <c r="AO488" s="3318"/>
      <c r="AP488" s="3318"/>
      <c r="AQ488" s="3318"/>
      <c r="AR488" s="3318"/>
      <c r="AS488" s="3318"/>
      <c r="AT488" s="3328"/>
      <c r="AU488" s="3329"/>
      <c r="AV488" s="963">
        <f t="shared" si="243"/>
        <v>0</v>
      </c>
      <c r="AW488" s="963">
        <f t="shared" si="244"/>
        <v>0</v>
      </c>
      <c r="AX488" s="963">
        <f t="shared" si="245"/>
        <v>0</v>
      </c>
      <c r="AY488" s="3343">
        <f t="shared" si="246"/>
        <v>0</v>
      </c>
      <c r="AZ488" s="3298">
        <f t="shared" si="247"/>
        <v>0</v>
      </c>
      <c r="BA488" s="3298">
        <f t="shared" si="248"/>
        <v>0</v>
      </c>
      <c r="BB488" s="3298">
        <f t="shared" si="249"/>
        <v>0</v>
      </c>
      <c r="BC488" s="3298">
        <f t="shared" si="250"/>
        <v>0</v>
      </c>
      <c r="BD488" s="3298">
        <f t="shared" si="251"/>
        <v>0</v>
      </c>
      <c r="BE488" s="3298">
        <f t="shared" si="252"/>
        <v>0</v>
      </c>
      <c r="BF488" s="3298">
        <f t="shared" si="253"/>
        <v>0</v>
      </c>
      <c r="BG488" s="3298">
        <f t="shared" si="254"/>
        <v>0</v>
      </c>
      <c r="BH488" s="3298">
        <f t="shared" si="255"/>
        <v>0</v>
      </c>
      <c r="BI488" s="3298">
        <f t="shared" si="256"/>
        <v>0</v>
      </c>
      <c r="BJ488" s="3298">
        <f t="shared" si="257"/>
        <v>0</v>
      </c>
      <c r="BK488" s="3298">
        <f t="shared" si="258"/>
        <v>0</v>
      </c>
      <c r="BL488" s="3298">
        <f t="shared" si="259"/>
        <v>0</v>
      </c>
      <c r="BM488" s="3298">
        <f t="shared" si="260"/>
        <v>0</v>
      </c>
      <c r="BN488" s="3298">
        <f t="shared" si="261"/>
        <v>0</v>
      </c>
      <c r="BO488" s="3298">
        <f t="shared" si="262"/>
        <v>0</v>
      </c>
      <c r="BP488" s="3298">
        <f t="shared" si="263"/>
        <v>0</v>
      </c>
      <c r="BQ488" s="3298">
        <f t="shared" si="264"/>
        <v>0</v>
      </c>
      <c r="BR488" s="3298">
        <f t="shared" si="265"/>
        <v>0</v>
      </c>
      <c r="BS488" s="3298">
        <f t="shared" si="266"/>
        <v>0</v>
      </c>
      <c r="BT488" s="3350">
        <f t="shared" si="267"/>
        <v>0</v>
      </c>
    </row>
    <row r="489" spans="1:72">
      <c r="A489" s="1407"/>
      <c r="B489" s="3296"/>
      <c r="C489" s="3296"/>
      <c r="D489" s="3297"/>
      <c r="E489" s="3298">
        <f t="shared" si="239"/>
        <v>0</v>
      </c>
      <c r="F489" s="3299"/>
      <c r="G489" s="3300">
        <f t="shared" si="240"/>
        <v>0</v>
      </c>
      <c r="H489" s="3301">
        <f t="shared" si="241"/>
        <v>0</v>
      </c>
      <c r="I489" s="3308"/>
      <c r="J489" s="3308"/>
      <c r="K489" s="3308"/>
      <c r="L489" s="3308"/>
      <c r="M489" s="3308"/>
      <c r="N489" s="3308"/>
      <c r="O489" s="3308"/>
      <c r="P489" s="3308"/>
      <c r="Q489" s="3308"/>
      <c r="R489" s="3308"/>
      <c r="S489" s="3308"/>
      <c r="T489" s="3308"/>
      <c r="U489" s="3308"/>
      <c r="V489" s="3308"/>
      <c r="W489" s="3308"/>
      <c r="X489" s="3308"/>
      <c r="Y489" s="3308"/>
      <c r="Z489" s="3308"/>
      <c r="AA489" s="3308"/>
      <c r="AB489" s="3308"/>
      <c r="AC489" s="3298">
        <f t="shared" si="242"/>
        <v>0</v>
      </c>
      <c r="AD489" s="3318"/>
      <c r="AE489" s="3318"/>
      <c r="AF489" s="3318"/>
      <c r="AG489" s="3318"/>
      <c r="AH489" s="3318"/>
      <c r="AI489" s="3318"/>
      <c r="AJ489" s="3318"/>
      <c r="AK489" s="3318"/>
      <c r="AL489" s="3318"/>
      <c r="AM489" s="3318"/>
      <c r="AN489" s="3318"/>
      <c r="AO489" s="3318"/>
      <c r="AP489" s="3318"/>
      <c r="AQ489" s="3318"/>
      <c r="AR489" s="3318"/>
      <c r="AS489" s="3318"/>
      <c r="AT489" s="3328"/>
      <c r="AU489" s="3329"/>
      <c r="AV489" s="963">
        <f t="shared" si="243"/>
        <v>0</v>
      </c>
      <c r="AW489" s="963">
        <f t="shared" si="244"/>
        <v>0</v>
      </c>
      <c r="AX489" s="963">
        <f t="shared" si="245"/>
        <v>0</v>
      </c>
      <c r="AY489" s="3343">
        <f t="shared" si="246"/>
        <v>0</v>
      </c>
      <c r="AZ489" s="3298">
        <f t="shared" si="247"/>
        <v>0</v>
      </c>
      <c r="BA489" s="3298">
        <f t="shared" si="248"/>
        <v>0</v>
      </c>
      <c r="BB489" s="3298">
        <f t="shared" si="249"/>
        <v>0</v>
      </c>
      <c r="BC489" s="3298">
        <f t="shared" si="250"/>
        <v>0</v>
      </c>
      <c r="BD489" s="3298">
        <f t="shared" si="251"/>
        <v>0</v>
      </c>
      <c r="BE489" s="3298">
        <f t="shared" si="252"/>
        <v>0</v>
      </c>
      <c r="BF489" s="3298">
        <f t="shared" si="253"/>
        <v>0</v>
      </c>
      <c r="BG489" s="3298">
        <f t="shared" si="254"/>
        <v>0</v>
      </c>
      <c r="BH489" s="3298">
        <f t="shared" si="255"/>
        <v>0</v>
      </c>
      <c r="BI489" s="3298">
        <f t="shared" si="256"/>
        <v>0</v>
      </c>
      <c r="BJ489" s="3298">
        <f t="shared" si="257"/>
        <v>0</v>
      </c>
      <c r="BK489" s="3298">
        <f t="shared" si="258"/>
        <v>0</v>
      </c>
      <c r="BL489" s="3298">
        <f t="shared" si="259"/>
        <v>0</v>
      </c>
      <c r="BM489" s="3298">
        <f t="shared" si="260"/>
        <v>0</v>
      </c>
      <c r="BN489" s="3298">
        <f t="shared" si="261"/>
        <v>0</v>
      </c>
      <c r="BO489" s="3298">
        <f t="shared" si="262"/>
        <v>0</v>
      </c>
      <c r="BP489" s="3298">
        <f t="shared" si="263"/>
        <v>0</v>
      </c>
      <c r="BQ489" s="3298">
        <f t="shared" si="264"/>
        <v>0</v>
      </c>
      <c r="BR489" s="3298">
        <f t="shared" si="265"/>
        <v>0</v>
      </c>
      <c r="BS489" s="3298">
        <f t="shared" si="266"/>
        <v>0</v>
      </c>
      <c r="BT489" s="3350">
        <f t="shared" si="267"/>
        <v>0</v>
      </c>
    </row>
    <row r="490" spans="1:72">
      <c r="A490" s="1407"/>
      <c r="B490" s="1407"/>
      <c r="C490" s="1407"/>
      <c r="D490" s="3297"/>
      <c r="E490" s="3298">
        <f t="shared" si="239"/>
        <v>0</v>
      </c>
      <c r="F490" s="3351"/>
      <c r="G490" s="3300">
        <f t="shared" ref="G490:G521" si="268">H490+AC490+AT490</f>
        <v>0</v>
      </c>
      <c r="H490" s="3301">
        <f t="shared" ref="H490:H521" si="269">SUMIF(I$12:AB$12,"总值",I490:AB490)</f>
        <v>0</v>
      </c>
      <c r="I490" s="3352"/>
      <c r="J490" s="3352"/>
      <c r="K490" s="3308"/>
      <c r="L490" s="3308"/>
      <c r="M490" s="3308"/>
      <c r="N490" s="3308"/>
      <c r="O490" s="3308"/>
      <c r="P490" s="3308"/>
      <c r="Q490" s="3308"/>
      <c r="R490" s="3308"/>
      <c r="S490" s="3308"/>
      <c r="T490" s="3308"/>
      <c r="U490" s="3308"/>
      <c r="V490" s="3308"/>
      <c r="W490" s="3308"/>
      <c r="X490" s="3308"/>
      <c r="Y490" s="3308"/>
      <c r="Z490" s="3308"/>
      <c r="AA490" s="3308"/>
      <c r="AB490" s="3308"/>
      <c r="AC490" s="3298">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53"/>
      <c r="AV490" s="963">
        <f t="shared" si="243"/>
        <v>0</v>
      </c>
      <c r="AW490" s="963">
        <f t="shared" si="244"/>
        <v>0</v>
      </c>
      <c r="AX490" s="963">
        <f t="shared" si="245"/>
        <v>0</v>
      </c>
      <c r="AY490" s="3343">
        <f t="shared" ref="AY490:AY521" si="271">ROUND($AY$6*AZ490/$AZ$5,2)</f>
        <v>0</v>
      </c>
      <c r="AZ490" s="3298">
        <f t="shared" ref="AZ490:AZ521" si="272">BA490+BL490</f>
        <v>0</v>
      </c>
      <c r="BA490" s="3298">
        <f t="shared" ref="BA490:BA521" si="273">SUM(BB490:BK490)</f>
        <v>0</v>
      </c>
      <c r="BB490" s="3298">
        <f t="shared" ref="BB490:BB521" si="274">IF($D490="是",I490-J490,0)</f>
        <v>0</v>
      </c>
      <c r="BC490" s="3298">
        <f t="shared" ref="BC490:BC521" si="275">IF($D490="是",K490-L490,0)</f>
        <v>0</v>
      </c>
      <c r="BD490" s="3298">
        <f t="shared" ref="BD490:BD521" si="276">IF($D490="是",M490-N490,0)</f>
        <v>0</v>
      </c>
      <c r="BE490" s="3298">
        <f t="shared" ref="BE490:BE521" si="277">IF($D490="是",O490-P490,0)</f>
        <v>0</v>
      </c>
      <c r="BF490" s="3298">
        <f t="shared" ref="BF490:BF521" si="278">IF($D490="是",Q490-R490,0)</f>
        <v>0</v>
      </c>
      <c r="BG490" s="3298">
        <f t="shared" ref="BG490:BG521" si="279">IF($D490="是",S490-T490,0)</f>
        <v>0</v>
      </c>
      <c r="BH490" s="3298">
        <f t="shared" ref="BH490:BH521" si="280">IF($D490="是",U490-V490,0)</f>
        <v>0</v>
      </c>
      <c r="BI490" s="3298">
        <f t="shared" ref="BI490:BI521" si="281">IF($D490="是",W490-X490,0)</f>
        <v>0</v>
      </c>
      <c r="BJ490" s="3298">
        <f t="shared" ref="BJ490:BJ521" si="282">IF($D490="是",Y490-Z490,0)</f>
        <v>0</v>
      </c>
      <c r="BK490" s="3298">
        <f t="shared" ref="BK490:BK521" si="283">IF($D490="是",AA490-AB490,0)</f>
        <v>0</v>
      </c>
      <c r="BL490" s="3298">
        <f t="shared" ref="BL490:BL521" si="284">SUM(BM490:BT490)</f>
        <v>0</v>
      </c>
      <c r="BM490" s="3298">
        <f t="shared" ref="BM490:BM521" si="285">IF($D490="是",AD490-AE490,0)</f>
        <v>0</v>
      </c>
      <c r="BN490" s="3298">
        <f t="shared" ref="BN490:BN521" si="286">IF($D490="是",AF490-AG490,0)</f>
        <v>0</v>
      </c>
      <c r="BO490" s="3298">
        <f t="shared" ref="BO490:BO521" si="287">IF($D490="是",AH490-AI490,0)</f>
        <v>0</v>
      </c>
      <c r="BP490" s="3298">
        <f t="shared" ref="BP490:BP521" si="288">IF($D490="是",AJ490-AK490,0)</f>
        <v>0</v>
      </c>
      <c r="BQ490" s="3298">
        <f t="shared" ref="BQ490:BQ521" si="289">IF($D490="是",AL490-AM490,0)</f>
        <v>0</v>
      </c>
      <c r="BR490" s="3298">
        <f t="shared" ref="BR490:BR521" si="290">IF($D490="是",AN490-AO490,0)</f>
        <v>0</v>
      </c>
      <c r="BS490" s="3298">
        <f t="shared" ref="BS490:BS521" si="291">IF($D490="是",AP490-AQ490,0)</f>
        <v>0</v>
      </c>
      <c r="BT490" s="3350">
        <f t="shared" ref="BT490:BT521" si="292">IF($D490="是",AR490-AS490,0)</f>
        <v>0</v>
      </c>
    </row>
    <row r="491" spans="1:72">
      <c r="A491" s="1407"/>
      <c r="B491" s="1407"/>
      <c r="C491" s="1407"/>
      <c r="D491" s="3297"/>
      <c r="E491" s="3298">
        <f t="shared" si="239"/>
        <v>0</v>
      </c>
      <c r="F491" s="3351"/>
      <c r="G491" s="3300">
        <f t="shared" si="268"/>
        <v>0</v>
      </c>
      <c r="H491" s="3301">
        <f t="shared" si="269"/>
        <v>0</v>
      </c>
      <c r="I491" s="3308"/>
      <c r="J491" s="3308"/>
      <c r="K491" s="3308"/>
      <c r="L491" s="3308"/>
      <c r="M491" s="3308"/>
      <c r="N491" s="3308"/>
      <c r="O491" s="3308"/>
      <c r="P491" s="3308"/>
      <c r="Q491" s="3308"/>
      <c r="R491" s="3308"/>
      <c r="S491" s="3308"/>
      <c r="T491" s="3308"/>
      <c r="U491" s="3308"/>
      <c r="V491" s="3308"/>
      <c r="W491" s="3308"/>
      <c r="X491" s="3308"/>
      <c r="Y491" s="3308"/>
      <c r="Z491" s="3308"/>
      <c r="AA491" s="3308"/>
      <c r="AB491" s="3308"/>
      <c r="AC491" s="3298">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53"/>
      <c r="AV491" s="963">
        <f t="shared" si="243"/>
        <v>0</v>
      </c>
      <c r="AW491" s="963">
        <f t="shared" si="244"/>
        <v>0</v>
      </c>
      <c r="AX491" s="963">
        <f t="shared" si="245"/>
        <v>0</v>
      </c>
      <c r="AY491" s="3343">
        <f t="shared" si="271"/>
        <v>0</v>
      </c>
      <c r="AZ491" s="3298">
        <f t="shared" si="272"/>
        <v>0</v>
      </c>
      <c r="BA491" s="3298">
        <f t="shared" si="273"/>
        <v>0</v>
      </c>
      <c r="BB491" s="3298">
        <f t="shared" si="274"/>
        <v>0</v>
      </c>
      <c r="BC491" s="3298">
        <f t="shared" si="275"/>
        <v>0</v>
      </c>
      <c r="BD491" s="3298">
        <f t="shared" si="276"/>
        <v>0</v>
      </c>
      <c r="BE491" s="3298">
        <f t="shared" si="277"/>
        <v>0</v>
      </c>
      <c r="BF491" s="3298">
        <f t="shared" si="278"/>
        <v>0</v>
      </c>
      <c r="BG491" s="3298">
        <f t="shared" si="279"/>
        <v>0</v>
      </c>
      <c r="BH491" s="3298">
        <f t="shared" si="280"/>
        <v>0</v>
      </c>
      <c r="BI491" s="3298">
        <f t="shared" si="281"/>
        <v>0</v>
      </c>
      <c r="BJ491" s="3298">
        <f t="shared" si="282"/>
        <v>0</v>
      </c>
      <c r="BK491" s="3298">
        <f t="shared" si="283"/>
        <v>0</v>
      </c>
      <c r="BL491" s="3298">
        <f t="shared" si="284"/>
        <v>0</v>
      </c>
      <c r="BM491" s="3298">
        <f t="shared" si="285"/>
        <v>0</v>
      </c>
      <c r="BN491" s="3298">
        <f t="shared" si="286"/>
        <v>0</v>
      </c>
      <c r="BO491" s="3298">
        <f t="shared" si="287"/>
        <v>0</v>
      </c>
      <c r="BP491" s="3298">
        <f t="shared" si="288"/>
        <v>0</v>
      </c>
      <c r="BQ491" s="3298">
        <f t="shared" si="289"/>
        <v>0</v>
      </c>
      <c r="BR491" s="3298">
        <f t="shared" si="290"/>
        <v>0</v>
      </c>
      <c r="BS491" s="3298">
        <f t="shared" si="291"/>
        <v>0</v>
      </c>
      <c r="BT491" s="3350">
        <f t="shared" si="292"/>
        <v>0</v>
      </c>
    </row>
    <row r="492" spans="1:72">
      <c r="A492" s="1407"/>
      <c r="B492" s="1407"/>
      <c r="C492" s="1407"/>
      <c r="D492" s="3297"/>
      <c r="E492" s="3298">
        <f t="shared" si="239"/>
        <v>0</v>
      </c>
      <c r="F492" s="3351"/>
      <c r="G492" s="3300">
        <f t="shared" si="268"/>
        <v>0</v>
      </c>
      <c r="H492" s="3301">
        <f t="shared" si="269"/>
        <v>0</v>
      </c>
      <c r="I492" s="3308"/>
      <c r="J492" s="3308"/>
      <c r="K492" s="3308"/>
      <c r="L492" s="3308"/>
      <c r="M492" s="3308"/>
      <c r="N492" s="3308"/>
      <c r="O492" s="3308"/>
      <c r="P492" s="3308"/>
      <c r="Q492" s="3308"/>
      <c r="R492" s="3308"/>
      <c r="S492" s="3308"/>
      <c r="T492" s="3308"/>
      <c r="U492" s="3308"/>
      <c r="V492" s="3308"/>
      <c r="W492" s="3308"/>
      <c r="X492" s="3308"/>
      <c r="Y492" s="3308"/>
      <c r="Z492" s="3308"/>
      <c r="AA492" s="3308"/>
      <c r="AB492" s="3308"/>
      <c r="AC492" s="3298">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53"/>
      <c r="AV492" s="963">
        <f t="shared" si="243"/>
        <v>0</v>
      </c>
      <c r="AW492" s="963">
        <f t="shared" si="244"/>
        <v>0</v>
      </c>
      <c r="AX492" s="963">
        <f t="shared" si="245"/>
        <v>0</v>
      </c>
      <c r="AY492" s="3343">
        <f t="shared" si="271"/>
        <v>0</v>
      </c>
      <c r="AZ492" s="3298">
        <f t="shared" si="272"/>
        <v>0</v>
      </c>
      <c r="BA492" s="3298">
        <f t="shared" si="273"/>
        <v>0</v>
      </c>
      <c r="BB492" s="3298">
        <f t="shared" si="274"/>
        <v>0</v>
      </c>
      <c r="BC492" s="3298">
        <f t="shared" si="275"/>
        <v>0</v>
      </c>
      <c r="BD492" s="3298">
        <f t="shared" si="276"/>
        <v>0</v>
      </c>
      <c r="BE492" s="3298">
        <f t="shared" si="277"/>
        <v>0</v>
      </c>
      <c r="BF492" s="3298">
        <f t="shared" si="278"/>
        <v>0</v>
      </c>
      <c r="BG492" s="3298">
        <f t="shared" si="279"/>
        <v>0</v>
      </c>
      <c r="BH492" s="3298">
        <f t="shared" si="280"/>
        <v>0</v>
      </c>
      <c r="BI492" s="3298">
        <f t="shared" si="281"/>
        <v>0</v>
      </c>
      <c r="BJ492" s="3298">
        <f t="shared" si="282"/>
        <v>0</v>
      </c>
      <c r="BK492" s="3298">
        <f t="shared" si="283"/>
        <v>0</v>
      </c>
      <c r="BL492" s="3298">
        <f t="shared" si="284"/>
        <v>0</v>
      </c>
      <c r="BM492" s="3298">
        <f t="shared" si="285"/>
        <v>0</v>
      </c>
      <c r="BN492" s="3298">
        <f t="shared" si="286"/>
        <v>0</v>
      </c>
      <c r="BO492" s="3298">
        <f t="shared" si="287"/>
        <v>0</v>
      </c>
      <c r="BP492" s="3298">
        <f t="shared" si="288"/>
        <v>0</v>
      </c>
      <c r="BQ492" s="3298">
        <f t="shared" si="289"/>
        <v>0</v>
      </c>
      <c r="BR492" s="3298">
        <f t="shared" si="290"/>
        <v>0</v>
      </c>
      <c r="BS492" s="3298">
        <f t="shared" si="291"/>
        <v>0</v>
      </c>
      <c r="BT492" s="3350">
        <f t="shared" si="292"/>
        <v>0</v>
      </c>
    </row>
    <row r="493" spans="1:72">
      <c r="A493" s="1407"/>
      <c r="B493" s="3296"/>
      <c r="C493" s="3296"/>
      <c r="D493" s="3297"/>
      <c r="E493" s="3298">
        <f t="shared" ref="E493:E519" si="293">IF($C$3="是",ROUND($A$3*G493/$B$3,2),ROUND($A$3*(G493-AT493)/$B$3,2))</f>
        <v>0</v>
      </c>
      <c r="F493" s="3299"/>
      <c r="G493" s="3300">
        <f t="shared" si="268"/>
        <v>0</v>
      </c>
      <c r="H493" s="3301">
        <f t="shared" si="269"/>
        <v>0</v>
      </c>
      <c r="I493" s="3308"/>
      <c r="J493" s="3308"/>
      <c r="K493" s="3308"/>
      <c r="L493" s="3308"/>
      <c r="M493" s="3308"/>
      <c r="N493" s="3308"/>
      <c r="O493" s="3308"/>
      <c r="P493" s="3308"/>
      <c r="Q493" s="3308"/>
      <c r="R493" s="3308"/>
      <c r="S493" s="3308"/>
      <c r="T493" s="3308"/>
      <c r="U493" s="3308"/>
      <c r="V493" s="3308"/>
      <c r="W493" s="3308"/>
      <c r="X493" s="3308"/>
      <c r="Y493" s="3308"/>
      <c r="Z493" s="3308"/>
      <c r="AA493" s="3308"/>
      <c r="AB493" s="3308"/>
      <c r="AC493" s="3298">
        <f t="shared" si="270"/>
        <v>0</v>
      </c>
      <c r="AD493" s="3318"/>
      <c r="AE493" s="3318"/>
      <c r="AF493" s="3318"/>
      <c r="AG493" s="3318"/>
      <c r="AH493" s="3318"/>
      <c r="AI493" s="3318"/>
      <c r="AJ493" s="3318"/>
      <c r="AK493" s="3318"/>
      <c r="AL493" s="3318"/>
      <c r="AM493" s="3318"/>
      <c r="AN493" s="3318"/>
      <c r="AO493" s="3318"/>
      <c r="AP493" s="3318"/>
      <c r="AQ493" s="3318"/>
      <c r="AR493" s="3318"/>
      <c r="AS493" s="3318"/>
      <c r="AT493" s="3328"/>
      <c r="AU493" s="3329"/>
      <c r="AV493" s="963">
        <f t="shared" ref="AV493:AV520" si="294">A493</f>
        <v>0</v>
      </c>
      <c r="AW493" s="963">
        <f t="shared" ref="AW493:AW520" si="295">B493</f>
        <v>0</v>
      </c>
      <c r="AX493" s="963">
        <f t="shared" ref="AX493:AX520" si="296">C493</f>
        <v>0</v>
      </c>
      <c r="AY493" s="3343">
        <f t="shared" si="271"/>
        <v>0</v>
      </c>
      <c r="AZ493" s="3298">
        <f t="shared" si="272"/>
        <v>0</v>
      </c>
      <c r="BA493" s="3298">
        <f t="shared" si="273"/>
        <v>0</v>
      </c>
      <c r="BB493" s="3298">
        <f t="shared" si="274"/>
        <v>0</v>
      </c>
      <c r="BC493" s="3298">
        <f t="shared" si="275"/>
        <v>0</v>
      </c>
      <c r="BD493" s="3298">
        <f t="shared" si="276"/>
        <v>0</v>
      </c>
      <c r="BE493" s="3298">
        <f t="shared" si="277"/>
        <v>0</v>
      </c>
      <c r="BF493" s="3298">
        <f t="shared" si="278"/>
        <v>0</v>
      </c>
      <c r="BG493" s="3298">
        <f t="shared" si="279"/>
        <v>0</v>
      </c>
      <c r="BH493" s="3298">
        <f t="shared" si="280"/>
        <v>0</v>
      </c>
      <c r="BI493" s="3298">
        <f t="shared" si="281"/>
        <v>0</v>
      </c>
      <c r="BJ493" s="3298">
        <f t="shared" si="282"/>
        <v>0</v>
      </c>
      <c r="BK493" s="3298">
        <f t="shared" si="283"/>
        <v>0</v>
      </c>
      <c r="BL493" s="3298">
        <f t="shared" si="284"/>
        <v>0</v>
      </c>
      <c r="BM493" s="3298">
        <f t="shared" si="285"/>
        <v>0</v>
      </c>
      <c r="BN493" s="3298">
        <f t="shared" si="286"/>
        <v>0</v>
      </c>
      <c r="BO493" s="3298">
        <f t="shared" si="287"/>
        <v>0</v>
      </c>
      <c r="BP493" s="3298">
        <f t="shared" si="288"/>
        <v>0</v>
      </c>
      <c r="BQ493" s="3298">
        <f t="shared" si="289"/>
        <v>0</v>
      </c>
      <c r="BR493" s="3298">
        <f t="shared" si="290"/>
        <v>0</v>
      </c>
      <c r="BS493" s="3298">
        <f t="shared" si="291"/>
        <v>0</v>
      </c>
      <c r="BT493" s="3350">
        <f t="shared" si="292"/>
        <v>0</v>
      </c>
    </row>
    <row r="494" spans="1:72">
      <c r="A494" s="1407"/>
      <c r="B494" s="3296"/>
      <c r="C494" s="3296"/>
      <c r="D494" s="3297"/>
      <c r="E494" s="3298">
        <f t="shared" si="293"/>
        <v>0</v>
      </c>
      <c r="F494" s="3299"/>
      <c r="G494" s="3300">
        <f t="shared" si="268"/>
        <v>0</v>
      </c>
      <c r="H494" s="3301">
        <f t="shared" si="269"/>
        <v>0</v>
      </c>
      <c r="I494" s="3308"/>
      <c r="J494" s="3308"/>
      <c r="K494" s="3308"/>
      <c r="L494" s="3308"/>
      <c r="M494" s="3308"/>
      <c r="N494" s="3308"/>
      <c r="O494" s="3308"/>
      <c r="P494" s="3308"/>
      <c r="Q494" s="3308"/>
      <c r="R494" s="3308"/>
      <c r="S494" s="3308"/>
      <c r="T494" s="3308"/>
      <c r="U494" s="3308"/>
      <c r="V494" s="3308"/>
      <c r="W494" s="3308"/>
      <c r="X494" s="3308"/>
      <c r="Y494" s="3308"/>
      <c r="Z494" s="3308"/>
      <c r="AA494" s="3308"/>
      <c r="AB494" s="3308"/>
      <c r="AC494" s="3298">
        <f t="shared" si="270"/>
        <v>0</v>
      </c>
      <c r="AD494" s="3318"/>
      <c r="AE494" s="3318"/>
      <c r="AF494" s="3318"/>
      <c r="AG494" s="3318"/>
      <c r="AH494" s="3318"/>
      <c r="AI494" s="3318"/>
      <c r="AJ494" s="3318"/>
      <c r="AK494" s="3318"/>
      <c r="AL494" s="3318"/>
      <c r="AM494" s="3318"/>
      <c r="AN494" s="3318"/>
      <c r="AO494" s="3318"/>
      <c r="AP494" s="3318"/>
      <c r="AQ494" s="3318"/>
      <c r="AR494" s="3318"/>
      <c r="AS494" s="3318"/>
      <c r="AT494" s="3328"/>
      <c r="AU494" s="3329"/>
      <c r="AV494" s="963">
        <f t="shared" si="294"/>
        <v>0</v>
      </c>
      <c r="AW494" s="963">
        <f t="shared" si="295"/>
        <v>0</v>
      </c>
      <c r="AX494" s="963">
        <f t="shared" si="296"/>
        <v>0</v>
      </c>
      <c r="AY494" s="3343">
        <f t="shared" si="271"/>
        <v>0</v>
      </c>
      <c r="AZ494" s="3298">
        <f t="shared" si="272"/>
        <v>0</v>
      </c>
      <c r="BA494" s="3298">
        <f t="shared" si="273"/>
        <v>0</v>
      </c>
      <c r="BB494" s="3298">
        <f t="shared" si="274"/>
        <v>0</v>
      </c>
      <c r="BC494" s="3298">
        <f t="shared" si="275"/>
        <v>0</v>
      </c>
      <c r="BD494" s="3298">
        <f t="shared" si="276"/>
        <v>0</v>
      </c>
      <c r="BE494" s="3298">
        <f t="shared" si="277"/>
        <v>0</v>
      </c>
      <c r="BF494" s="3298">
        <f t="shared" si="278"/>
        <v>0</v>
      </c>
      <c r="BG494" s="3298">
        <f t="shared" si="279"/>
        <v>0</v>
      </c>
      <c r="BH494" s="3298">
        <f t="shared" si="280"/>
        <v>0</v>
      </c>
      <c r="BI494" s="3298">
        <f t="shared" si="281"/>
        <v>0</v>
      </c>
      <c r="BJ494" s="3298">
        <f t="shared" si="282"/>
        <v>0</v>
      </c>
      <c r="BK494" s="3298">
        <f t="shared" si="283"/>
        <v>0</v>
      </c>
      <c r="BL494" s="3298">
        <f t="shared" si="284"/>
        <v>0</v>
      </c>
      <c r="BM494" s="3298">
        <f t="shared" si="285"/>
        <v>0</v>
      </c>
      <c r="BN494" s="3298">
        <f t="shared" si="286"/>
        <v>0</v>
      </c>
      <c r="BO494" s="3298">
        <f t="shared" si="287"/>
        <v>0</v>
      </c>
      <c r="BP494" s="3298">
        <f t="shared" si="288"/>
        <v>0</v>
      </c>
      <c r="BQ494" s="3298">
        <f t="shared" si="289"/>
        <v>0</v>
      </c>
      <c r="BR494" s="3298">
        <f t="shared" si="290"/>
        <v>0</v>
      </c>
      <c r="BS494" s="3298">
        <f t="shared" si="291"/>
        <v>0</v>
      </c>
      <c r="BT494" s="3350">
        <f t="shared" si="292"/>
        <v>0</v>
      </c>
    </row>
    <row r="495" spans="1:72">
      <c r="A495" s="1407"/>
      <c r="B495" s="3296"/>
      <c r="C495" s="3296"/>
      <c r="D495" s="3297"/>
      <c r="E495" s="3298">
        <f t="shared" si="293"/>
        <v>0</v>
      </c>
      <c r="F495" s="3299"/>
      <c r="G495" s="3300">
        <f t="shared" si="268"/>
        <v>0</v>
      </c>
      <c r="H495" s="3301">
        <f t="shared" si="269"/>
        <v>0</v>
      </c>
      <c r="I495" s="3308"/>
      <c r="J495" s="3308"/>
      <c r="K495" s="3308"/>
      <c r="L495" s="3308"/>
      <c r="M495" s="3308"/>
      <c r="N495" s="3308"/>
      <c r="O495" s="3308"/>
      <c r="P495" s="3308"/>
      <c r="Q495" s="3308"/>
      <c r="R495" s="3308"/>
      <c r="S495" s="3308"/>
      <c r="T495" s="3308"/>
      <c r="U495" s="3308"/>
      <c r="V495" s="3308"/>
      <c r="W495" s="3308"/>
      <c r="X495" s="3308"/>
      <c r="Y495" s="3308"/>
      <c r="Z495" s="3308"/>
      <c r="AA495" s="3308"/>
      <c r="AB495" s="3308"/>
      <c r="AC495" s="3298">
        <f t="shared" si="270"/>
        <v>0</v>
      </c>
      <c r="AD495" s="3318"/>
      <c r="AE495" s="3318"/>
      <c r="AF495" s="3318"/>
      <c r="AG495" s="3318"/>
      <c r="AH495" s="3318"/>
      <c r="AI495" s="3318"/>
      <c r="AJ495" s="3318"/>
      <c r="AK495" s="3318"/>
      <c r="AL495" s="3318"/>
      <c r="AM495" s="3318"/>
      <c r="AN495" s="3318"/>
      <c r="AO495" s="3318"/>
      <c r="AP495" s="3318"/>
      <c r="AQ495" s="3318"/>
      <c r="AR495" s="3318"/>
      <c r="AS495" s="3318"/>
      <c r="AT495" s="3328"/>
      <c r="AU495" s="3329"/>
      <c r="AV495" s="963">
        <f t="shared" si="294"/>
        <v>0</v>
      </c>
      <c r="AW495" s="963">
        <f t="shared" si="295"/>
        <v>0</v>
      </c>
      <c r="AX495" s="963">
        <f t="shared" si="296"/>
        <v>0</v>
      </c>
      <c r="AY495" s="3343">
        <f t="shared" si="271"/>
        <v>0</v>
      </c>
      <c r="AZ495" s="3298">
        <f t="shared" si="272"/>
        <v>0</v>
      </c>
      <c r="BA495" s="3298">
        <f t="shared" si="273"/>
        <v>0</v>
      </c>
      <c r="BB495" s="3298">
        <f t="shared" si="274"/>
        <v>0</v>
      </c>
      <c r="BC495" s="3298">
        <f t="shared" si="275"/>
        <v>0</v>
      </c>
      <c r="BD495" s="3298">
        <f t="shared" si="276"/>
        <v>0</v>
      </c>
      <c r="BE495" s="3298">
        <f t="shared" si="277"/>
        <v>0</v>
      </c>
      <c r="BF495" s="3298">
        <f t="shared" si="278"/>
        <v>0</v>
      </c>
      <c r="BG495" s="3298">
        <f t="shared" si="279"/>
        <v>0</v>
      </c>
      <c r="BH495" s="3298">
        <f t="shared" si="280"/>
        <v>0</v>
      </c>
      <c r="BI495" s="3298">
        <f t="shared" si="281"/>
        <v>0</v>
      </c>
      <c r="BJ495" s="3298">
        <f t="shared" si="282"/>
        <v>0</v>
      </c>
      <c r="BK495" s="3298">
        <f t="shared" si="283"/>
        <v>0</v>
      </c>
      <c r="BL495" s="3298">
        <f t="shared" si="284"/>
        <v>0</v>
      </c>
      <c r="BM495" s="3298">
        <f t="shared" si="285"/>
        <v>0</v>
      </c>
      <c r="BN495" s="3298">
        <f t="shared" si="286"/>
        <v>0</v>
      </c>
      <c r="BO495" s="3298">
        <f t="shared" si="287"/>
        <v>0</v>
      </c>
      <c r="BP495" s="3298">
        <f t="shared" si="288"/>
        <v>0</v>
      </c>
      <c r="BQ495" s="3298">
        <f t="shared" si="289"/>
        <v>0</v>
      </c>
      <c r="BR495" s="3298">
        <f t="shared" si="290"/>
        <v>0</v>
      </c>
      <c r="BS495" s="3298">
        <f t="shared" si="291"/>
        <v>0</v>
      </c>
      <c r="BT495" s="3350">
        <f t="shared" si="292"/>
        <v>0</v>
      </c>
    </row>
    <row r="496" spans="1:72">
      <c r="A496" s="1407"/>
      <c r="B496" s="3296"/>
      <c r="C496" s="3296"/>
      <c r="D496" s="3297"/>
      <c r="E496" s="3298">
        <f t="shared" si="293"/>
        <v>0</v>
      </c>
      <c r="F496" s="3299"/>
      <c r="G496" s="3300">
        <f t="shared" si="268"/>
        <v>0</v>
      </c>
      <c r="H496" s="3301">
        <f t="shared" si="269"/>
        <v>0</v>
      </c>
      <c r="I496" s="3308"/>
      <c r="J496" s="3308"/>
      <c r="K496" s="3308"/>
      <c r="L496" s="3308"/>
      <c r="M496" s="3308"/>
      <c r="N496" s="3308"/>
      <c r="O496" s="3308"/>
      <c r="P496" s="3308"/>
      <c r="Q496" s="3308"/>
      <c r="R496" s="3308"/>
      <c r="S496" s="3308"/>
      <c r="T496" s="3308"/>
      <c r="U496" s="3308"/>
      <c r="V496" s="3308"/>
      <c r="W496" s="3308"/>
      <c r="X496" s="3308"/>
      <c r="Y496" s="3308"/>
      <c r="Z496" s="3308"/>
      <c r="AA496" s="3308"/>
      <c r="AB496" s="3308"/>
      <c r="AC496" s="3298">
        <f t="shared" si="270"/>
        <v>0</v>
      </c>
      <c r="AD496" s="3318"/>
      <c r="AE496" s="3318"/>
      <c r="AF496" s="3318"/>
      <c r="AG496" s="3318"/>
      <c r="AH496" s="3318"/>
      <c r="AI496" s="3318"/>
      <c r="AJ496" s="3318"/>
      <c r="AK496" s="3318"/>
      <c r="AL496" s="3318"/>
      <c r="AM496" s="3318"/>
      <c r="AN496" s="3318"/>
      <c r="AO496" s="3318"/>
      <c r="AP496" s="3318"/>
      <c r="AQ496" s="3318"/>
      <c r="AR496" s="3318"/>
      <c r="AS496" s="3318"/>
      <c r="AT496" s="3328"/>
      <c r="AU496" s="3329"/>
      <c r="AV496" s="963">
        <f t="shared" si="294"/>
        <v>0</v>
      </c>
      <c r="AW496" s="963">
        <f t="shared" si="295"/>
        <v>0</v>
      </c>
      <c r="AX496" s="963">
        <f t="shared" si="296"/>
        <v>0</v>
      </c>
      <c r="AY496" s="3343">
        <f t="shared" si="271"/>
        <v>0</v>
      </c>
      <c r="AZ496" s="3298">
        <f t="shared" si="272"/>
        <v>0</v>
      </c>
      <c r="BA496" s="3298">
        <f t="shared" si="273"/>
        <v>0</v>
      </c>
      <c r="BB496" s="3298">
        <f t="shared" si="274"/>
        <v>0</v>
      </c>
      <c r="BC496" s="3298">
        <f t="shared" si="275"/>
        <v>0</v>
      </c>
      <c r="BD496" s="3298">
        <f t="shared" si="276"/>
        <v>0</v>
      </c>
      <c r="BE496" s="3298">
        <f t="shared" si="277"/>
        <v>0</v>
      </c>
      <c r="BF496" s="3298">
        <f t="shared" si="278"/>
        <v>0</v>
      </c>
      <c r="BG496" s="3298">
        <f t="shared" si="279"/>
        <v>0</v>
      </c>
      <c r="BH496" s="3298">
        <f t="shared" si="280"/>
        <v>0</v>
      </c>
      <c r="BI496" s="3298">
        <f t="shared" si="281"/>
        <v>0</v>
      </c>
      <c r="BJ496" s="3298">
        <f t="shared" si="282"/>
        <v>0</v>
      </c>
      <c r="BK496" s="3298">
        <f t="shared" si="283"/>
        <v>0</v>
      </c>
      <c r="BL496" s="3298">
        <f t="shared" si="284"/>
        <v>0</v>
      </c>
      <c r="BM496" s="3298">
        <f t="shared" si="285"/>
        <v>0</v>
      </c>
      <c r="BN496" s="3298">
        <f t="shared" si="286"/>
        <v>0</v>
      </c>
      <c r="BO496" s="3298">
        <f t="shared" si="287"/>
        <v>0</v>
      </c>
      <c r="BP496" s="3298">
        <f t="shared" si="288"/>
        <v>0</v>
      </c>
      <c r="BQ496" s="3298">
        <f t="shared" si="289"/>
        <v>0</v>
      </c>
      <c r="BR496" s="3298">
        <f t="shared" si="290"/>
        <v>0</v>
      </c>
      <c r="BS496" s="3298">
        <f t="shared" si="291"/>
        <v>0</v>
      </c>
      <c r="BT496" s="3350">
        <f t="shared" si="292"/>
        <v>0</v>
      </c>
    </row>
    <row r="497" spans="1:72">
      <c r="A497" s="1407"/>
      <c r="B497" s="3296"/>
      <c r="C497" s="3296"/>
      <c r="D497" s="3297"/>
      <c r="E497" s="3298">
        <f t="shared" si="293"/>
        <v>0</v>
      </c>
      <c r="F497" s="3299"/>
      <c r="G497" s="3300">
        <f t="shared" si="268"/>
        <v>0</v>
      </c>
      <c r="H497" s="3301">
        <f t="shared" si="269"/>
        <v>0</v>
      </c>
      <c r="I497" s="3308"/>
      <c r="J497" s="3308"/>
      <c r="K497" s="3308"/>
      <c r="L497" s="3308"/>
      <c r="M497" s="3308"/>
      <c r="N497" s="3308"/>
      <c r="O497" s="3308"/>
      <c r="P497" s="3308"/>
      <c r="Q497" s="3308"/>
      <c r="R497" s="3308"/>
      <c r="S497" s="3308"/>
      <c r="T497" s="3308"/>
      <c r="U497" s="3308"/>
      <c r="V497" s="3308"/>
      <c r="W497" s="3308"/>
      <c r="X497" s="3308"/>
      <c r="Y497" s="3308"/>
      <c r="Z497" s="3308"/>
      <c r="AA497" s="3308"/>
      <c r="AB497" s="3308"/>
      <c r="AC497" s="3298">
        <f t="shared" si="270"/>
        <v>0</v>
      </c>
      <c r="AD497" s="3318"/>
      <c r="AE497" s="3318"/>
      <c r="AF497" s="3318"/>
      <c r="AG497" s="3318"/>
      <c r="AH497" s="3318"/>
      <c r="AI497" s="3318"/>
      <c r="AJ497" s="3318"/>
      <c r="AK497" s="3318"/>
      <c r="AL497" s="3318"/>
      <c r="AM497" s="3318"/>
      <c r="AN497" s="3318"/>
      <c r="AO497" s="3318"/>
      <c r="AP497" s="3318"/>
      <c r="AQ497" s="3318"/>
      <c r="AR497" s="3318"/>
      <c r="AS497" s="3318"/>
      <c r="AT497" s="3328"/>
      <c r="AU497" s="3329"/>
      <c r="AV497" s="963">
        <f t="shared" si="294"/>
        <v>0</v>
      </c>
      <c r="AW497" s="963">
        <f t="shared" si="295"/>
        <v>0</v>
      </c>
      <c r="AX497" s="963">
        <f t="shared" si="296"/>
        <v>0</v>
      </c>
      <c r="AY497" s="3343">
        <f t="shared" si="271"/>
        <v>0</v>
      </c>
      <c r="AZ497" s="3298">
        <f t="shared" si="272"/>
        <v>0</v>
      </c>
      <c r="BA497" s="3298">
        <f t="shared" si="273"/>
        <v>0</v>
      </c>
      <c r="BB497" s="3298">
        <f t="shared" si="274"/>
        <v>0</v>
      </c>
      <c r="BC497" s="3298">
        <f t="shared" si="275"/>
        <v>0</v>
      </c>
      <c r="BD497" s="3298">
        <f t="shared" si="276"/>
        <v>0</v>
      </c>
      <c r="BE497" s="3298">
        <f t="shared" si="277"/>
        <v>0</v>
      </c>
      <c r="BF497" s="3298">
        <f t="shared" si="278"/>
        <v>0</v>
      </c>
      <c r="BG497" s="3298">
        <f t="shared" si="279"/>
        <v>0</v>
      </c>
      <c r="BH497" s="3298">
        <f t="shared" si="280"/>
        <v>0</v>
      </c>
      <c r="BI497" s="3298">
        <f t="shared" si="281"/>
        <v>0</v>
      </c>
      <c r="BJ497" s="3298">
        <f t="shared" si="282"/>
        <v>0</v>
      </c>
      <c r="BK497" s="3298">
        <f t="shared" si="283"/>
        <v>0</v>
      </c>
      <c r="BL497" s="3298">
        <f t="shared" si="284"/>
        <v>0</v>
      </c>
      <c r="BM497" s="3298">
        <f t="shared" si="285"/>
        <v>0</v>
      </c>
      <c r="BN497" s="3298">
        <f t="shared" si="286"/>
        <v>0</v>
      </c>
      <c r="BO497" s="3298">
        <f t="shared" si="287"/>
        <v>0</v>
      </c>
      <c r="BP497" s="3298">
        <f t="shared" si="288"/>
        <v>0</v>
      </c>
      <c r="BQ497" s="3298">
        <f t="shared" si="289"/>
        <v>0</v>
      </c>
      <c r="BR497" s="3298">
        <f t="shared" si="290"/>
        <v>0</v>
      </c>
      <c r="BS497" s="3298">
        <f t="shared" si="291"/>
        <v>0</v>
      </c>
      <c r="BT497" s="3350">
        <f t="shared" si="292"/>
        <v>0</v>
      </c>
    </row>
    <row r="498" spans="1:72">
      <c r="A498" s="1407"/>
      <c r="B498" s="3296"/>
      <c r="C498" s="3296"/>
      <c r="D498" s="3297"/>
      <c r="E498" s="3298">
        <f t="shared" si="293"/>
        <v>0</v>
      </c>
      <c r="F498" s="3299"/>
      <c r="G498" s="3300">
        <f t="shared" si="268"/>
        <v>0</v>
      </c>
      <c r="H498" s="3301">
        <f t="shared" si="269"/>
        <v>0</v>
      </c>
      <c r="I498" s="3308"/>
      <c r="J498" s="3308"/>
      <c r="K498" s="3308"/>
      <c r="L498" s="3308"/>
      <c r="M498" s="3308"/>
      <c r="N498" s="3308"/>
      <c r="O498" s="3308"/>
      <c r="P498" s="3308"/>
      <c r="Q498" s="3308"/>
      <c r="R498" s="3308"/>
      <c r="S498" s="3308"/>
      <c r="T498" s="3308"/>
      <c r="U498" s="3308"/>
      <c r="V498" s="3308"/>
      <c r="W498" s="3308"/>
      <c r="X498" s="3308"/>
      <c r="Y498" s="3308"/>
      <c r="Z498" s="3308"/>
      <c r="AA498" s="3308"/>
      <c r="AB498" s="3308"/>
      <c r="AC498" s="3298">
        <f t="shared" si="270"/>
        <v>0</v>
      </c>
      <c r="AD498" s="3318"/>
      <c r="AE498" s="3318"/>
      <c r="AF498" s="3318"/>
      <c r="AG498" s="3318"/>
      <c r="AH498" s="3318"/>
      <c r="AI498" s="3318"/>
      <c r="AJ498" s="3318"/>
      <c r="AK498" s="3318"/>
      <c r="AL498" s="3318"/>
      <c r="AM498" s="3318"/>
      <c r="AN498" s="3318"/>
      <c r="AO498" s="3318"/>
      <c r="AP498" s="3318"/>
      <c r="AQ498" s="3318"/>
      <c r="AR498" s="3318"/>
      <c r="AS498" s="3318"/>
      <c r="AT498" s="3328"/>
      <c r="AU498" s="3329"/>
      <c r="AV498" s="963">
        <f t="shared" si="294"/>
        <v>0</v>
      </c>
      <c r="AW498" s="963">
        <f t="shared" si="295"/>
        <v>0</v>
      </c>
      <c r="AX498" s="963">
        <f t="shared" si="296"/>
        <v>0</v>
      </c>
      <c r="AY498" s="3343">
        <f t="shared" si="271"/>
        <v>0</v>
      </c>
      <c r="AZ498" s="3298">
        <f t="shared" si="272"/>
        <v>0</v>
      </c>
      <c r="BA498" s="3298">
        <f t="shared" si="273"/>
        <v>0</v>
      </c>
      <c r="BB498" s="3298">
        <f t="shared" si="274"/>
        <v>0</v>
      </c>
      <c r="BC498" s="3298">
        <f t="shared" si="275"/>
        <v>0</v>
      </c>
      <c r="BD498" s="3298">
        <f t="shared" si="276"/>
        <v>0</v>
      </c>
      <c r="BE498" s="3298">
        <f t="shared" si="277"/>
        <v>0</v>
      </c>
      <c r="BF498" s="3298">
        <f t="shared" si="278"/>
        <v>0</v>
      </c>
      <c r="BG498" s="3298">
        <f t="shared" si="279"/>
        <v>0</v>
      </c>
      <c r="BH498" s="3298">
        <f t="shared" si="280"/>
        <v>0</v>
      </c>
      <c r="BI498" s="3298">
        <f t="shared" si="281"/>
        <v>0</v>
      </c>
      <c r="BJ498" s="3298">
        <f t="shared" si="282"/>
        <v>0</v>
      </c>
      <c r="BK498" s="3298">
        <f t="shared" si="283"/>
        <v>0</v>
      </c>
      <c r="BL498" s="3298">
        <f t="shared" si="284"/>
        <v>0</v>
      </c>
      <c r="BM498" s="3298">
        <f t="shared" si="285"/>
        <v>0</v>
      </c>
      <c r="BN498" s="3298">
        <f t="shared" si="286"/>
        <v>0</v>
      </c>
      <c r="BO498" s="3298">
        <f t="shared" si="287"/>
        <v>0</v>
      </c>
      <c r="BP498" s="3298">
        <f t="shared" si="288"/>
        <v>0</v>
      </c>
      <c r="BQ498" s="3298">
        <f t="shared" si="289"/>
        <v>0</v>
      </c>
      <c r="BR498" s="3298">
        <f t="shared" si="290"/>
        <v>0</v>
      </c>
      <c r="BS498" s="3298">
        <f t="shared" si="291"/>
        <v>0</v>
      </c>
      <c r="BT498" s="3350">
        <f t="shared" si="292"/>
        <v>0</v>
      </c>
    </row>
    <row r="499" spans="1:72">
      <c r="A499" s="1407"/>
      <c r="B499" s="3296"/>
      <c r="C499" s="3296"/>
      <c r="D499" s="3297"/>
      <c r="E499" s="3298">
        <f t="shared" si="293"/>
        <v>0</v>
      </c>
      <c r="F499" s="3299"/>
      <c r="G499" s="3300">
        <f t="shared" si="268"/>
        <v>0</v>
      </c>
      <c r="H499" s="3301">
        <f t="shared" si="269"/>
        <v>0</v>
      </c>
      <c r="I499" s="3308"/>
      <c r="J499" s="3308"/>
      <c r="K499" s="3308"/>
      <c r="L499" s="3308"/>
      <c r="M499" s="3308"/>
      <c r="N499" s="3308"/>
      <c r="O499" s="3308"/>
      <c r="P499" s="3308"/>
      <c r="Q499" s="3308"/>
      <c r="R499" s="3308"/>
      <c r="S499" s="3308"/>
      <c r="T499" s="3308"/>
      <c r="U499" s="3308"/>
      <c r="V499" s="3308"/>
      <c r="W499" s="3308"/>
      <c r="X499" s="3308"/>
      <c r="Y499" s="3308"/>
      <c r="Z499" s="3308"/>
      <c r="AA499" s="3308"/>
      <c r="AB499" s="3308"/>
      <c r="AC499" s="3298">
        <f t="shared" si="270"/>
        <v>0</v>
      </c>
      <c r="AD499" s="3318"/>
      <c r="AE499" s="3318"/>
      <c r="AF499" s="3318"/>
      <c r="AG499" s="3318"/>
      <c r="AH499" s="3318"/>
      <c r="AI499" s="3318"/>
      <c r="AJ499" s="3318"/>
      <c r="AK499" s="3318"/>
      <c r="AL499" s="3318"/>
      <c r="AM499" s="3318"/>
      <c r="AN499" s="3318"/>
      <c r="AO499" s="3318"/>
      <c r="AP499" s="3318"/>
      <c r="AQ499" s="3318"/>
      <c r="AR499" s="3318"/>
      <c r="AS499" s="3318"/>
      <c r="AT499" s="3328"/>
      <c r="AU499" s="3329"/>
      <c r="AV499" s="963">
        <f t="shared" si="294"/>
        <v>0</v>
      </c>
      <c r="AW499" s="963">
        <f t="shared" si="295"/>
        <v>0</v>
      </c>
      <c r="AX499" s="963">
        <f t="shared" si="296"/>
        <v>0</v>
      </c>
      <c r="AY499" s="3343">
        <f t="shared" si="271"/>
        <v>0</v>
      </c>
      <c r="AZ499" s="3298">
        <f t="shared" si="272"/>
        <v>0</v>
      </c>
      <c r="BA499" s="3298">
        <f t="shared" si="273"/>
        <v>0</v>
      </c>
      <c r="BB499" s="3298">
        <f t="shared" si="274"/>
        <v>0</v>
      </c>
      <c r="BC499" s="3298">
        <f t="shared" si="275"/>
        <v>0</v>
      </c>
      <c r="BD499" s="3298">
        <f t="shared" si="276"/>
        <v>0</v>
      </c>
      <c r="BE499" s="3298">
        <f t="shared" si="277"/>
        <v>0</v>
      </c>
      <c r="BF499" s="3298">
        <f t="shared" si="278"/>
        <v>0</v>
      </c>
      <c r="BG499" s="3298">
        <f t="shared" si="279"/>
        <v>0</v>
      </c>
      <c r="BH499" s="3298">
        <f t="shared" si="280"/>
        <v>0</v>
      </c>
      <c r="BI499" s="3298">
        <f t="shared" si="281"/>
        <v>0</v>
      </c>
      <c r="BJ499" s="3298">
        <f t="shared" si="282"/>
        <v>0</v>
      </c>
      <c r="BK499" s="3298">
        <f t="shared" si="283"/>
        <v>0</v>
      </c>
      <c r="BL499" s="3298">
        <f t="shared" si="284"/>
        <v>0</v>
      </c>
      <c r="BM499" s="3298">
        <f t="shared" si="285"/>
        <v>0</v>
      </c>
      <c r="BN499" s="3298">
        <f t="shared" si="286"/>
        <v>0</v>
      </c>
      <c r="BO499" s="3298">
        <f t="shared" si="287"/>
        <v>0</v>
      </c>
      <c r="BP499" s="3298">
        <f t="shared" si="288"/>
        <v>0</v>
      </c>
      <c r="BQ499" s="3298">
        <f t="shared" si="289"/>
        <v>0</v>
      </c>
      <c r="BR499" s="3298">
        <f t="shared" si="290"/>
        <v>0</v>
      </c>
      <c r="BS499" s="3298">
        <f t="shared" si="291"/>
        <v>0</v>
      </c>
      <c r="BT499" s="3350">
        <f t="shared" si="292"/>
        <v>0</v>
      </c>
    </row>
    <row r="500" spans="1:72">
      <c r="A500" s="1407"/>
      <c r="B500" s="3296"/>
      <c r="C500" s="3296"/>
      <c r="D500" s="3297"/>
      <c r="E500" s="3298">
        <f t="shared" si="293"/>
        <v>0</v>
      </c>
      <c r="F500" s="3299"/>
      <c r="G500" s="3300">
        <f t="shared" si="268"/>
        <v>0</v>
      </c>
      <c r="H500" s="3301">
        <f t="shared" si="269"/>
        <v>0</v>
      </c>
      <c r="I500" s="3308"/>
      <c r="J500" s="3308"/>
      <c r="K500" s="3308"/>
      <c r="L500" s="3308"/>
      <c r="M500" s="3308"/>
      <c r="N500" s="3308"/>
      <c r="O500" s="3308"/>
      <c r="P500" s="3308"/>
      <c r="Q500" s="3308"/>
      <c r="R500" s="3308"/>
      <c r="S500" s="3308"/>
      <c r="T500" s="3308"/>
      <c r="U500" s="3308"/>
      <c r="V500" s="3308"/>
      <c r="W500" s="3308"/>
      <c r="X500" s="3308"/>
      <c r="Y500" s="3308"/>
      <c r="Z500" s="3308"/>
      <c r="AA500" s="3308"/>
      <c r="AB500" s="3308"/>
      <c r="AC500" s="3298">
        <f t="shared" si="270"/>
        <v>0</v>
      </c>
      <c r="AD500" s="3318"/>
      <c r="AE500" s="3318"/>
      <c r="AF500" s="3318"/>
      <c r="AG500" s="3318"/>
      <c r="AH500" s="3318"/>
      <c r="AI500" s="3318"/>
      <c r="AJ500" s="3318"/>
      <c r="AK500" s="3318"/>
      <c r="AL500" s="3318"/>
      <c r="AM500" s="3318"/>
      <c r="AN500" s="3318"/>
      <c r="AO500" s="3318"/>
      <c r="AP500" s="3318"/>
      <c r="AQ500" s="3318"/>
      <c r="AR500" s="3318"/>
      <c r="AS500" s="3318"/>
      <c r="AT500" s="3328"/>
      <c r="AU500" s="3329"/>
      <c r="AV500" s="963">
        <f t="shared" si="294"/>
        <v>0</v>
      </c>
      <c r="AW500" s="963">
        <f t="shared" si="295"/>
        <v>0</v>
      </c>
      <c r="AX500" s="963">
        <f t="shared" si="296"/>
        <v>0</v>
      </c>
      <c r="AY500" s="3343">
        <f t="shared" si="271"/>
        <v>0</v>
      </c>
      <c r="AZ500" s="3298">
        <f t="shared" si="272"/>
        <v>0</v>
      </c>
      <c r="BA500" s="3298">
        <f t="shared" si="273"/>
        <v>0</v>
      </c>
      <c r="BB500" s="3298">
        <f t="shared" si="274"/>
        <v>0</v>
      </c>
      <c r="BC500" s="3298">
        <f t="shared" si="275"/>
        <v>0</v>
      </c>
      <c r="BD500" s="3298">
        <f t="shared" si="276"/>
        <v>0</v>
      </c>
      <c r="BE500" s="3298">
        <f t="shared" si="277"/>
        <v>0</v>
      </c>
      <c r="BF500" s="3298">
        <f t="shared" si="278"/>
        <v>0</v>
      </c>
      <c r="BG500" s="3298">
        <f t="shared" si="279"/>
        <v>0</v>
      </c>
      <c r="BH500" s="3298">
        <f t="shared" si="280"/>
        <v>0</v>
      </c>
      <c r="BI500" s="3298">
        <f t="shared" si="281"/>
        <v>0</v>
      </c>
      <c r="BJ500" s="3298">
        <f t="shared" si="282"/>
        <v>0</v>
      </c>
      <c r="BK500" s="3298">
        <f t="shared" si="283"/>
        <v>0</v>
      </c>
      <c r="BL500" s="3298">
        <f t="shared" si="284"/>
        <v>0</v>
      </c>
      <c r="BM500" s="3298">
        <f t="shared" si="285"/>
        <v>0</v>
      </c>
      <c r="BN500" s="3298">
        <f t="shared" si="286"/>
        <v>0</v>
      </c>
      <c r="BO500" s="3298">
        <f t="shared" si="287"/>
        <v>0</v>
      </c>
      <c r="BP500" s="3298">
        <f t="shared" si="288"/>
        <v>0</v>
      </c>
      <c r="BQ500" s="3298">
        <f t="shared" si="289"/>
        <v>0</v>
      </c>
      <c r="BR500" s="3298">
        <f t="shared" si="290"/>
        <v>0</v>
      </c>
      <c r="BS500" s="3298">
        <f t="shared" si="291"/>
        <v>0</v>
      </c>
      <c r="BT500" s="3350">
        <f t="shared" si="292"/>
        <v>0</v>
      </c>
    </row>
    <row r="501" spans="1:72">
      <c r="A501" s="1407"/>
      <c r="B501" s="3296"/>
      <c r="C501" s="3296"/>
      <c r="D501" s="3297"/>
      <c r="E501" s="3298">
        <f t="shared" si="293"/>
        <v>0</v>
      </c>
      <c r="F501" s="3299"/>
      <c r="G501" s="3300">
        <f t="shared" si="268"/>
        <v>0</v>
      </c>
      <c r="H501" s="3301">
        <f t="shared" si="269"/>
        <v>0</v>
      </c>
      <c r="I501" s="3308"/>
      <c r="J501" s="3308"/>
      <c r="K501" s="3308"/>
      <c r="L501" s="3308"/>
      <c r="M501" s="3308"/>
      <c r="N501" s="3308"/>
      <c r="O501" s="3308"/>
      <c r="P501" s="3308"/>
      <c r="Q501" s="3308"/>
      <c r="R501" s="3308"/>
      <c r="S501" s="3308"/>
      <c r="T501" s="3308"/>
      <c r="U501" s="3308"/>
      <c r="V501" s="3308"/>
      <c r="W501" s="3308"/>
      <c r="X501" s="3308"/>
      <c r="Y501" s="3308"/>
      <c r="Z501" s="3308"/>
      <c r="AA501" s="3308"/>
      <c r="AB501" s="3308"/>
      <c r="AC501" s="3298">
        <f t="shared" si="270"/>
        <v>0</v>
      </c>
      <c r="AD501" s="3318"/>
      <c r="AE501" s="3318"/>
      <c r="AF501" s="3318"/>
      <c r="AG501" s="3318"/>
      <c r="AH501" s="3318"/>
      <c r="AI501" s="3318"/>
      <c r="AJ501" s="3318"/>
      <c r="AK501" s="3318"/>
      <c r="AL501" s="3318"/>
      <c r="AM501" s="3318"/>
      <c r="AN501" s="3318"/>
      <c r="AO501" s="3318"/>
      <c r="AP501" s="3318"/>
      <c r="AQ501" s="3318"/>
      <c r="AR501" s="3318"/>
      <c r="AS501" s="3318"/>
      <c r="AT501" s="3328"/>
      <c r="AU501" s="3329"/>
      <c r="AV501" s="963">
        <f t="shared" si="294"/>
        <v>0</v>
      </c>
      <c r="AW501" s="963">
        <f t="shared" si="295"/>
        <v>0</v>
      </c>
      <c r="AX501" s="963">
        <f t="shared" si="296"/>
        <v>0</v>
      </c>
      <c r="AY501" s="3343">
        <f t="shared" si="271"/>
        <v>0</v>
      </c>
      <c r="AZ501" s="3298">
        <f t="shared" si="272"/>
        <v>0</v>
      </c>
      <c r="BA501" s="3298">
        <f t="shared" si="273"/>
        <v>0</v>
      </c>
      <c r="BB501" s="3298">
        <f t="shared" si="274"/>
        <v>0</v>
      </c>
      <c r="BC501" s="3298">
        <f t="shared" si="275"/>
        <v>0</v>
      </c>
      <c r="BD501" s="3298">
        <f t="shared" si="276"/>
        <v>0</v>
      </c>
      <c r="BE501" s="3298">
        <f t="shared" si="277"/>
        <v>0</v>
      </c>
      <c r="BF501" s="3298">
        <f t="shared" si="278"/>
        <v>0</v>
      </c>
      <c r="BG501" s="3298">
        <f t="shared" si="279"/>
        <v>0</v>
      </c>
      <c r="BH501" s="3298">
        <f t="shared" si="280"/>
        <v>0</v>
      </c>
      <c r="BI501" s="3298">
        <f t="shared" si="281"/>
        <v>0</v>
      </c>
      <c r="BJ501" s="3298">
        <f t="shared" si="282"/>
        <v>0</v>
      </c>
      <c r="BK501" s="3298">
        <f t="shared" si="283"/>
        <v>0</v>
      </c>
      <c r="BL501" s="3298">
        <f t="shared" si="284"/>
        <v>0</v>
      </c>
      <c r="BM501" s="3298">
        <f t="shared" si="285"/>
        <v>0</v>
      </c>
      <c r="BN501" s="3298">
        <f t="shared" si="286"/>
        <v>0</v>
      </c>
      <c r="BO501" s="3298">
        <f t="shared" si="287"/>
        <v>0</v>
      </c>
      <c r="BP501" s="3298">
        <f t="shared" si="288"/>
        <v>0</v>
      </c>
      <c r="BQ501" s="3298">
        <f t="shared" si="289"/>
        <v>0</v>
      </c>
      <c r="BR501" s="3298">
        <f t="shared" si="290"/>
        <v>0</v>
      </c>
      <c r="BS501" s="3298">
        <f t="shared" si="291"/>
        <v>0</v>
      </c>
      <c r="BT501" s="3350">
        <f t="shared" si="292"/>
        <v>0</v>
      </c>
    </row>
    <row r="502" spans="1:72">
      <c r="A502" s="1407"/>
      <c r="B502" s="3296"/>
      <c r="C502" s="3296"/>
      <c r="D502" s="3297"/>
      <c r="E502" s="3298">
        <f t="shared" si="293"/>
        <v>0</v>
      </c>
      <c r="F502" s="3299"/>
      <c r="G502" s="3300">
        <f t="shared" si="268"/>
        <v>0</v>
      </c>
      <c r="H502" s="3301">
        <f t="shared" si="269"/>
        <v>0</v>
      </c>
      <c r="I502" s="3308"/>
      <c r="J502" s="3308"/>
      <c r="K502" s="3308"/>
      <c r="L502" s="3308"/>
      <c r="M502" s="3308"/>
      <c r="N502" s="3308"/>
      <c r="O502" s="3308"/>
      <c r="P502" s="3308"/>
      <c r="Q502" s="3308"/>
      <c r="R502" s="3308"/>
      <c r="S502" s="3308"/>
      <c r="T502" s="3308"/>
      <c r="U502" s="3308"/>
      <c r="V502" s="3308"/>
      <c r="W502" s="3308"/>
      <c r="X502" s="3308"/>
      <c r="Y502" s="3308"/>
      <c r="Z502" s="3308"/>
      <c r="AA502" s="3308"/>
      <c r="AB502" s="3308"/>
      <c r="AC502" s="3298">
        <f t="shared" si="270"/>
        <v>0</v>
      </c>
      <c r="AD502" s="3318"/>
      <c r="AE502" s="3318"/>
      <c r="AF502" s="3318"/>
      <c r="AG502" s="3318"/>
      <c r="AH502" s="3318"/>
      <c r="AI502" s="3318"/>
      <c r="AJ502" s="3318"/>
      <c r="AK502" s="3318"/>
      <c r="AL502" s="3318"/>
      <c r="AM502" s="3318"/>
      <c r="AN502" s="3318"/>
      <c r="AO502" s="3318"/>
      <c r="AP502" s="3318"/>
      <c r="AQ502" s="3318"/>
      <c r="AR502" s="3318"/>
      <c r="AS502" s="3318"/>
      <c r="AT502" s="3328"/>
      <c r="AU502" s="3329"/>
      <c r="AV502" s="963">
        <f t="shared" si="294"/>
        <v>0</v>
      </c>
      <c r="AW502" s="963">
        <f t="shared" si="295"/>
        <v>0</v>
      </c>
      <c r="AX502" s="963">
        <f t="shared" si="296"/>
        <v>0</v>
      </c>
      <c r="AY502" s="3343">
        <f t="shared" si="271"/>
        <v>0</v>
      </c>
      <c r="AZ502" s="3298">
        <f t="shared" si="272"/>
        <v>0</v>
      </c>
      <c r="BA502" s="3298">
        <f t="shared" si="273"/>
        <v>0</v>
      </c>
      <c r="BB502" s="3298">
        <f t="shared" si="274"/>
        <v>0</v>
      </c>
      <c r="BC502" s="3298">
        <f t="shared" si="275"/>
        <v>0</v>
      </c>
      <c r="BD502" s="3298">
        <f t="shared" si="276"/>
        <v>0</v>
      </c>
      <c r="BE502" s="3298">
        <f t="shared" si="277"/>
        <v>0</v>
      </c>
      <c r="BF502" s="3298">
        <f t="shared" si="278"/>
        <v>0</v>
      </c>
      <c r="BG502" s="3298">
        <f t="shared" si="279"/>
        <v>0</v>
      </c>
      <c r="BH502" s="3298">
        <f t="shared" si="280"/>
        <v>0</v>
      </c>
      <c r="BI502" s="3298">
        <f t="shared" si="281"/>
        <v>0</v>
      </c>
      <c r="BJ502" s="3298">
        <f t="shared" si="282"/>
        <v>0</v>
      </c>
      <c r="BK502" s="3298">
        <f t="shared" si="283"/>
        <v>0</v>
      </c>
      <c r="BL502" s="3298">
        <f t="shared" si="284"/>
        <v>0</v>
      </c>
      <c r="BM502" s="3298">
        <f t="shared" si="285"/>
        <v>0</v>
      </c>
      <c r="BN502" s="3298">
        <f t="shared" si="286"/>
        <v>0</v>
      </c>
      <c r="BO502" s="3298">
        <f t="shared" si="287"/>
        <v>0</v>
      </c>
      <c r="BP502" s="3298">
        <f t="shared" si="288"/>
        <v>0</v>
      </c>
      <c r="BQ502" s="3298">
        <f t="shared" si="289"/>
        <v>0</v>
      </c>
      <c r="BR502" s="3298">
        <f t="shared" si="290"/>
        <v>0</v>
      </c>
      <c r="BS502" s="3298">
        <f t="shared" si="291"/>
        <v>0</v>
      </c>
      <c r="BT502" s="3350">
        <f t="shared" si="292"/>
        <v>0</v>
      </c>
    </row>
    <row r="503" spans="1:72">
      <c r="A503" s="1407"/>
      <c r="B503" s="3296"/>
      <c r="C503" s="3296"/>
      <c r="D503" s="3297"/>
      <c r="E503" s="3298">
        <f t="shared" si="293"/>
        <v>0</v>
      </c>
      <c r="F503" s="3299"/>
      <c r="G503" s="3300">
        <f t="shared" si="268"/>
        <v>0</v>
      </c>
      <c r="H503" s="3301">
        <f t="shared" si="269"/>
        <v>0</v>
      </c>
      <c r="I503" s="3308"/>
      <c r="J503" s="3308"/>
      <c r="K503" s="3308"/>
      <c r="L503" s="3308"/>
      <c r="M503" s="3308"/>
      <c r="N503" s="3308"/>
      <c r="O503" s="3308"/>
      <c r="P503" s="3308"/>
      <c r="Q503" s="3308"/>
      <c r="R503" s="3308"/>
      <c r="S503" s="3308"/>
      <c r="T503" s="3308"/>
      <c r="U503" s="3308"/>
      <c r="V503" s="3308"/>
      <c r="W503" s="3308"/>
      <c r="X503" s="3308"/>
      <c r="Y503" s="3308"/>
      <c r="Z503" s="3308"/>
      <c r="AA503" s="3308"/>
      <c r="AB503" s="3308"/>
      <c r="AC503" s="3298">
        <f t="shared" si="270"/>
        <v>0</v>
      </c>
      <c r="AD503" s="3318"/>
      <c r="AE503" s="3318"/>
      <c r="AF503" s="3318"/>
      <c r="AG503" s="3318"/>
      <c r="AH503" s="3318"/>
      <c r="AI503" s="3318"/>
      <c r="AJ503" s="3318"/>
      <c r="AK503" s="3318"/>
      <c r="AL503" s="3318"/>
      <c r="AM503" s="3318"/>
      <c r="AN503" s="3318"/>
      <c r="AO503" s="3318"/>
      <c r="AP503" s="3318"/>
      <c r="AQ503" s="3318"/>
      <c r="AR503" s="3318"/>
      <c r="AS503" s="3318"/>
      <c r="AT503" s="3328"/>
      <c r="AU503" s="3329"/>
      <c r="AV503" s="963">
        <f t="shared" si="294"/>
        <v>0</v>
      </c>
      <c r="AW503" s="963">
        <f t="shared" si="295"/>
        <v>0</v>
      </c>
      <c r="AX503" s="963">
        <f t="shared" si="296"/>
        <v>0</v>
      </c>
      <c r="AY503" s="3343">
        <f t="shared" si="271"/>
        <v>0</v>
      </c>
      <c r="AZ503" s="3298">
        <f t="shared" si="272"/>
        <v>0</v>
      </c>
      <c r="BA503" s="3298">
        <f t="shared" si="273"/>
        <v>0</v>
      </c>
      <c r="BB503" s="3298">
        <f t="shared" si="274"/>
        <v>0</v>
      </c>
      <c r="BC503" s="3298">
        <f t="shared" si="275"/>
        <v>0</v>
      </c>
      <c r="BD503" s="3298">
        <f t="shared" si="276"/>
        <v>0</v>
      </c>
      <c r="BE503" s="3298">
        <f t="shared" si="277"/>
        <v>0</v>
      </c>
      <c r="BF503" s="3298">
        <f t="shared" si="278"/>
        <v>0</v>
      </c>
      <c r="BG503" s="3298">
        <f t="shared" si="279"/>
        <v>0</v>
      </c>
      <c r="BH503" s="3298">
        <f t="shared" si="280"/>
        <v>0</v>
      </c>
      <c r="BI503" s="3298">
        <f t="shared" si="281"/>
        <v>0</v>
      </c>
      <c r="BJ503" s="3298">
        <f t="shared" si="282"/>
        <v>0</v>
      </c>
      <c r="BK503" s="3298">
        <f t="shared" si="283"/>
        <v>0</v>
      </c>
      <c r="BL503" s="3298">
        <f t="shared" si="284"/>
        <v>0</v>
      </c>
      <c r="BM503" s="3298">
        <f t="shared" si="285"/>
        <v>0</v>
      </c>
      <c r="BN503" s="3298">
        <f t="shared" si="286"/>
        <v>0</v>
      </c>
      <c r="BO503" s="3298">
        <f t="shared" si="287"/>
        <v>0</v>
      </c>
      <c r="BP503" s="3298">
        <f t="shared" si="288"/>
        <v>0</v>
      </c>
      <c r="BQ503" s="3298">
        <f t="shared" si="289"/>
        <v>0</v>
      </c>
      <c r="BR503" s="3298">
        <f t="shared" si="290"/>
        <v>0</v>
      </c>
      <c r="BS503" s="3298">
        <f t="shared" si="291"/>
        <v>0</v>
      </c>
      <c r="BT503" s="3350">
        <f t="shared" si="292"/>
        <v>0</v>
      </c>
    </row>
    <row r="504" spans="1:72">
      <c r="A504" s="1407"/>
      <c r="B504" s="3296"/>
      <c r="C504" s="3296"/>
      <c r="D504" s="3297"/>
      <c r="E504" s="3298">
        <f t="shared" si="293"/>
        <v>0</v>
      </c>
      <c r="F504" s="3299"/>
      <c r="G504" s="3300">
        <f t="shared" si="268"/>
        <v>0</v>
      </c>
      <c r="H504" s="3301">
        <f t="shared" si="269"/>
        <v>0</v>
      </c>
      <c r="I504" s="3308"/>
      <c r="J504" s="3308"/>
      <c r="K504" s="3308"/>
      <c r="L504" s="3308"/>
      <c r="M504" s="3308"/>
      <c r="N504" s="3308"/>
      <c r="O504" s="3308"/>
      <c r="P504" s="3308"/>
      <c r="Q504" s="3308"/>
      <c r="R504" s="3308"/>
      <c r="S504" s="3308"/>
      <c r="T504" s="3308"/>
      <c r="U504" s="3308"/>
      <c r="V504" s="3308"/>
      <c r="W504" s="3308"/>
      <c r="X504" s="3308"/>
      <c r="Y504" s="3308"/>
      <c r="Z504" s="3308"/>
      <c r="AA504" s="3308"/>
      <c r="AB504" s="3308"/>
      <c r="AC504" s="3298">
        <f t="shared" si="270"/>
        <v>0</v>
      </c>
      <c r="AD504" s="3318"/>
      <c r="AE504" s="3318"/>
      <c r="AF504" s="3318"/>
      <c r="AG504" s="3318"/>
      <c r="AH504" s="3318"/>
      <c r="AI504" s="3318"/>
      <c r="AJ504" s="3318"/>
      <c r="AK504" s="3318"/>
      <c r="AL504" s="3318"/>
      <c r="AM504" s="3318"/>
      <c r="AN504" s="3318"/>
      <c r="AO504" s="3318"/>
      <c r="AP504" s="3318"/>
      <c r="AQ504" s="3318"/>
      <c r="AR504" s="3318"/>
      <c r="AS504" s="3318"/>
      <c r="AT504" s="3328"/>
      <c r="AU504" s="3329"/>
      <c r="AV504" s="963">
        <f t="shared" si="294"/>
        <v>0</v>
      </c>
      <c r="AW504" s="963">
        <f t="shared" si="295"/>
        <v>0</v>
      </c>
      <c r="AX504" s="963">
        <f t="shared" si="296"/>
        <v>0</v>
      </c>
      <c r="AY504" s="3343">
        <f t="shared" si="271"/>
        <v>0</v>
      </c>
      <c r="AZ504" s="3298">
        <f t="shared" si="272"/>
        <v>0</v>
      </c>
      <c r="BA504" s="3298">
        <f t="shared" si="273"/>
        <v>0</v>
      </c>
      <c r="BB504" s="3298">
        <f t="shared" si="274"/>
        <v>0</v>
      </c>
      <c r="BC504" s="3298">
        <f t="shared" si="275"/>
        <v>0</v>
      </c>
      <c r="BD504" s="3298">
        <f t="shared" si="276"/>
        <v>0</v>
      </c>
      <c r="BE504" s="3298">
        <f t="shared" si="277"/>
        <v>0</v>
      </c>
      <c r="BF504" s="3298">
        <f t="shared" si="278"/>
        <v>0</v>
      </c>
      <c r="BG504" s="3298">
        <f t="shared" si="279"/>
        <v>0</v>
      </c>
      <c r="BH504" s="3298">
        <f t="shared" si="280"/>
        <v>0</v>
      </c>
      <c r="BI504" s="3298">
        <f t="shared" si="281"/>
        <v>0</v>
      </c>
      <c r="BJ504" s="3298">
        <f t="shared" si="282"/>
        <v>0</v>
      </c>
      <c r="BK504" s="3298">
        <f t="shared" si="283"/>
        <v>0</v>
      </c>
      <c r="BL504" s="3298">
        <f t="shared" si="284"/>
        <v>0</v>
      </c>
      <c r="BM504" s="3298">
        <f t="shared" si="285"/>
        <v>0</v>
      </c>
      <c r="BN504" s="3298">
        <f t="shared" si="286"/>
        <v>0</v>
      </c>
      <c r="BO504" s="3298">
        <f t="shared" si="287"/>
        <v>0</v>
      </c>
      <c r="BP504" s="3298">
        <f t="shared" si="288"/>
        <v>0</v>
      </c>
      <c r="BQ504" s="3298">
        <f t="shared" si="289"/>
        <v>0</v>
      </c>
      <c r="BR504" s="3298">
        <f t="shared" si="290"/>
        <v>0</v>
      </c>
      <c r="BS504" s="3298">
        <f t="shared" si="291"/>
        <v>0</v>
      </c>
      <c r="BT504" s="3350">
        <f t="shared" si="292"/>
        <v>0</v>
      </c>
    </row>
    <row r="505" spans="1:72">
      <c r="A505" s="1407"/>
      <c r="B505" s="3296"/>
      <c r="C505" s="3296"/>
      <c r="D505" s="3297"/>
      <c r="E505" s="3298">
        <f t="shared" si="293"/>
        <v>0</v>
      </c>
      <c r="F505" s="3299"/>
      <c r="G505" s="3300">
        <f t="shared" si="268"/>
        <v>0</v>
      </c>
      <c r="H505" s="3301">
        <f t="shared" si="269"/>
        <v>0</v>
      </c>
      <c r="I505" s="3308"/>
      <c r="J505" s="3308"/>
      <c r="K505" s="3308"/>
      <c r="L505" s="3308"/>
      <c r="M505" s="3308"/>
      <c r="N505" s="3308"/>
      <c r="O505" s="3308"/>
      <c r="P505" s="3308"/>
      <c r="Q505" s="3308"/>
      <c r="R505" s="3308"/>
      <c r="S505" s="3308"/>
      <c r="T505" s="3308"/>
      <c r="U505" s="3308"/>
      <c r="V505" s="3308"/>
      <c r="W505" s="3308"/>
      <c r="X505" s="3308"/>
      <c r="Y505" s="3308"/>
      <c r="Z505" s="3308"/>
      <c r="AA505" s="3308"/>
      <c r="AB505" s="3308"/>
      <c r="AC505" s="3298">
        <f t="shared" si="270"/>
        <v>0</v>
      </c>
      <c r="AD505" s="3318"/>
      <c r="AE505" s="3318"/>
      <c r="AF505" s="3318"/>
      <c r="AG505" s="3318"/>
      <c r="AH505" s="3318"/>
      <c r="AI505" s="3318"/>
      <c r="AJ505" s="3318"/>
      <c r="AK505" s="3318"/>
      <c r="AL505" s="3318"/>
      <c r="AM505" s="3318"/>
      <c r="AN505" s="3318"/>
      <c r="AO505" s="3318"/>
      <c r="AP505" s="3318"/>
      <c r="AQ505" s="3318"/>
      <c r="AR505" s="3318"/>
      <c r="AS505" s="3318"/>
      <c r="AT505" s="3328"/>
      <c r="AU505" s="3329"/>
      <c r="AV505" s="963">
        <f t="shared" si="294"/>
        <v>0</v>
      </c>
      <c r="AW505" s="963">
        <f t="shared" si="295"/>
        <v>0</v>
      </c>
      <c r="AX505" s="963">
        <f t="shared" si="296"/>
        <v>0</v>
      </c>
      <c r="AY505" s="3343">
        <f t="shared" si="271"/>
        <v>0</v>
      </c>
      <c r="AZ505" s="3298">
        <f t="shared" si="272"/>
        <v>0</v>
      </c>
      <c r="BA505" s="3298">
        <f t="shared" si="273"/>
        <v>0</v>
      </c>
      <c r="BB505" s="3298">
        <f t="shared" si="274"/>
        <v>0</v>
      </c>
      <c r="BC505" s="3298">
        <f t="shared" si="275"/>
        <v>0</v>
      </c>
      <c r="BD505" s="3298">
        <f t="shared" si="276"/>
        <v>0</v>
      </c>
      <c r="BE505" s="3298">
        <f t="shared" si="277"/>
        <v>0</v>
      </c>
      <c r="BF505" s="3298">
        <f t="shared" si="278"/>
        <v>0</v>
      </c>
      <c r="BG505" s="3298">
        <f t="shared" si="279"/>
        <v>0</v>
      </c>
      <c r="BH505" s="3298">
        <f t="shared" si="280"/>
        <v>0</v>
      </c>
      <c r="BI505" s="3298">
        <f t="shared" si="281"/>
        <v>0</v>
      </c>
      <c r="BJ505" s="3298">
        <f t="shared" si="282"/>
        <v>0</v>
      </c>
      <c r="BK505" s="3298">
        <f t="shared" si="283"/>
        <v>0</v>
      </c>
      <c r="BL505" s="3298">
        <f t="shared" si="284"/>
        <v>0</v>
      </c>
      <c r="BM505" s="3298">
        <f t="shared" si="285"/>
        <v>0</v>
      </c>
      <c r="BN505" s="3298">
        <f t="shared" si="286"/>
        <v>0</v>
      </c>
      <c r="BO505" s="3298">
        <f t="shared" si="287"/>
        <v>0</v>
      </c>
      <c r="BP505" s="3298">
        <f t="shared" si="288"/>
        <v>0</v>
      </c>
      <c r="BQ505" s="3298">
        <f t="shared" si="289"/>
        <v>0</v>
      </c>
      <c r="BR505" s="3298">
        <f t="shared" si="290"/>
        <v>0</v>
      </c>
      <c r="BS505" s="3298">
        <f t="shared" si="291"/>
        <v>0</v>
      </c>
      <c r="BT505" s="3350">
        <f t="shared" si="292"/>
        <v>0</v>
      </c>
    </row>
    <row r="506" spans="1:72">
      <c r="A506" s="1407"/>
      <c r="B506" s="3296"/>
      <c r="C506" s="3296"/>
      <c r="D506" s="3297"/>
      <c r="E506" s="3298">
        <f t="shared" si="293"/>
        <v>0</v>
      </c>
      <c r="F506" s="3299"/>
      <c r="G506" s="3300">
        <f t="shared" si="268"/>
        <v>0</v>
      </c>
      <c r="H506" s="3301">
        <f t="shared" si="269"/>
        <v>0</v>
      </c>
      <c r="I506" s="3308"/>
      <c r="J506" s="3308"/>
      <c r="K506" s="3308"/>
      <c r="L506" s="3308"/>
      <c r="M506" s="3308"/>
      <c r="N506" s="3308"/>
      <c r="O506" s="3308"/>
      <c r="P506" s="3308"/>
      <c r="Q506" s="3308"/>
      <c r="R506" s="3308"/>
      <c r="S506" s="3308"/>
      <c r="T506" s="3308"/>
      <c r="U506" s="3308"/>
      <c r="V506" s="3308"/>
      <c r="W506" s="3308"/>
      <c r="X506" s="3308"/>
      <c r="Y506" s="3308"/>
      <c r="Z506" s="3308"/>
      <c r="AA506" s="3308"/>
      <c r="AB506" s="3308"/>
      <c r="AC506" s="3298">
        <f t="shared" si="270"/>
        <v>0</v>
      </c>
      <c r="AD506" s="3318"/>
      <c r="AE506" s="3318"/>
      <c r="AF506" s="3318"/>
      <c r="AG506" s="3318"/>
      <c r="AH506" s="3318"/>
      <c r="AI506" s="3318"/>
      <c r="AJ506" s="3318"/>
      <c r="AK506" s="3318"/>
      <c r="AL506" s="3318"/>
      <c r="AM506" s="3318"/>
      <c r="AN506" s="3318"/>
      <c r="AO506" s="3318"/>
      <c r="AP506" s="3318"/>
      <c r="AQ506" s="3318"/>
      <c r="AR506" s="3318"/>
      <c r="AS506" s="3318"/>
      <c r="AT506" s="3328"/>
      <c r="AU506" s="3329"/>
      <c r="AV506" s="963">
        <f t="shared" si="294"/>
        <v>0</v>
      </c>
      <c r="AW506" s="963">
        <f t="shared" si="295"/>
        <v>0</v>
      </c>
      <c r="AX506" s="963">
        <f t="shared" si="296"/>
        <v>0</v>
      </c>
      <c r="AY506" s="3343">
        <f t="shared" si="271"/>
        <v>0</v>
      </c>
      <c r="AZ506" s="3298">
        <f t="shared" si="272"/>
        <v>0</v>
      </c>
      <c r="BA506" s="3298">
        <f t="shared" si="273"/>
        <v>0</v>
      </c>
      <c r="BB506" s="3298">
        <f t="shared" si="274"/>
        <v>0</v>
      </c>
      <c r="BC506" s="3298">
        <f t="shared" si="275"/>
        <v>0</v>
      </c>
      <c r="BD506" s="3298">
        <f t="shared" si="276"/>
        <v>0</v>
      </c>
      <c r="BE506" s="3298">
        <f t="shared" si="277"/>
        <v>0</v>
      </c>
      <c r="BF506" s="3298">
        <f t="shared" si="278"/>
        <v>0</v>
      </c>
      <c r="BG506" s="3298">
        <f t="shared" si="279"/>
        <v>0</v>
      </c>
      <c r="BH506" s="3298">
        <f t="shared" si="280"/>
        <v>0</v>
      </c>
      <c r="BI506" s="3298">
        <f t="shared" si="281"/>
        <v>0</v>
      </c>
      <c r="BJ506" s="3298">
        <f t="shared" si="282"/>
        <v>0</v>
      </c>
      <c r="BK506" s="3298">
        <f t="shared" si="283"/>
        <v>0</v>
      </c>
      <c r="BL506" s="3298">
        <f t="shared" si="284"/>
        <v>0</v>
      </c>
      <c r="BM506" s="3298">
        <f t="shared" si="285"/>
        <v>0</v>
      </c>
      <c r="BN506" s="3298">
        <f t="shared" si="286"/>
        <v>0</v>
      </c>
      <c r="BO506" s="3298">
        <f t="shared" si="287"/>
        <v>0</v>
      </c>
      <c r="BP506" s="3298">
        <f t="shared" si="288"/>
        <v>0</v>
      </c>
      <c r="BQ506" s="3298">
        <f t="shared" si="289"/>
        <v>0</v>
      </c>
      <c r="BR506" s="3298">
        <f t="shared" si="290"/>
        <v>0</v>
      </c>
      <c r="BS506" s="3298">
        <f t="shared" si="291"/>
        <v>0</v>
      </c>
      <c r="BT506" s="3350">
        <f t="shared" si="292"/>
        <v>0</v>
      </c>
    </row>
    <row r="507" spans="1:72">
      <c r="A507" s="1407"/>
      <c r="B507" s="3296"/>
      <c r="C507" s="3296"/>
      <c r="D507" s="3297"/>
      <c r="E507" s="3298">
        <f t="shared" si="293"/>
        <v>0</v>
      </c>
      <c r="F507" s="3299"/>
      <c r="G507" s="3300">
        <f t="shared" si="268"/>
        <v>0</v>
      </c>
      <c r="H507" s="3301">
        <f t="shared" si="269"/>
        <v>0</v>
      </c>
      <c r="I507" s="3308"/>
      <c r="J507" s="3308"/>
      <c r="K507" s="3308"/>
      <c r="L507" s="3308"/>
      <c r="M507" s="3308"/>
      <c r="N507" s="3308"/>
      <c r="O507" s="3308"/>
      <c r="P507" s="3308"/>
      <c r="Q507" s="3308"/>
      <c r="R507" s="3308"/>
      <c r="S507" s="3308"/>
      <c r="T507" s="3308"/>
      <c r="U507" s="3308"/>
      <c r="V507" s="3308"/>
      <c r="W507" s="3308"/>
      <c r="X507" s="3308"/>
      <c r="Y507" s="3308"/>
      <c r="Z507" s="3308"/>
      <c r="AA507" s="3308"/>
      <c r="AB507" s="3308"/>
      <c r="AC507" s="3298">
        <f t="shared" si="270"/>
        <v>0</v>
      </c>
      <c r="AD507" s="3318"/>
      <c r="AE507" s="3318"/>
      <c r="AF507" s="3318"/>
      <c r="AG507" s="3318"/>
      <c r="AH507" s="3318"/>
      <c r="AI507" s="3318"/>
      <c r="AJ507" s="3318"/>
      <c r="AK507" s="3318"/>
      <c r="AL507" s="3318"/>
      <c r="AM507" s="3318"/>
      <c r="AN507" s="3318"/>
      <c r="AO507" s="3318"/>
      <c r="AP507" s="3318"/>
      <c r="AQ507" s="3318"/>
      <c r="AR507" s="3318"/>
      <c r="AS507" s="3318"/>
      <c r="AT507" s="3328"/>
      <c r="AU507" s="3329"/>
      <c r="AV507" s="963">
        <f t="shared" si="294"/>
        <v>0</v>
      </c>
      <c r="AW507" s="963">
        <f t="shared" si="295"/>
        <v>0</v>
      </c>
      <c r="AX507" s="963">
        <f t="shared" si="296"/>
        <v>0</v>
      </c>
      <c r="AY507" s="3343">
        <f t="shared" si="271"/>
        <v>0</v>
      </c>
      <c r="AZ507" s="3298">
        <f t="shared" si="272"/>
        <v>0</v>
      </c>
      <c r="BA507" s="3298">
        <f t="shared" si="273"/>
        <v>0</v>
      </c>
      <c r="BB507" s="3298">
        <f t="shared" si="274"/>
        <v>0</v>
      </c>
      <c r="BC507" s="3298">
        <f t="shared" si="275"/>
        <v>0</v>
      </c>
      <c r="BD507" s="3298">
        <f t="shared" si="276"/>
        <v>0</v>
      </c>
      <c r="BE507" s="3298">
        <f t="shared" si="277"/>
        <v>0</v>
      </c>
      <c r="BF507" s="3298">
        <f t="shared" si="278"/>
        <v>0</v>
      </c>
      <c r="BG507" s="3298">
        <f t="shared" si="279"/>
        <v>0</v>
      </c>
      <c r="BH507" s="3298">
        <f t="shared" si="280"/>
        <v>0</v>
      </c>
      <c r="BI507" s="3298">
        <f t="shared" si="281"/>
        <v>0</v>
      </c>
      <c r="BJ507" s="3298">
        <f t="shared" si="282"/>
        <v>0</v>
      </c>
      <c r="BK507" s="3298">
        <f t="shared" si="283"/>
        <v>0</v>
      </c>
      <c r="BL507" s="3298">
        <f t="shared" si="284"/>
        <v>0</v>
      </c>
      <c r="BM507" s="3298">
        <f t="shared" si="285"/>
        <v>0</v>
      </c>
      <c r="BN507" s="3298">
        <f t="shared" si="286"/>
        <v>0</v>
      </c>
      <c r="BO507" s="3298">
        <f t="shared" si="287"/>
        <v>0</v>
      </c>
      <c r="BP507" s="3298">
        <f t="shared" si="288"/>
        <v>0</v>
      </c>
      <c r="BQ507" s="3298">
        <f t="shared" si="289"/>
        <v>0</v>
      </c>
      <c r="BR507" s="3298">
        <f t="shared" si="290"/>
        <v>0</v>
      </c>
      <c r="BS507" s="3298">
        <f t="shared" si="291"/>
        <v>0</v>
      </c>
      <c r="BT507" s="3350">
        <f t="shared" si="292"/>
        <v>0</v>
      </c>
    </row>
    <row r="508" spans="1:72">
      <c r="A508" s="1407"/>
      <c r="B508" s="3296"/>
      <c r="C508" s="3296"/>
      <c r="D508" s="3297"/>
      <c r="E508" s="3298">
        <f t="shared" si="293"/>
        <v>0</v>
      </c>
      <c r="F508" s="3299"/>
      <c r="G508" s="3300">
        <f t="shared" si="268"/>
        <v>0</v>
      </c>
      <c r="H508" s="3301">
        <f t="shared" si="269"/>
        <v>0</v>
      </c>
      <c r="I508" s="3308"/>
      <c r="J508" s="3308"/>
      <c r="K508" s="3308"/>
      <c r="L508" s="3308"/>
      <c r="M508" s="3308"/>
      <c r="N508" s="3308"/>
      <c r="O508" s="3308"/>
      <c r="P508" s="3308"/>
      <c r="Q508" s="3308"/>
      <c r="R508" s="3308"/>
      <c r="S508" s="3308"/>
      <c r="T508" s="3308"/>
      <c r="U508" s="3308"/>
      <c r="V508" s="3308"/>
      <c r="W508" s="3308"/>
      <c r="X508" s="3308"/>
      <c r="Y508" s="3308"/>
      <c r="Z508" s="3308"/>
      <c r="AA508" s="3308"/>
      <c r="AB508" s="3308"/>
      <c r="AC508" s="3298">
        <f t="shared" si="270"/>
        <v>0</v>
      </c>
      <c r="AD508" s="3318"/>
      <c r="AE508" s="3318"/>
      <c r="AF508" s="3318"/>
      <c r="AG508" s="3318"/>
      <c r="AH508" s="3318"/>
      <c r="AI508" s="3318"/>
      <c r="AJ508" s="3318"/>
      <c r="AK508" s="3318"/>
      <c r="AL508" s="3318"/>
      <c r="AM508" s="3318"/>
      <c r="AN508" s="3318"/>
      <c r="AO508" s="3318"/>
      <c r="AP508" s="3318"/>
      <c r="AQ508" s="3318"/>
      <c r="AR508" s="3318"/>
      <c r="AS508" s="3318"/>
      <c r="AT508" s="3328"/>
      <c r="AU508" s="3329"/>
      <c r="AV508" s="963">
        <f t="shared" si="294"/>
        <v>0</v>
      </c>
      <c r="AW508" s="963">
        <f t="shared" si="295"/>
        <v>0</v>
      </c>
      <c r="AX508" s="963">
        <f t="shared" si="296"/>
        <v>0</v>
      </c>
      <c r="AY508" s="3343">
        <f t="shared" si="271"/>
        <v>0</v>
      </c>
      <c r="AZ508" s="3298">
        <f t="shared" si="272"/>
        <v>0</v>
      </c>
      <c r="BA508" s="3298">
        <f t="shared" si="273"/>
        <v>0</v>
      </c>
      <c r="BB508" s="3298">
        <f t="shared" si="274"/>
        <v>0</v>
      </c>
      <c r="BC508" s="3298">
        <f t="shared" si="275"/>
        <v>0</v>
      </c>
      <c r="BD508" s="3298">
        <f t="shared" si="276"/>
        <v>0</v>
      </c>
      <c r="BE508" s="3298">
        <f t="shared" si="277"/>
        <v>0</v>
      </c>
      <c r="BF508" s="3298">
        <f t="shared" si="278"/>
        <v>0</v>
      </c>
      <c r="BG508" s="3298">
        <f t="shared" si="279"/>
        <v>0</v>
      </c>
      <c r="BH508" s="3298">
        <f t="shared" si="280"/>
        <v>0</v>
      </c>
      <c r="BI508" s="3298">
        <f t="shared" si="281"/>
        <v>0</v>
      </c>
      <c r="BJ508" s="3298">
        <f t="shared" si="282"/>
        <v>0</v>
      </c>
      <c r="BK508" s="3298">
        <f t="shared" si="283"/>
        <v>0</v>
      </c>
      <c r="BL508" s="3298">
        <f t="shared" si="284"/>
        <v>0</v>
      </c>
      <c r="BM508" s="3298">
        <f t="shared" si="285"/>
        <v>0</v>
      </c>
      <c r="BN508" s="3298">
        <f t="shared" si="286"/>
        <v>0</v>
      </c>
      <c r="BO508" s="3298">
        <f t="shared" si="287"/>
        <v>0</v>
      </c>
      <c r="BP508" s="3298">
        <f t="shared" si="288"/>
        <v>0</v>
      </c>
      <c r="BQ508" s="3298">
        <f t="shared" si="289"/>
        <v>0</v>
      </c>
      <c r="BR508" s="3298">
        <f t="shared" si="290"/>
        <v>0</v>
      </c>
      <c r="BS508" s="3298">
        <f t="shared" si="291"/>
        <v>0</v>
      </c>
      <c r="BT508" s="3350">
        <f t="shared" si="292"/>
        <v>0</v>
      </c>
    </row>
    <row r="509" spans="1:72">
      <c r="A509" s="1407"/>
      <c r="B509" s="3296"/>
      <c r="C509" s="3296"/>
      <c r="D509" s="3297"/>
      <c r="E509" s="3298">
        <f t="shared" si="293"/>
        <v>0</v>
      </c>
      <c r="F509" s="3299"/>
      <c r="G509" s="3300">
        <f t="shared" si="268"/>
        <v>0</v>
      </c>
      <c r="H509" s="3301">
        <f t="shared" si="269"/>
        <v>0</v>
      </c>
      <c r="I509" s="3308"/>
      <c r="J509" s="3308"/>
      <c r="K509" s="3308"/>
      <c r="L509" s="3308"/>
      <c r="M509" s="3308"/>
      <c r="N509" s="3308"/>
      <c r="O509" s="3308"/>
      <c r="P509" s="3308"/>
      <c r="Q509" s="3308"/>
      <c r="R509" s="3308"/>
      <c r="S509" s="3308"/>
      <c r="T509" s="3308"/>
      <c r="U509" s="3308"/>
      <c r="V509" s="3308"/>
      <c r="W509" s="3308"/>
      <c r="X509" s="3308"/>
      <c r="Y509" s="3308"/>
      <c r="Z509" s="3308"/>
      <c r="AA509" s="3308"/>
      <c r="AB509" s="3308"/>
      <c r="AC509" s="3298">
        <f t="shared" si="270"/>
        <v>0</v>
      </c>
      <c r="AD509" s="3318"/>
      <c r="AE509" s="3318"/>
      <c r="AF509" s="3318"/>
      <c r="AG509" s="3318"/>
      <c r="AH509" s="3318"/>
      <c r="AI509" s="3318"/>
      <c r="AJ509" s="3318"/>
      <c r="AK509" s="3318"/>
      <c r="AL509" s="3318"/>
      <c r="AM509" s="3318"/>
      <c r="AN509" s="3318"/>
      <c r="AO509" s="3318"/>
      <c r="AP509" s="3318"/>
      <c r="AQ509" s="3318"/>
      <c r="AR509" s="3318"/>
      <c r="AS509" s="3318"/>
      <c r="AT509" s="3328"/>
      <c r="AU509" s="3329"/>
      <c r="AV509" s="963">
        <f t="shared" si="294"/>
        <v>0</v>
      </c>
      <c r="AW509" s="963">
        <f t="shared" si="295"/>
        <v>0</v>
      </c>
      <c r="AX509" s="963">
        <f t="shared" si="296"/>
        <v>0</v>
      </c>
      <c r="AY509" s="3343">
        <f t="shared" si="271"/>
        <v>0</v>
      </c>
      <c r="AZ509" s="3298">
        <f t="shared" si="272"/>
        <v>0</v>
      </c>
      <c r="BA509" s="3298">
        <f t="shared" si="273"/>
        <v>0</v>
      </c>
      <c r="BB509" s="3298">
        <f t="shared" si="274"/>
        <v>0</v>
      </c>
      <c r="BC509" s="3298">
        <f t="shared" si="275"/>
        <v>0</v>
      </c>
      <c r="BD509" s="3298">
        <f t="shared" si="276"/>
        <v>0</v>
      </c>
      <c r="BE509" s="3298">
        <f t="shared" si="277"/>
        <v>0</v>
      </c>
      <c r="BF509" s="3298">
        <f t="shared" si="278"/>
        <v>0</v>
      </c>
      <c r="BG509" s="3298">
        <f t="shared" si="279"/>
        <v>0</v>
      </c>
      <c r="BH509" s="3298">
        <f t="shared" si="280"/>
        <v>0</v>
      </c>
      <c r="BI509" s="3298">
        <f t="shared" si="281"/>
        <v>0</v>
      </c>
      <c r="BJ509" s="3298">
        <f t="shared" si="282"/>
        <v>0</v>
      </c>
      <c r="BK509" s="3298">
        <f t="shared" si="283"/>
        <v>0</v>
      </c>
      <c r="BL509" s="3298">
        <f t="shared" si="284"/>
        <v>0</v>
      </c>
      <c r="BM509" s="3298">
        <f t="shared" si="285"/>
        <v>0</v>
      </c>
      <c r="BN509" s="3298">
        <f t="shared" si="286"/>
        <v>0</v>
      </c>
      <c r="BO509" s="3298">
        <f t="shared" si="287"/>
        <v>0</v>
      </c>
      <c r="BP509" s="3298">
        <f t="shared" si="288"/>
        <v>0</v>
      </c>
      <c r="BQ509" s="3298">
        <f t="shared" si="289"/>
        <v>0</v>
      </c>
      <c r="BR509" s="3298">
        <f t="shared" si="290"/>
        <v>0</v>
      </c>
      <c r="BS509" s="3298">
        <f t="shared" si="291"/>
        <v>0</v>
      </c>
      <c r="BT509" s="3350">
        <f t="shared" si="292"/>
        <v>0</v>
      </c>
    </row>
    <row r="510" spans="1:72">
      <c r="A510" s="1407"/>
      <c r="B510" s="3296"/>
      <c r="C510" s="3296"/>
      <c r="D510" s="3297"/>
      <c r="E510" s="3298">
        <f t="shared" si="293"/>
        <v>0</v>
      </c>
      <c r="F510" s="3299"/>
      <c r="G510" s="3300">
        <f t="shared" si="268"/>
        <v>0</v>
      </c>
      <c r="H510" s="3301">
        <f t="shared" si="269"/>
        <v>0</v>
      </c>
      <c r="I510" s="3308"/>
      <c r="J510" s="3308"/>
      <c r="K510" s="3308"/>
      <c r="L510" s="3308"/>
      <c r="M510" s="3308"/>
      <c r="N510" s="3308"/>
      <c r="O510" s="3308"/>
      <c r="P510" s="3308"/>
      <c r="Q510" s="3308"/>
      <c r="R510" s="3308"/>
      <c r="S510" s="3308"/>
      <c r="T510" s="3308"/>
      <c r="U510" s="3308"/>
      <c r="V510" s="3308"/>
      <c r="W510" s="3308"/>
      <c r="X510" s="3308"/>
      <c r="Y510" s="3308"/>
      <c r="Z510" s="3308"/>
      <c r="AA510" s="3308"/>
      <c r="AB510" s="3308"/>
      <c r="AC510" s="3298">
        <f t="shared" si="270"/>
        <v>0</v>
      </c>
      <c r="AD510" s="3318"/>
      <c r="AE510" s="3318"/>
      <c r="AF510" s="3318"/>
      <c r="AG510" s="3318"/>
      <c r="AH510" s="3318"/>
      <c r="AI510" s="3318"/>
      <c r="AJ510" s="3318"/>
      <c r="AK510" s="3318"/>
      <c r="AL510" s="3318"/>
      <c r="AM510" s="3318"/>
      <c r="AN510" s="3318"/>
      <c r="AO510" s="3318"/>
      <c r="AP510" s="3318"/>
      <c r="AQ510" s="3318"/>
      <c r="AR510" s="3318"/>
      <c r="AS510" s="3318"/>
      <c r="AT510" s="3328"/>
      <c r="AU510" s="3329"/>
      <c r="AV510" s="963">
        <f t="shared" si="294"/>
        <v>0</v>
      </c>
      <c r="AW510" s="963">
        <f t="shared" si="295"/>
        <v>0</v>
      </c>
      <c r="AX510" s="963">
        <f t="shared" si="296"/>
        <v>0</v>
      </c>
      <c r="AY510" s="3343">
        <f t="shared" si="271"/>
        <v>0</v>
      </c>
      <c r="AZ510" s="3298">
        <f t="shared" si="272"/>
        <v>0</v>
      </c>
      <c r="BA510" s="3298">
        <f t="shared" si="273"/>
        <v>0</v>
      </c>
      <c r="BB510" s="3298">
        <f t="shared" si="274"/>
        <v>0</v>
      </c>
      <c r="BC510" s="3298">
        <f t="shared" si="275"/>
        <v>0</v>
      </c>
      <c r="BD510" s="3298">
        <f t="shared" si="276"/>
        <v>0</v>
      </c>
      <c r="BE510" s="3298">
        <f t="shared" si="277"/>
        <v>0</v>
      </c>
      <c r="BF510" s="3298">
        <f t="shared" si="278"/>
        <v>0</v>
      </c>
      <c r="BG510" s="3298">
        <f t="shared" si="279"/>
        <v>0</v>
      </c>
      <c r="BH510" s="3298">
        <f t="shared" si="280"/>
        <v>0</v>
      </c>
      <c r="BI510" s="3298">
        <f t="shared" si="281"/>
        <v>0</v>
      </c>
      <c r="BJ510" s="3298">
        <f t="shared" si="282"/>
        <v>0</v>
      </c>
      <c r="BK510" s="3298">
        <f t="shared" si="283"/>
        <v>0</v>
      </c>
      <c r="BL510" s="3298">
        <f t="shared" si="284"/>
        <v>0</v>
      </c>
      <c r="BM510" s="3298">
        <f t="shared" si="285"/>
        <v>0</v>
      </c>
      <c r="BN510" s="3298">
        <f t="shared" si="286"/>
        <v>0</v>
      </c>
      <c r="BO510" s="3298">
        <f t="shared" si="287"/>
        <v>0</v>
      </c>
      <c r="BP510" s="3298">
        <f t="shared" si="288"/>
        <v>0</v>
      </c>
      <c r="BQ510" s="3298">
        <f t="shared" si="289"/>
        <v>0</v>
      </c>
      <c r="BR510" s="3298">
        <f t="shared" si="290"/>
        <v>0</v>
      </c>
      <c r="BS510" s="3298">
        <f t="shared" si="291"/>
        <v>0</v>
      </c>
      <c r="BT510" s="3350">
        <f t="shared" si="292"/>
        <v>0</v>
      </c>
    </row>
    <row r="511" spans="1:72">
      <c r="A511" s="1407"/>
      <c r="B511" s="3296"/>
      <c r="C511" s="3296"/>
      <c r="D511" s="3297"/>
      <c r="E511" s="3298">
        <f t="shared" si="293"/>
        <v>0</v>
      </c>
      <c r="F511" s="3299"/>
      <c r="G511" s="3300">
        <f t="shared" si="268"/>
        <v>0</v>
      </c>
      <c r="H511" s="3301">
        <f t="shared" si="269"/>
        <v>0</v>
      </c>
      <c r="I511" s="3308"/>
      <c r="J511" s="3308"/>
      <c r="K511" s="3308"/>
      <c r="L511" s="3308"/>
      <c r="M511" s="3308"/>
      <c r="N511" s="3308"/>
      <c r="O511" s="3308"/>
      <c r="P511" s="3308"/>
      <c r="Q511" s="3308"/>
      <c r="R511" s="3308"/>
      <c r="S511" s="3308"/>
      <c r="T511" s="3308"/>
      <c r="U511" s="3308"/>
      <c r="V511" s="3308"/>
      <c r="W511" s="3308"/>
      <c r="X511" s="3308"/>
      <c r="Y511" s="3308"/>
      <c r="Z511" s="3308"/>
      <c r="AA511" s="3308"/>
      <c r="AB511" s="3308"/>
      <c r="AC511" s="3298">
        <f t="shared" si="270"/>
        <v>0</v>
      </c>
      <c r="AD511" s="3318"/>
      <c r="AE511" s="3318"/>
      <c r="AF511" s="3318"/>
      <c r="AG511" s="3318"/>
      <c r="AH511" s="3318"/>
      <c r="AI511" s="3318"/>
      <c r="AJ511" s="3318"/>
      <c r="AK511" s="3318"/>
      <c r="AL511" s="3318"/>
      <c r="AM511" s="3318"/>
      <c r="AN511" s="3318"/>
      <c r="AO511" s="3318"/>
      <c r="AP511" s="3318"/>
      <c r="AQ511" s="3318"/>
      <c r="AR511" s="3318"/>
      <c r="AS511" s="3318"/>
      <c r="AT511" s="3328"/>
      <c r="AU511" s="3329"/>
      <c r="AV511" s="963">
        <f t="shared" si="294"/>
        <v>0</v>
      </c>
      <c r="AW511" s="963">
        <f t="shared" si="295"/>
        <v>0</v>
      </c>
      <c r="AX511" s="963">
        <f t="shared" si="296"/>
        <v>0</v>
      </c>
      <c r="AY511" s="3343">
        <f t="shared" si="271"/>
        <v>0</v>
      </c>
      <c r="AZ511" s="3298">
        <f t="shared" si="272"/>
        <v>0</v>
      </c>
      <c r="BA511" s="3298">
        <f t="shared" si="273"/>
        <v>0</v>
      </c>
      <c r="BB511" s="3298">
        <f t="shared" si="274"/>
        <v>0</v>
      </c>
      <c r="BC511" s="3298">
        <f t="shared" si="275"/>
        <v>0</v>
      </c>
      <c r="BD511" s="3298">
        <f t="shared" si="276"/>
        <v>0</v>
      </c>
      <c r="BE511" s="3298">
        <f t="shared" si="277"/>
        <v>0</v>
      </c>
      <c r="BF511" s="3298">
        <f t="shared" si="278"/>
        <v>0</v>
      </c>
      <c r="BG511" s="3298">
        <f t="shared" si="279"/>
        <v>0</v>
      </c>
      <c r="BH511" s="3298">
        <f t="shared" si="280"/>
        <v>0</v>
      </c>
      <c r="BI511" s="3298">
        <f t="shared" si="281"/>
        <v>0</v>
      </c>
      <c r="BJ511" s="3298">
        <f t="shared" si="282"/>
        <v>0</v>
      </c>
      <c r="BK511" s="3298">
        <f t="shared" si="283"/>
        <v>0</v>
      </c>
      <c r="BL511" s="3298">
        <f t="shared" si="284"/>
        <v>0</v>
      </c>
      <c r="BM511" s="3298">
        <f t="shared" si="285"/>
        <v>0</v>
      </c>
      <c r="BN511" s="3298">
        <f t="shared" si="286"/>
        <v>0</v>
      </c>
      <c r="BO511" s="3298">
        <f t="shared" si="287"/>
        <v>0</v>
      </c>
      <c r="BP511" s="3298">
        <f t="shared" si="288"/>
        <v>0</v>
      </c>
      <c r="BQ511" s="3298">
        <f t="shared" si="289"/>
        <v>0</v>
      </c>
      <c r="BR511" s="3298">
        <f t="shared" si="290"/>
        <v>0</v>
      </c>
      <c r="BS511" s="3298">
        <f t="shared" si="291"/>
        <v>0</v>
      </c>
      <c r="BT511" s="3350">
        <f t="shared" si="292"/>
        <v>0</v>
      </c>
    </row>
    <row r="512" spans="1:72">
      <c r="A512" s="1407"/>
      <c r="B512" s="3296"/>
      <c r="C512" s="3296"/>
      <c r="D512" s="3297"/>
      <c r="E512" s="3298">
        <f t="shared" si="293"/>
        <v>0</v>
      </c>
      <c r="F512" s="3299"/>
      <c r="G512" s="3300">
        <f t="shared" si="268"/>
        <v>0</v>
      </c>
      <c r="H512" s="3301">
        <f t="shared" si="269"/>
        <v>0</v>
      </c>
      <c r="I512" s="3308"/>
      <c r="J512" s="3308"/>
      <c r="K512" s="3308"/>
      <c r="L512" s="3308"/>
      <c r="M512" s="3308"/>
      <c r="N512" s="3308"/>
      <c r="O512" s="3308"/>
      <c r="P512" s="3308"/>
      <c r="Q512" s="3308"/>
      <c r="R512" s="3308"/>
      <c r="S512" s="3308"/>
      <c r="T512" s="3308"/>
      <c r="U512" s="3308"/>
      <c r="V512" s="3308"/>
      <c r="W512" s="3308"/>
      <c r="X512" s="3308"/>
      <c r="Y512" s="3308"/>
      <c r="Z512" s="3308"/>
      <c r="AA512" s="3308"/>
      <c r="AB512" s="3308"/>
      <c r="AC512" s="3298">
        <f t="shared" si="270"/>
        <v>0</v>
      </c>
      <c r="AD512" s="3318"/>
      <c r="AE512" s="3318"/>
      <c r="AF512" s="3318"/>
      <c r="AG512" s="3318"/>
      <c r="AH512" s="3318"/>
      <c r="AI512" s="3318"/>
      <c r="AJ512" s="3318"/>
      <c r="AK512" s="3318"/>
      <c r="AL512" s="3318"/>
      <c r="AM512" s="3318"/>
      <c r="AN512" s="3318"/>
      <c r="AO512" s="3318"/>
      <c r="AP512" s="3318"/>
      <c r="AQ512" s="3318"/>
      <c r="AR512" s="3318"/>
      <c r="AS512" s="3318"/>
      <c r="AT512" s="3328"/>
      <c r="AU512" s="3329"/>
      <c r="AV512" s="963">
        <f t="shared" si="294"/>
        <v>0</v>
      </c>
      <c r="AW512" s="963">
        <f t="shared" si="295"/>
        <v>0</v>
      </c>
      <c r="AX512" s="963">
        <f t="shared" si="296"/>
        <v>0</v>
      </c>
      <c r="AY512" s="3343">
        <f t="shared" si="271"/>
        <v>0</v>
      </c>
      <c r="AZ512" s="3298">
        <f t="shared" si="272"/>
        <v>0</v>
      </c>
      <c r="BA512" s="3298">
        <f t="shared" si="273"/>
        <v>0</v>
      </c>
      <c r="BB512" s="3298">
        <f t="shared" si="274"/>
        <v>0</v>
      </c>
      <c r="BC512" s="3298">
        <f t="shared" si="275"/>
        <v>0</v>
      </c>
      <c r="BD512" s="3298">
        <f t="shared" si="276"/>
        <v>0</v>
      </c>
      <c r="BE512" s="3298">
        <f t="shared" si="277"/>
        <v>0</v>
      </c>
      <c r="BF512" s="3298">
        <f t="shared" si="278"/>
        <v>0</v>
      </c>
      <c r="BG512" s="3298">
        <f t="shared" si="279"/>
        <v>0</v>
      </c>
      <c r="BH512" s="3298">
        <f t="shared" si="280"/>
        <v>0</v>
      </c>
      <c r="BI512" s="3298">
        <f t="shared" si="281"/>
        <v>0</v>
      </c>
      <c r="BJ512" s="3298">
        <f t="shared" si="282"/>
        <v>0</v>
      </c>
      <c r="BK512" s="3298">
        <f t="shared" si="283"/>
        <v>0</v>
      </c>
      <c r="BL512" s="3298">
        <f t="shared" si="284"/>
        <v>0</v>
      </c>
      <c r="BM512" s="3298">
        <f t="shared" si="285"/>
        <v>0</v>
      </c>
      <c r="BN512" s="3298">
        <f t="shared" si="286"/>
        <v>0</v>
      </c>
      <c r="BO512" s="3298">
        <f t="shared" si="287"/>
        <v>0</v>
      </c>
      <c r="BP512" s="3298">
        <f t="shared" si="288"/>
        <v>0</v>
      </c>
      <c r="BQ512" s="3298">
        <f t="shared" si="289"/>
        <v>0</v>
      </c>
      <c r="BR512" s="3298">
        <f t="shared" si="290"/>
        <v>0</v>
      </c>
      <c r="BS512" s="3298">
        <f t="shared" si="291"/>
        <v>0</v>
      </c>
      <c r="BT512" s="3350">
        <f t="shared" si="292"/>
        <v>0</v>
      </c>
    </row>
    <row r="513" spans="1:72">
      <c r="A513" s="1407"/>
      <c r="B513" s="3296"/>
      <c r="C513" s="3296"/>
      <c r="D513" s="3297"/>
      <c r="E513" s="3298">
        <f t="shared" si="293"/>
        <v>0</v>
      </c>
      <c r="F513" s="3299"/>
      <c r="G513" s="3300">
        <f t="shared" si="268"/>
        <v>0</v>
      </c>
      <c r="H513" s="3301">
        <f t="shared" si="269"/>
        <v>0</v>
      </c>
      <c r="I513" s="3308"/>
      <c r="J513" s="3308"/>
      <c r="K513" s="3308"/>
      <c r="L513" s="3308"/>
      <c r="M513" s="3308"/>
      <c r="N513" s="3308"/>
      <c r="O513" s="3308"/>
      <c r="P513" s="3308"/>
      <c r="Q513" s="3308"/>
      <c r="R513" s="3308"/>
      <c r="S513" s="3308"/>
      <c r="T513" s="3308"/>
      <c r="U513" s="3308"/>
      <c r="V513" s="3308"/>
      <c r="W513" s="3308"/>
      <c r="X513" s="3308"/>
      <c r="Y513" s="3308"/>
      <c r="Z513" s="3308"/>
      <c r="AA513" s="3308"/>
      <c r="AB513" s="3308"/>
      <c r="AC513" s="3298">
        <f t="shared" si="270"/>
        <v>0</v>
      </c>
      <c r="AD513" s="3318"/>
      <c r="AE513" s="3318"/>
      <c r="AF513" s="3318"/>
      <c r="AG513" s="3318"/>
      <c r="AH513" s="3318"/>
      <c r="AI513" s="3318"/>
      <c r="AJ513" s="3318"/>
      <c r="AK513" s="3318"/>
      <c r="AL513" s="3318"/>
      <c r="AM513" s="3318"/>
      <c r="AN513" s="3318"/>
      <c r="AO513" s="3318"/>
      <c r="AP513" s="3318"/>
      <c r="AQ513" s="3318"/>
      <c r="AR513" s="3318"/>
      <c r="AS513" s="3318"/>
      <c r="AT513" s="3328"/>
      <c r="AU513" s="3329"/>
      <c r="AV513" s="963">
        <f t="shared" si="294"/>
        <v>0</v>
      </c>
      <c r="AW513" s="963">
        <f t="shared" si="295"/>
        <v>0</v>
      </c>
      <c r="AX513" s="963">
        <f t="shared" si="296"/>
        <v>0</v>
      </c>
      <c r="AY513" s="3343">
        <f t="shared" si="271"/>
        <v>0</v>
      </c>
      <c r="AZ513" s="3298">
        <f t="shared" si="272"/>
        <v>0</v>
      </c>
      <c r="BA513" s="3298">
        <f t="shared" si="273"/>
        <v>0</v>
      </c>
      <c r="BB513" s="3298">
        <f t="shared" si="274"/>
        <v>0</v>
      </c>
      <c r="BC513" s="3298">
        <f t="shared" si="275"/>
        <v>0</v>
      </c>
      <c r="BD513" s="3298">
        <f t="shared" si="276"/>
        <v>0</v>
      </c>
      <c r="BE513" s="3298">
        <f t="shared" si="277"/>
        <v>0</v>
      </c>
      <c r="BF513" s="3298">
        <f t="shared" si="278"/>
        <v>0</v>
      </c>
      <c r="BG513" s="3298">
        <f t="shared" si="279"/>
        <v>0</v>
      </c>
      <c r="BH513" s="3298">
        <f t="shared" si="280"/>
        <v>0</v>
      </c>
      <c r="BI513" s="3298">
        <f t="shared" si="281"/>
        <v>0</v>
      </c>
      <c r="BJ513" s="3298">
        <f t="shared" si="282"/>
        <v>0</v>
      </c>
      <c r="BK513" s="3298">
        <f t="shared" si="283"/>
        <v>0</v>
      </c>
      <c r="BL513" s="3298">
        <f t="shared" si="284"/>
        <v>0</v>
      </c>
      <c r="BM513" s="3298">
        <f t="shared" si="285"/>
        <v>0</v>
      </c>
      <c r="BN513" s="3298">
        <f t="shared" si="286"/>
        <v>0</v>
      </c>
      <c r="BO513" s="3298">
        <f t="shared" si="287"/>
        <v>0</v>
      </c>
      <c r="BP513" s="3298">
        <f t="shared" si="288"/>
        <v>0</v>
      </c>
      <c r="BQ513" s="3298">
        <f t="shared" si="289"/>
        <v>0</v>
      </c>
      <c r="BR513" s="3298">
        <f t="shared" si="290"/>
        <v>0</v>
      </c>
      <c r="BS513" s="3298">
        <f t="shared" si="291"/>
        <v>0</v>
      </c>
      <c r="BT513" s="3350">
        <f t="shared" si="292"/>
        <v>0</v>
      </c>
    </row>
    <row r="514" spans="1:72">
      <c r="A514" s="1407"/>
      <c r="B514" s="3296"/>
      <c r="C514" s="3296"/>
      <c r="D514" s="3297"/>
      <c r="E514" s="3298">
        <f t="shared" si="293"/>
        <v>0</v>
      </c>
      <c r="F514" s="3299"/>
      <c r="G514" s="3300">
        <f t="shared" si="268"/>
        <v>0</v>
      </c>
      <c r="H514" s="3301">
        <f t="shared" si="269"/>
        <v>0</v>
      </c>
      <c r="I514" s="3308"/>
      <c r="J514" s="3308"/>
      <c r="K514" s="3308"/>
      <c r="L514" s="3308"/>
      <c r="M514" s="3308"/>
      <c r="N514" s="3308"/>
      <c r="O514" s="3308"/>
      <c r="P514" s="3308"/>
      <c r="Q514" s="3308"/>
      <c r="R514" s="3308"/>
      <c r="S514" s="3308"/>
      <c r="T514" s="3308"/>
      <c r="U514" s="3308"/>
      <c r="V514" s="3308"/>
      <c r="W514" s="3308"/>
      <c r="X514" s="3308"/>
      <c r="Y514" s="3308"/>
      <c r="Z514" s="3308"/>
      <c r="AA514" s="3308"/>
      <c r="AB514" s="3308"/>
      <c r="AC514" s="3298">
        <f t="shared" si="270"/>
        <v>0</v>
      </c>
      <c r="AD514" s="3318"/>
      <c r="AE514" s="3318"/>
      <c r="AF514" s="3318"/>
      <c r="AG514" s="3318"/>
      <c r="AH514" s="3318"/>
      <c r="AI514" s="3318"/>
      <c r="AJ514" s="3318"/>
      <c r="AK514" s="3318"/>
      <c r="AL514" s="3318"/>
      <c r="AM514" s="3318"/>
      <c r="AN514" s="3318"/>
      <c r="AO514" s="3318"/>
      <c r="AP514" s="3318"/>
      <c r="AQ514" s="3318"/>
      <c r="AR514" s="3318"/>
      <c r="AS514" s="3318"/>
      <c r="AT514" s="3328"/>
      <c r="AU514" s="3329"/>
      <c r="AV514" s="963">
        <f t="shared" si="294"/>
        <v>0</v>
      </c>
      <c r="AW514" s="963">
        <f t="shared" si="295"/>
        <v>0</v>
      </c>
      <c r="AX514" s="963">
        <f t="shared" si="296"/>
        <v>0</v>
      </c>
      <c r="AY514" s="3343">
        <f t="shared" si="271"/>
        <v>0</v>
      </c>
      <c r="AZ514" s="3298">
        <f t="shared" si="272"/>
        <v>0</v>
      </c>
      <c r="BA514" s="3298">
        <f t="shared" si="273"/>
        <v>0</v>
      </c>
      <c r="BB514" s="3298">
        <f t="shared" si="274"/>
        <v>0</v>
      </c>
      <c r="BC514" s="3298">
        <f t="shared" si="275"/>
        <v>0</v>
      </c>
      <c r="BD514" s="3298">
        <f t="shared" si="276"/>
        <v>0</v>
      </c>
      <c r="BE514" s="3298">
        <f t="shared" si="277"/>
        <v>0</v>
      </c>
      <c r="BF514" s="3298">
        <f t="shared" si="278"/>
        <v>0</v>
      </c>
      <c r="BG514" s="3298">
        <f t="shared" si="279"/>
        <v>0</v>
      </c>
      <c r="BH514" s="3298">
        <f t="shared" si="280"/>
        <v>0</v>
      </c>
      <c r="BI514" s="3298">
        <f t="shared" si="281"/>
        <v>0</v>
      </c>
      <c r="BJ514" s="3298">
        <f t="shared" si="282"/>
        <v>0</v>
      </c>
      <c r="BK514" s="3298">
        <f t="shared" si="283"/>
        <v>0</v>
      </c>
      <c r="BL514" s="3298">
        <f t="shared" si="284"/>
        <v>0</v>
      </c>
      <c r="BM514" s="3298">
        <f t="shared" si="285"/>
        <v>0</v>
      </c>
      <c r="BN514" s="3298">
        <f t="shared" si="286"/>
        <v>0</v>
      </c>
      <c r="BO514" s="3298">
        <f t="shared" si="287"/>
        <v>0</v>
      </c>
      <c r="BP514" s="3298">
        <f t="shared" si="288"/>
        <v>0</v>
      </c>
      <c r="BQ514" s="3298">
        <f t="shared" si="289"/>
        <v>0</v>
      </c>
      <c r="BR514" s="3298">
        <f t="shared" si="290"/>
        <v>0</v>
      </c>
      <c r="BS514" s="3298">
        <f t="shared" si="291"/>
        <v>0</v>
      </c>
      <c r="BT514" s="3350">
        <f t="shared" si="292"/>
        <v>0</v>
      </c>
    </row>
    <row r="515" spans="1:72">
      <c r="A515" s="1407"/>
      <c r="B515" s="3296"/>
      <c r="C515" s="3296"/>
      <c r="D515" s="3297"/>
      <c r="E515" s="3298">
        <f t="shared" si="293"/>
        <v>0</v>
      </c>
      <c r="F515" s="3299"/>
      <c r="G515" s="3300">
        <f t="shared" si="268"/>
        <v>0</v>
      </c>
      <c r="H515" s="3301">
        <f t="shared" si="269"/>
        <v>0</v>
      </c>
      <c r="I515" s="3308"/>
      <c r="J515" s="3308"/>
      <c r="K515" s="3308"/>
      <c r="L515" s="3308"/>
      <c r="M515" s="3308"/>
      <c r="N515" s="3308"/>
      <c r="O515" s="3308"/>
      <c r="P515" s="3308"/>
      <c r="Q515" s="3308"/>
      <c r="R515" s="3308"/>
      <c r="S515" s="3308"/>
      <c r="T515" s="3308"/>
      <c r="U515" s="3308"/>
      <c r="V515" s="3308"/>
      <c r="W515" s="3308"/>
      <c r="X515" s="3308"/>
      <c r="Y515" s="3308"/>
      <c r="Z515" s="3308"/>
      <c r="AA515" s="3308"/>
      <c r="AB515" s="3308"/>
      <c r="AC515" s="3298">
        <f t="shared" si="270"/>
        <v>0</v>
      </c>
      <c r="AD515" s="3318"/>
      <c r="AE515" s="3318"/>
      <c r="AF515" s="3318"/>
      <c r="AG515" s="3318"/>
      <c r="AH515" s="3318"/>
      <c r="AI515" s="3318"/>
      <c r="AJ515" s="3318"/>
      <c r="AK515" s="3318"/>
      <c r="AL515" s="3318"/>
      <c r="AM515" s="3318"/>
      <c r="AN515" s="3318"/>
      <c r="AO515" s="3318"/>
      <c r="AP515" s="3318"/>
      <c r="AQ515" s="3318"/>
      <c r="AR515" s="3318"/>
      <c r="AS515" s="3318"/>
      <c r="AT515" s="3328"/>
      <c r="AU515" s="3329"/>
      <c r="AV515" s="963">
        <f t="shared" si="294"/>
        <v>0</v>
      </c>
      <c r="AW515" s="963">
        <f t="shared" si="295"/>
        <v>0</v>
      </c>
      <c r="AX515" s="963">
        <f t="shared" si="296"/>
        <v>0</v>
      </c>
      <c r="AY515" s="3343">
        <f t="shared" si="271"/>
        <v>0</v>
      </c>
      <c r="AZ515" s="3298">
        <f t="shared" si="272"/>
        <v>0</v>
      </c>
      <c r="BA515" s="3298">
        <f t="shared" si="273"/>
        <v>0</v>
      </c>
      <c r="BB515" s="3298">
        <f t="shared" si="274"/>
        <v>0</v>
      </c>
      <c r="BC515" s="3298">
        <f t="shared" si="275"/>
        <v>0</v>
      </c>
      <c r="BD515" s="3298">
        <f t="shared" si="276"/>
        <v>0</v>
      </c>
      <c r="BE515" s="3298">
        <f t="shared" si="277"/>
        <v>0</v>
      </c>
      <c r="BF515" s="3298">
        <f t="shared" si="278"/>
        <v>0</v>
      </c>
      <c r="BG515" s="3298">
        <f t="shared" si="279"/>
        <v>0</v>
      </c>
      <c r="BH515" s="3298">
        <f t="shared" si="280"/>
        <v>0</v>
      </c>
      <c r="BI515" s="3298">
        <f t="shared" si="281"/>
        <v>0</v>
      </c>
      <c r="BJ515" s="3298">
        <f t="shared" si="282"/>
        <v>0</v>
      </c>
      <c r="BK515" s="3298">
        <f t="shared" si="283"/>
        <v>0</v>
      </c>
      <c r="BL515" s="3298">
        <f t="shared" si="284"/>
        <v>0</v>
      </c>
      <c r="BM515" s="3298">
        <f t="shared" si="285"/>
        <v>0</v>
      </c>
      <c r="BN515" s="3298">
        <f t="shared" si="286"/>
        <v>0</v>
      </c>
      <c r="BO515" s="3298">
        <f t="shared" si="287"/>
        <v>0</v>
      </c>
      <c r="BP515" s="3298">
        <f t="shared" si="288"/>
        <v>0</v>
      </c>
      <c r="BQ515" s="3298">
        <f t="shared" si="289"/>
        <v>0</v>
      </c>
      <c r="BR515" s="3298">
        <f t="shared" si="290"/>
        <v>0</v>
      </c>
      <c r="BS515" s="3298">
        <f t="shared" si="291"/>
        <v>0</v>
      </c>
      <c r="BT515" s="3350">
        <f t="shared" si="292"/>
        <v>0</v>
      </c>
    </row>
    <row r="516" spans="1:72">
      <c r="A516" s="1407"/>
      <c r="B516" s="3296"/>
      <c r="C516" s="3296"/>
      <c r="D516" s="3297"/>
      <c r="E516" s="3298">
        <f t="shared" si="293"/>
        <v>0</v>
      </c>
      <c r="F516" s="3299"/>
      <c r="G516" s="3300">
        <f t="shared" si="268"/>
        <v>0</v>
      </c>
      <c r="H516" s="3301">
        <f t="shared" si="269"/>
        <v>0</v>
      </c>
      <c r="I516" s="3308"/>
      <c r="J516" s="3308"/>
      <c r="K516" s="3308"/>
      <c r="L516" s="3308"/>
      <c r="M516" s="3308"/>
      <c r="N516" s="3308"/>
      <c r="O516" s="3308"/>
      <c r="P516" s="3308"/>
      <c r="Q516" s="3308"/>
      <c r="R516" s="3308"/>
      <c r="S516" s="3308"/>
      <c r="T516" s="3308"/>
      <c r="U516" s="3308"/>
      <c r="V516" s="3308"/>
      <c r="W516" s="3308"/>
      <c r="X516" s="3308"/>
      <c r="Y516" s="3308"/>
      <c r="Z516" s="3308"/>
      <c r="AA516" s="3308"/>
      <c r="AB516" s="3308"/>
      <c r="AC516" s="3298">
        <f t="shared" si="270"/>
        <v>0</v>
      </c>
      <c r="AD516" s="3318"/>
      <c r="AE516" s="3318"/>
      <c r="AF516" s="3318"/>
      <c r="AG516" s="3318"/>
      <c r="AH516" s="3318"/>
      <c r="AI516" s="3318"/>
      <c r="AJ516" s="3318"/>
      <c r="AK516" s="3318"/>
      <c r="AL516" s="3318"/>
      <c r="AM516" s="3318"/>
      <c r="AN516" s="3318"/>
      <c r="AO516" s="3318"/>
      <c r="AP516" s="3318"/>
      <c r="AQ516" s="3318"/>
      <c r="AR516" s="3318"/>
      <c r="AS516" s="3318"/>
      <c r="AT516" s="3328"/>
      <c r="AU516" s="3329"/>
      <c r="AV516" s="963">
        <f t="shared" si="294"/>
        <v>0</v>
      </c>
      <c r="AW516" s="963">
        <f t="shared" si="295"/>
        <v>0</v>
      </c>
      <c r="AX516" s="963">
        <f t="shared" si="296"/>
        <v>0</v>
      </c>
      <c r="AY516" s="3343">
        <f t="shared" si="271"/>
        <v>0</v>
      </c>
      <c r="AZ516" s="3298">
        <f t="shared" si="272"/>
        <v>0</v>
      </c>
      <c r="BA516" s="3298">
        <f t="shared" si="273"/>
        <v>0</v>
      </c>
      <c r="BB516" s="3298">
        <f t="shared" si="274"/>
        <v>0</v>
      </c>
      <c r="BC516" s="3298">
        <f t="shared" si="275"/>
        <v>0</v>
      </c>
      <c r="BD516" s="3298">
        <f t="shared" si="276"/>
        <v>0</v>
      </c>
      <c r="BE516" s="3298">
        <f t="shared" si="277"/>
        <v>0</v>
      </c>
      <c r="BF516" s="3298">
        <f t="shared" si="278"/>
        <v>0</v>
      </c>
      <c r="BG516" s="3298">
        <f t="shared" si="279"/>
        <v>0</v>
      </c>
      <c r="BH516" s="3298">
        <f t="shared" si="280"/>
        <v>0</v>
      </c>
      <c r="BI516" s="3298">
        <f t="shared" si="281"/>
        <v>0</v>
      </c>
      <c r="BJ516" s="3298">
        <f t="shared" si="282"/>
        <v>0</v>
      </c>
      <c r="BK516" s="3298">
        <f t="shared" si="283"/>
        <v>0</v>
      </c>
      <c r="BL516" s="3298">
        <f t="shared" si="284"/>
        <v>0</v>
      </c>
      <c r="BM516" s="3298">
        <f t="shared" si="285"/>
        <v>0</v>
      </c>
      <c r="BN516" s="3298">
        <f t="shared" si="286"/>
        <v>0</v>
      </c>
      <c r="BO516" s="3298">
        <f t="shared" si="287"/>
        <v>0</v>
      </c>
      <c r="BP516" s="3298">
        <f t="shared" si="288"/>
        <v>0</v>
      </c>
      <c r="BQ516" s="3298">
        <f t="shared" si="289"/>
        <v>0</v>
      </c>
      <c r="BR516" s="3298">
        <f t="shared" si="290"/>
        <v>0</v>
      </c>
      <c r="BS516" s="3298">
        <f t="shared" si="291"/>
        <v>0</v>
      </c>
      <c r="BT516" s="3350">
        <f t="shared" si="292"/>
        <v>0</v>
      </c>
    </row>
    <row r="517" spans="1:72">
      <c r="A517" s="1407"/>
      <c r="B517" s="3296"/>
      <c r="C517" s="3296"/>
      <c r="D517" s="3297"/>
      <c r="E517" s="3298">
        <f t="shared" si="293"/>
        <v>0</v>
      </c>
      <c r="F517" s="3299"/>
      <c r="G517" s="3300">
        <f t="shared" si="268"/>
        <v>0</v>
      </c>
      <c r="H517" s="3301">
        <f t="shared" si="269"/>
        <v>0</v>
      </c>
      <c r="I517" s="3308"/>
      <c r="J517" s="3308"/>
      <c r="K517" s="3308"/>
      <c r="L517" s="3308"/>
      <c r="M517" s="3308"/>
      <c r="N517" s="3308"/>
      <c r="O517" s="3308"/>
      <c r="P517" s="3308"/>
      <c r="Q517" s="3308"/>
      <c r="R517" s="3308"/>
      <c r="S517" s="3308"/>
      <c r="T517" s="3308"/>
      <c r="U517" s="3308"/>
      <c r="V517" s="3308"/>
      <c r="W517" s="3308"/>
      <c r="X517" s="3308"/>
      <c r="Y517" s="3308"/>
      <c r="Z517" s="3308"/>
      <c r="AA517" s="3308"/>
      <c r="AB517" s="3308"/>
      <c r="AC517" s="3298">
        <f t="shared" si="270"/>
        <v>0</v>
      </c>
      <c r="AD517" s="3318"/>
      <c r="AE517" s="3318"/>
      <c r="AF517" s="3318"/>
      <c r="AG517" s="3318"/>
      <c r="AH517" s="3318"/>
      <c r="AI517" s="3318"/>
      <c r="AJ517" s="3318"/>
      <c r="AK517" s="3318"/>
      <c r="AL517" s="3318"/>
      <c r="AM517" s="3318"/>
      <c r="AN517" s="3318"/>
      <c r="AO517" s="3318"/>
      <c r="AP517" s="3318"/>
      <c r="AQ517" s="3318"/>
      <c r="AR517" s="3318"/>
      <c r="AS517" s="3318"/>
      <c r="AT517" s="3328"/>
      <c r="AU517" s="3329"/>
      <c r="AV517" s="963">
        <f t="shared" si="294"/>
        <v>0</v>
      </c>
      <c r="AW517" s="963">
        <f t="shared" si="295"/>
        <v>0</v>
      </c>
      <c r="AX517" s="963">
        <f t="shared" si="296"/>
        <v>0</v>
      </c>
      <c r="AY517" s="3343">
        <f t="shared" si="271"/>
        <v>0</v>
      </c>
      <c r="AZ517" s="3298">
        <f t="shared" si="272"/>
        <v>0</v>
      </c>
      <c r="BA517" s="3298">
        <f t="shared" si="273"/>
        <v>0</v>
      </c>
      <c r="BB517" s="3298">
        <f t="shared" si="274"/>
        <v>0</v>
      </c>
      <c r="BC517" s="3298">
        <f t="shared" si="275"/>
        <v>0</v>
      </c>
      <c r="BD517" s="3298">
        <f t="shared" si="276"/>
        <v>0</v>
      </c>
      <c r="BE517" s="3298">
        <f t="shared" si="277"/>
        <v>0</v>
      </c>
      <c r="BF517" s="3298">
        <f t="shared" si="278"/>
        <v>0</v>
      </c>
      <c r="BG517" s="3298">
        <f t="shared" si="279"/>
        <v>0</v>
      </c>
      <c r="BH517" s="3298">
        <f t="shared" si="280"/>
        <v>0</v>
      </c>
      <c r="BI517" s="3298">
        <f t="shared" si="281"/>
        <v>0</v>
      </c>
      <c r="BJ517" s="3298">
        <f t="shared" si="282"/>
        <v>0</v>
      </c>
      <c r="BK517" s="3298">
        <f t="shared" si="283"/>
        <v>0</v>
      </c>
      <c r="BL517" s="3298">
        <f t="shared" si="284"/>
        <v>0</v>
      </c>
      <c r="BM517" s="3298">
        <f t="shared" si="285"/>
        <v>0</v>
      </c>
      <c r="BN517" s="3298">
        <f t="shared" si="286"/>
        <v>0</v>
      </c>
      <c r="BO517" s="3298">
        <f t="shared" si="287"/>
        <v>0</v>
      </c>
      <c r="BP517" s="3298">
        <f t="shared" si="288"/>
        <v>0</v>
      </c>
      <c r="BQ517" s="3298">
        <f t="shared" si="289"/>
        <v>0</v>
      </c>
      <c r="BR517" s="3298">
        <f t="shared" si="290"/>
        <v>0</v>
      </c>
      <c r="BS517" s="3298">
        <f t="shared" si="291"/>
        <v>0</v>
      </c>
      <c r="BT517" s="3350">
        <f t="shared" si="292"/>
        <v>0</v>
      </c>
    </row>
    <row r="518" spans="1:72">
      <c r="A518" s="1407"/>
      <c r="B518" s="3296"/>
      <c r="C518" s="3296"/>
      <c r="D518" s="3297"/>
      <c r="E518" s="3298">
        <f t="shared" si="293"/>
        <v>0</v>
      </c>
      <c r="F518" s="3299"/>
      <c r="G518" s="3300">
        <f t="shared" si="268"/>
        <v>0</v>
      </c>
      <c r="H518" s="3301">
        <f t="shared" si="269"/>
        <v>0</v>
      </c>
      <c r="I518" s="3308"/>
      <c r="J518" s="3308"/>
      <c r="K518" s="3308"/>
      <c r="L518" s="3308"/>
      <c r="M518" s="3308"/>
      <c r="N518" s="3308"/>
      <c r="O518" s="3308"/>
      <c r="P518" s="3308"/>
      <c r="Q518" s="3308"/>
      <c r="R518" s="3308"/>
      <c r="S518" s="3308"/>
      <c r="T518" s="3308"/>
      <c r="U518" s="3308"/>
      <c r="V518" s="3308"/>
      <c r="W518" s="3308"/>
      <c r="X518" s="3308"/>
      <c r="Y518" s="3308"/>
      <c r="Z518" s="3308"/>
      <c r="AA518" s="3308"/>
      <c r="AB518" s="3308"/>
      <c r="AC518" s="3298">
        <f t="shared" si="270"/>
        <v>0</v>
      </c>
      <c r="AD518" s="3318"/>
      <c r="AE518" s="3318"/>
      <c r="AF518" s="3318"/>
      <c r="AG518" s="3318"/>
      <c r="AH518" s="3318"/>
      <c r="AI518" s="3318"/>
      <c r="AJ518" s="3318"/>
      <c r="AK518" s="3318"/>
      <c r="AL518" s="3318"/>
      <c r="AM518" s="3318"/>
      <c r="AN518" s="3318"/>
      <c r="AO518" s="3318"/>
      <c r="AP518" s="3318"/>
      <c r="AQ518" s="3318"/>
      <c r="AR518" s="3318"/>
      <c r="AS518" s="3318"/>
      <c r="AT518" s="3328"/>
      <c r="AU518" s="3329"/>
      <c r="AV518" s="963">
        <f t="shared" si="294"/>
        <v>0</v>
      </c>
      <c r="AW518" s="963">
        <f t="shared" si="295"/>
        <v>0</v>
      </c>
      <c r="AX518" s="963">
        <f t="shared" si="296"/>
        <v>0</v>
      </c>
      <c r="AY518" s="3343">
        <f t="shared" si="271"/>
        <v>0</v>
      </c>
      <c r="AZ518" s="3298">
        <f t="shared" si="272"/>
        <v>0</v>
      </c>
      <c r="BA518" s="3298">
        <f t="shared" si="273"/>
        <v>0</v>
      </c>
      <c r="BB518" s="3298">
        <f t="shared" si="274"/>
        <v>0</v>
      </c>
      <c r="BC518" s="3298">
        <f t="shared" si="275"/>
        <v>0</v>
      </c>
      <c r="BD518" s="3298">
        <f t="shared" si="276"/>
        <v>0</v>
      </c>
      <c r="BE518" s="3298">
        <f t="shared" si="277"/>
        <v>0</v>
      </c>
      <c r="BF518" s="3298">
        <f t="shared" si="278"/>
        <v>0</v>
      </c>
      <c r="BG518" s="3298">
        <f t="shared" si="279"/>
        <v>0</v>
      </c>
      <c r="BH518" s="3298">
        <f t="shared" si="280"/>
        <v>0</v>
      </c>
      <c r="BI518" s="3298">
        <f t="shared" si="281"/>
        <v>0</v>
      </c>
      <c r="BJ518" s="3298">
        <f t="shared" si="282"/>
        <v>0</v>
      </c>
      <c r="BK518" s="3298">
        <f t="shared" si="283"/>
        <v>0</v>
      </c>
      <c r="BL518" s="3298">
        <f t="shared" si="284"/>
        <v>0</v>
      </c>
      <c r="BM518" s="3298">
        <f t="shared" si="285"/>
        <v>0</v>
      </c>
      <c r="BN518" s="3298">
        <f t="shared" si="286"/>
        <v>0</v>
      </c>
      <c r="BO518" s="3298">
        <f t="shared" si="287"/>
        <v>0</v>
      </c>
      <c r="BP518" s="3298">
        <f t="shared" si="288"/>
        <v>0</v>
      </c>
      <c r="BQ518" s="3298">
        <f t="shared" si="289"/>
        <v>0</v>
      </c>
      <c r="BR518" s="3298">
        <f t="shared" si="290"/>
        <v>0</v>
      </c>
      <c r="BS518" s="3298">
        <f t="shared" si="291"/>
        <v>0</v>
      </c>
      <c r="BT518" s="3350">
        <f t="shared" si="292"/>
        <v>0</v>
      </c>
    </row>
    <row r="519" spans="1:72">
      <c r="A519" s="1407"/>
      <c r="B519" s="3296"/>
      <c r="C519" s="3296"/>
      <c r="D519" s="3297"/>
      <c r="E519" s="3298">
        <f t="shared" si="293"/>
        <v>0</v>
      </c>
      <c r="F519" s="3299"/>
      <c r="G519" s="3300">
        <f t="shared" si="268"/>
        <v>0</v>
      </c>
      <c r="H519" s="3301">
        <f t="shared" si="269"/>
        <v>0</v>
      </c>
      <c r="I519" s="3308"/>
      <c r="J519" s="3308"/>
      <c r="K519" s="3308"/>
      <c r="L519" s="3308"/>
      <c r="M519" s="3308"/>
      <c r="N519" s="3308"/>
      <c r="O519" s="3308"/>
      <c r="P519" s="3308"/>
      <c r="Q519" s="3308"/>
      <c r="R519" s="3308"/>
      <c r="S519" s="3308"/>
      <c r="T519" s="3308"/>
      <c r="U519" s="3308"/>
      <c r="V519" s="3308"/>
      <c r="W519" s="3308"/>
      <c r="X519" s="3308"/>
      <c r="Y519" s="3308"/>
      <c r="Z519" s="3308"/>
      <c r="AA519" s="3308"/>
      <c r="AB519" s="3308"/>
      <c r="AC519" s="3298">
        <f t="shared" si="270"/>
        <v>0</v>
      </c>
      <c r="AD519" s="3318"/>
      <c r="AE519" s="3318"/>
      <c r="AF519" s="3318"/>
      <c r="AG519" s="3318"/>
      <c r="AH519" s="3318"/>
      <c r="AI519" s="3318"/>
      <c r="AJ519" s="3318"/>
      <c r="AK519" s="3318"/>
      <c r="AL519" s="3318"/>
      <c r="AM519" s="3318"/>
      <c r="AN519" s="3318"/>
      <c r="AO519" s="3318"/>
      <c r="AP519" s="3318"/>
      <c r="AQ519" s="3318"/>
      <c r="AR519" s="3318"/>
      <c r="AS519" s="3318"/>
      <c r="AT519" s="3328"/>
      <c r="AU519" s="3329"/>
      <c r="AV519" s="963">
        <f t="shared" si="294"/>
        <v>0</v>
      </c>
      <c r="AW519" s="963">
        <f t="shared" si="295"/>
        <v>0</v>
      </c>
      <c r="AX519" s="963">
        <f t="shared" si="296"/>
        <v>0</v>
      </c>
      <c r="AY519" s="3343">
        <f t="shared" si="271"/>
        <v>0</v>
      </c>
      <c r="AZ519" s="3298">
        <f t="shared" si="272"/>
        <v>0</v>
      </c>
      <c r="BA519" s="3298">
        <f t="shared" si="273"/>
        <v>0</v>
      </c>
      <c r="BB519" s="3298">
        <f t="shared" si="274"/>
        <v>0</v>
      </c>
      <c r="BC519" s="3298">
        <f t="shared" si="275"/>
        <v>0</v>
      </c>
      <c r="BD519" s="3298">
        <f t="shared" si="276"/>
        <v>0</v>
      </c>
      <c r="BE519" s="3298">
        <f t="shared" si="277"/>
        <v>0</v>
      </c>
      <c r="BF519" s="3298">
        <f t="shared" si="278"/>
        <v>0</v>
      </c>
      <c r="BG519" s="3298">
        <f t="shared" si="279"/>
        <v>0</v>
      </c>
      <c r="BH519" s="3298">
        <f t="shared" si="280"/>
        <v>0</v>
      </c>
      <c r="BI519" s="3298">
        <f t="shared" si="281"/>
        <v>0</v>
      </c>
      <c r="BJ519" s="3298">
        <f t="shared" si="282"/>
        <v>0</v>
      </c>
      <c r="BK519" s="3298">
        <f t="shared" si="283"/>
        <v>0</v>
      </c>
      <c r="BL519" s="3298">
        <f t="shared" si="284"/>
        <v>0</v>
      </c>
      <c r="BM519" s="3298">
        <f t="shared" si="285"/>
        <v>0</v>
      </c>
      <c r="BN519" s="3298">
        <f t="shared" si="286"/>
        <v>0</v>
      </c>
      <c r="BO519" s="3298">
        <f t="shared" si="287"/>
        <v>0</v>
      </c>
      <c r="BP519" s="3298">
        <f t="shared" si="288"/>
        <v>0</v>
      </c>
      <c r="BQ519" s="3298">
        <f t="shared" si="289"/>
        <v>0</v>
      </c>
      <c r="BR519" s="3298">
        <f t="shared" si="290"/>
        <v>0</v>
      </c>
      <c r="BS519" s="3298">
        <f t="shared" si="291"/>
        <v>0</v>
      </c>
      <c r="BT519" s="3350">
        <f t="shared" si="292"/>
        <v>0</v>
      </c>
    </row>
    <row r="520" spans="1:72">
      <c r="A520" s="1407"/>
      <c r="B520" s="3296"/>
      <c r="C520" s="3296"/>
      <c r="D520" s="3297"/>
      <c r="E520" s="3298">
        <f t="shared" ref="E520:E551" si="297">IF($C$3="是",ROUND($A$3*G520/$B$3,2),ROUND($A$3*(G520-AT520)/$B$3,2))</f>
        <v>0</v>
      </c>
      <c r="F520" s="3299"/>
      <c r="G520" s="3300">
        <f t="shared" si="268"/>
        <v>0</v>
      </c>
      <c r="H520" s="3301">
        <f t="shared" si="269"/>
        <v>0</v>
      </c>
      <c r="I520" s="3308"/>
      <c r="J520" s="3308"/>
      <c r="K520" s="3308"/>
      <c r="L520" s="3308"/>
      <c r="M520" s="3308"/>
      <c r="N520" s="3308"/>
      <c r="O520" s="3308"/>
      <c r="P520" s="3308"/>
      <c r="Q520" s="3308"/>
      <c r="R520" s="3308"/>
      <c r="S520" s="3308"/>
      <c r="T520" s="3308"/>
      <c r="U520" s="3308"/>
      <c r="V520" s="3308"/>
      <c r="W520" s="3308"/>
      <c r="X520" s="3308"/>
      <c r="Y520" s="3308"/>
      <c r="Z520" s="3308"/>
      <c r="AA520" s="3308"/>
      <c r="AB520" s="3308"/>
      <c r="AC520" s="3298">
        <f t="shared" si="270"/>
        <v>0</v>
      </c>
      <c r="AD520" s="3318"/>
      <c r="AE520" s="3318"/>
      <c r="AF520" s="3318"/>
      <c r="AG520" s="3318"/>
      <c r="AH520" s="3318"/>
      <c r="AI520" s="3318"/>
      <c r="AJ520" s="3318"/>
      <c r="AK520" s="3318"/>
      <c r="AL520" s="3318"/>
      <c r="AM520" s="3318"/>
      <c r="AN520" s="3318"/>
      <c r="AO520" s="3318"/>
      <c r="AP520" s="3318"/>
      <c r="AQ520" s="3318"/>
      <c r="AR520" s="3318"/>
      <c r="AS520" s="3318"/>
      <c r="AT520" s="3328"/>
      <c r="AU520" s="3329"/>
      <c r="AV520" s="963">
        <f t="shared" si="294"/>
        <v>0</v>
      </c>
      <c r="AW520" s="963">
        <f t="shared" si="295"/>
        <v>0</v>
      </c>
      <c r="AX520" s="963">
        <f t="shared" si="296"/>
        <v>0</v>
      </c>
      <c r="AY520" s="3343">
        <f t="shared" si="271"/>
        <v>0</v>
      </c>
      <c r="AZ520" s="3298">
        <f t="shared" si="272"/>
        <v>0</v>
      </c>
      <c r="BA520" s="3298">
        <f t="shared" si="273"/>
        <v>0</v>
      </c>
      <c r="BB520" s="3298">
        <f t="shared" si="274"/>
        <v>0</v>
      </c>
      <c r="BC520" s="3298">
        <f t="shared" si="275"/>
        <v>0</v>
      </c>
      <c r="BD520" s="3298">
        <f t="shared" si="276"/>
        <v>0</v>
      </c>
      <c r="BE520" s="3298">
        <f t="shared" si="277"/>
        <v>0</v>
      </c>
      <c r="BF520" s="3298">
        <f t="shared" si="278"/>
        <v>0</v>
      </c>
      <c r="BG520" s="3298">
        <f t="shared" si="279"/>
        <v>0</v>
      </c>
      <c r="BH520" s="3298">
        <f t="shared" si="280"/>
        <v>0</v>
      </c>
      <c r="BI520" s="3298">
        <f t="shared" si="281"/>
        <v>0</v>
      </c>
      <c r="BJ520" s="3298">
        <f t="shared" si="282"/>
        <v>0</v>
      </c>
      <c r="BK520" s="3298">
        <f t="shared" si="283"/>
        <v>0</v>
      </c>
      <c r="BL520" s="3298">
        <f t="shared" si="284"/>
        <v>0</v>
      </c>
      <c r="BM520" s="3298">
        <f t="shared" si="285"/>
        <v>0</v>
      </c>
      <c r="BN520" s="3298">
        <f t="shared" si="286"/>
        <v>0</v>
      </c>
      <c r="BO520" s="3298">
        <f t="shared" si="287"/>
        <v>0</v>
      </c>
      <c r="BP520" s="3298">
        <f t="shared" si="288"/>
        <v>0</v>
      </c>
      <c r="BQ520" s="3298">
        <f t="shared" si="289"/>
        <v>0</v>
      </c>
      <c r="BR520" s="3298">
        <f t="shared" si="290"/>
        <v>0</v>
      </c>
      <c r="BS520" s="3298">
        <f t="shared" si="291"/>
        <v>0</v>
      </c>
      <c r="BT520" s="3350">
        <f t="shared" si="292"/>
        <v>0</v>
      </c>
    </row>
    <row r="521" spans="1:72">
      <c r="A521" s="1407"/>
      <c r="B521" s="3296"/>
      <c r="C521" s="3296"/>
      <c r="D521" s="3297"/>
      <c r="E521" s="3298">
        <f t="shared" si="297"/>
        <v>0</v>
      </c>
      <c r="F521" s="3299"/>
      <c r="G521" s="3300">
        <f t="shared" si="268"/>
        <v>0</v>
      </c>
      <c r="H521" s="3301">
        <f t="shared" si="269"/>
        <v>0</v>
      </c>
      <c r="I521" s="3308"/>
      <c r="J521" s="3308"/>
      <c r="K521" s="3308"/>
      <c r="L521" s="3308"/>
      <c r="M521" s="3308"/>
      <c r="N521" s="3308"/>
      <c r="O521" s="3308"/>
      <c r="P521" s="3308"/>
      <c r="Q521" s="3308"/>
      <c r="R521" s="3308"/>
      <c r="S521" s="3308"/>
      <c r="T521" s="3308"/>
      <c r="U521" s="3308"/>
      <c r="V521" s="3308"/>
      <c r="W521" s="3308"/>
      <c r="X521" s="3308"/>
      <c r="Y521" s="3308"/>
      <c r="Z521" s="3308"/>
      <c r="AA521" s="3308"/>
      <c r="AB521" s="3308"/>
      <c r="AC521" s="3298">
        <f t="shared" si="270"/>
        <v>0</v>
      </c>
      <c r="AD521" s="3318"/>
      <c r="AE521" s="3318"/>
      <c r="AF521" s="3318"/>
      <c r="AG521" s="3318"/>
      <c r="AH521" s="3318"/>
      <c r="AI521" s="3318"/>
      <c r="AJ521" s="3318"/>
      <c r="AK521" s="3318"/>
      <c r="AL521" s="3318"/>
      <c r="AM521" s="3318"/>
      <c r="AN521" s="3318"/>
      <c r="AO521" s="3318"/>
      <c r="AP521" s="3318"/>
      <c r="AQ521" s="3318"/>
      <c r="AR521" s="3318"/>
      <c r="AS521" s="3318"/>
      <c r="AT521" s="3328"/>
      <c r="AU521" s="3329"/>
      <c r="AV521" s="963">
        <f t="shared" ref="AV521:AV552" si="298">A521</f>
        <v>0</v>
      </c>
      <c r="AW521" s="963">
        <f t="shared" ref="AW521:AW552" si="299">B521</f>
        <v>0</v>
      </c>
      <c r="AX521" s="963">
        <f t="shared" ref="AX521:AX552" si="300">C521</f>
        <v>0</v>
      </c>
      <c r="AY521" s="3343">
        <f t="shared" si="271"/>
        <v>0</v>
      </c>
      <c r="AZ521" s="3298">
        <f t="shared" si="272"/>
        <v>0</v>
      </c>
      <c r="BA521" s="3298">
        <f t="shared" si="273"/>
        <v>0</v>
      </c>
      <c r="BB521" s="3298">
        <f t="shared" si="274"/>
        <v>0</v>
      </c>
      <c r="BC521" s="3298">
        <f t="shared" si="275"/>
        <v>0</v>
      </c>
      <c r="BD521" s="3298">
        <f t="shared" si="276"/>
        <v>0</v>
      </c>
      <c r="BE521" s="3298">
        <f t="shared" si="277"/>
        <v>0</v>
      </c>
      <c r="BF521" s="3298">
        <f t="shared" si="278"/>
        <v>0</v>
      </c>
      <c r="BG521" s="3298">
        <f t="shared" si="279"/>
        <v>0</v>
      </c>
      <c r="BH521" s="3298">
        <f t="shared" si="280"/>
        <v>0</v>
      </c>
      <c r="BI521" s="3298">
        <f t="shared" si="281"/>
        <v>0</v>
      </c>
      <c r="BJ521" s="3298">
        <f t="shared" si="282"/>
        <v>0</v>
      </c>
      <c r="BK521" s="3298">
        <f t="shared" si="283"/>
        <v>0</v>
      </c>
      <c r="BL521" s="3298">
        <f t="shared" si="284"/>
        <v>0</v>
      </c>
      <c r="BM521" s="3298">
        <f t="shared" si="285"/>
        <v>0</v>
      </c>
      <c r="BN521" s="3298">
        <f t="shared" si="286"/>
        <v>0</v>
      </c>
      <c r="BO521" s="3298">
        <f t="shared" si="287"/>
        <v>0</v>
      </c>
      <c r="BP521" s="3298">
        <f t="shared" si="288"/>
        <v>0</v>
      </c>
      <c r="BQ521" s="3298">
        <f t="shared" si="289"/>
        <v>0</v>
      </c>
      <c r="BR521" s="3298">
        <f t="shared" si="290"/>
        <v>0</v>
      </c>
      <c r="BS521" s="3298">
        <f t="shared" si="291"/>
        <v>0</v>
      </c>
      <c r="BT521" s="3350">
        <f t="shared" si="292"/>
        <v>0</v>
      </c>
    </row>
    <row r="522" spans="1:72">
      <c r="A522" s="1407"/>
      <c r="B522" s="3296"/>
      <c r="C522" s="3296"/>
      <c r="D522" s="3297"/>
      <c r="E522" s="3298">
        <f t="shared" si="297"/>
        <v>0</v>
      </c>
      <c r="F522" s="3299"/>
      <c r="G522" s="3300">
        <f t="shared" ref="G522:G552" si="301">H522+AC522+AT522</f>
        <v>0</v>
      </c>
      <c r="H522" s="3301">
        <f t="shared" ref="H522:H552" si="302">SUMIF(I$12:AB$12,"总值",I522:AB522)</f>
        <v>0</v>
      </c>
      <c r="I522" s="3308"/>
      <c r="J522" s="3308"/>
      <c r="K522" s="3308"/>
      <c r="L522" s="3308"/>
      <c r="M522" s="3308"/>
      <c r="N522" s="3308"/>
      <c r="O522" s="3308"/>
      <c r="P522" s="3308"/>
      <c r="Q522" s="3308"/>
      <c r="R522" s="3308"/>
      <c r="S522" s="3308"/>
      <c r="T522" s="3308"/>
      <c r="U522" s="3308"/>
      <c r="V522" s="3308"/>
      <c r="W522" s="3308"/>
      <c r="X522" s="3308"/>
      <c r="Y522" s="3308"/>
      <c r="Z522" s="3308"/>
      <c r="AA522" s="3308"/>
      <c r="AB522" s="3308"/>
      <c r="AC522" s="3298">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28"/>
      <c r="AU522" s="3329"/>
      <c r="AV522" s="963">
        <f t="shared" si="298"/>
        <v>0</v>
      </c>
      <c r="AW522" s="963">
        <f t="shared" si="299"/>
        <v>0</v>
      </c>
      <c r="AX522" s="963">
        <f t="shared" si="300"/>
        <v>0</v>
      </c>
      <c r="AY522" s="3343">
        <f t="shared" ref="AY522:AY552" si="304">ROUND($AY$6*AZ522/$AZ$5,2)</f>
        <v>0</v>
      </c>
      <c r="AZ522" s="3298">
        <f t="shared" ref="AZ522:AZ552" si="305">BA522+BL522</f>
        <v>0</v>
      </c>
      <c r="BA522" s="3298">
        <f t="shared" ref="BA522:BA552" si="306">SUM(BB522:BK522)</f>
        <v>0</v>
      </c>
      <c r="BB522" s="3298">
        <f t="shared" ref="BB522:BB552" si="307">IF($D522="是",I522-J522,0)</f>
        <v>0</v>
      </c>
      <c r="BC522" s="3298">
        <f t="shared" ref="BC522:BC552" si="308">IF($D522="是",K522-L522,0)</f>
        <v>0</v>
      </c>
      <c r="BD522" s="3298">
        <f t="shared" ref="BD522:BD552" si="309">IF($D522="是",M522-N522,0)</f>
        <v>0</v>
      </c>
      <c r="BE522" s="3298">
        <f t="shared" ref="BE522:BE552" si="310">IF($D522="是",O522-P522,0)</f>
        <v>0</v>
      </c>
      <c r="BF522" s="3298">
        <f t="shared" ref="BF522:BF552" si="311">IF($D522="是",Q522-R522,0)</f>
        <v>0</v>
      </c>
      <c r="BG522" s="3298">
        <f t="shared" ref="BG522:BG552" si="312">IF($D522="是",S522-T522,0)</f>
        <v>0</v>
      </c>
      <c r="BH522" s="3298">
        <f t="shared" ref="BH522:BH552" si="313">IF($D522="是",U522-V522,0)</f>
        <v>0</v>
      </c>
      <c r="BI522" s="3298">
        <f t="shared" ref="BI522:BI552" si="314">IF($D522="是",W522-X522,0)</f>
        <v>0</v>
      </c>
      <c r="BJ522" s="3298">
        <f t="shared" ref="BJ522:BJ552" si="315">IF($D522="是",Y522-Z522,0)</f>
        <v>0</v>
      </c>
      <c r="BK522" s="3298">
        <f t="shared" ref="BK522:BK552" si="316">IF($D522="是",AA522-AB522,0)</f>
        <v>0</v>
      </c>
      <c r="BL522" s="3298">
        <f t="shared" ref="BL522:BL552" si="317">SUM(BM522:BT522)</f>
        <v>0</v>
      </c>
      <c r="BM522" s="3298">
        <f t="shared" ref="BM522:BM552" si="318">IF($D522="是",AD522-AE522,0)</f>
        <v>0</v>
      </c>
      <c r="BN522" s="3298">
        <f t="shared" ref="BN522:BN552" si="319">IF($D522="是",AF522-AG522,0)</f>
        <v>0</v>
      </c>
      <c r="BO522" s="3298">
        <f t="shared" ref="BO522:BO552" si="320">IF($D522="是",AH522-AI522,0)</f>
        <v>0</v>
      </c>
      <c r="BP522" s="3298">
        <f t="shared" ref="BP522:BP552" si="321">IF($D522="是",AJ522-AK522,0)</f>
        <v>0</v>
      </c>
      <c r="BQ522" s="3298">
        <f t="shared" ref="BQ522:BQ552" si="322">IF($D522="是",AL522-AM522,0)</f>
        <v>0</v>
      </c>
      <c r="BR522" s="3298">
        <f t="shared" ref="BR522:BR552" si="323">IF($D522="是",AN522-AO522,0)</f>
        <v>0</v>
      </c>
      <c r="BS522" s="3298">
        <f t="shared" ref="BS522:BS552" si="324">IF($D522="是",AP522-AQ522,0)</f>
        <v>0</v>
      </c>
      <c r="BT522" s="3350">
        <f t="shared" ref="BT522:BT552" si="325">IF($D522="是",AR522-AS522,0)</f>
        <v>0</v>
      </c>
    </row>
    <row r="523" spans="1:72">
      <c r="A523" s="1407"/>
      <c r="B523" s="3296"/>
      <c r="C523" s="3296"/>
      <c r="D523" s="3297"/>
      <c r="E523" s="3298">
        <f t="shared" si="297"/>
        <v>0</v>
      </c>
      <c r="F523" s="3299"/>
      <c r="G523" s="3300">
        <f t="shared" si="301"/>
        <v>0</v>
      </c>
      <c r="H523" s="3301">
        <f t="shared" si="302"/>
        <v>0</v>
      </c>
      <c r="I523" s="3308"/>
      <c r="J523" s="3308"/>
      <c r="K523" s="3308"/>
      <c r="L523" s="3308"/>
      <c r="M523" s="3308"/>
      <c r="N523" s="3308"/>
      <c r="O523" s="3308"/>
      <c r="P523" s="3308"/>
      <c r="Q523" s="3308"/>
      <c r="R523" s="3308"/>
      <c r="S523" s="3308"/>
      <c r="T523" s="3308"/>
      <c r="U523" s="3308"/>
      <c r="V523" s="3308"/>
      <c r="W523" s="3308"/>
      <c r="X523" s="3308"/>
      <c r="Y523" s="3308"/>
      <c r="Z523" s="3308"/>
      <c r="AA523" s="3308"/>
      <c r="AB523" s="3308"/>
      <c r="AC523" s="3298">
        <f t="shared" si="303"/>
        <v>0</v>
      </c>
      <c r="AD523" s="3318"/>
      <c r="AE523" s="3318"/>
      <c r="AF523" s="3318"/>
      <c r="AG523" s="3318"/>
      <c r="AH523" s="3318"/>
      <c r="AI523" s="3318"/>
      <c r="AJ523" s="3318"/>
      <c r="AK523" s="3318"/>
      <c r="AL523" s="3318"/>
      <c r="AM523" s="3318"/>
      <c r="AN523" s="3318"/>
      <c r="AO523" s="3318"/>
      <c r="AP523" s="3318"/>
      <c r="AQ523" s="3318"/>
      <c r="AR523" s="3318"/>
      <c r="AS523" s="3318"/>
      <c r="AT523" s="3328"/>
      <c r="AU523" s="3329"/>
      <c r="AV523" s="963">
        <f t="shared" si="298"/>
        <v>0</v>
      </c>
      <c r="AW523" s="963">
        <f t="shared" si="299"/>
        <v>0</v>
      </c>
      <c r="AX523" s="963">
        <f t="shared" si="300"/>
        <v>0</v>
      </c>
      <c r="AY523" s="3343">
        <f t="shared" si="304"/>
        <v>0</v>
      </c>
      <c r="AZ523" s="3298">
        <f t="shared" si="305"/>
        <v>0</v>
      </c>
      <c r="BA523" s="3298">
        <f t="shared" si="306"/>
        <v>0</v>
      </c>
      <c r="BB523" s="3298">
        <f t="shared" si="307"/>
        <v>0</v>
      </c>
      <c r="BC523" s="3298">
        <f t="shared" si="308"/>
        <v>0</v>
      </c>
      <c r="BD523" s="3298">
        <f t="shared" si="309"/>
        <v>0</v>
      </c>
      <c r="BE523" s="3298">
        <f t="shared" si="310"/>
        <v>0</v>
      </c>
      <c r="BF523" s="3298">
        <f t="shared" si="311"/>
        <v>0</v>
      </c>
      <c r="BG523" s="3298">
        <f t="shared" si="312"/>
        <v>0</v>
      </c>
      <c r="BH523" s="3298">
        <f t="shared" si="313"/>
        <v>0</v>
      </c>
      <c r="BI523" s="3298">
        <f t="shared" si="314"/>
        <v>0</v>
      </c>
      <c r="BJ523" s="3298">
        <f t="shared" si="315"/>
        <v>0</v>
      </c>
      <c r="BK523" s="3298">
        <f t="shared" si="316"/>
        <v>0</v>
      </c>
      <c r="BL523" s="3298">
        <f t="shared" si="317"/>
        <v>0</v>
      </c>
      <c r="BM523" s="3298">
        <f t="shared" si="318"/>
        <v>0</v>
      </c>
      <c r="BN523" s="3298">
        <f t="shared" si="319"/>
        <v>0</v>
      </c>
      <c r="BO523" s="3298">
        <f t="shared" si="320"/>
        <v>0</v>
      </c>
      <c r="BP523" s="3298">
        <f t="shared" si="321"/>
        <v>0</v>
      </c>
      <c r="BQ523" s="3298">
        <f t="shared" si="322"/>
        <v>0</v>
      </c>
      <c r="BR523" s="3298">
        <f t="shared" si="323"/>
        <v>0</v>
      </c>
      <c r="BS523" s="3298">
        <f t="shared" si="324"/>
        <v>0</v>
      </c>
      <c r="BT523" s="3350">
        <f t="shared" si="325"/>
        <v>0</v>
      </c>
    </row>
    <row r="524" spans="1:72">
      <c r="A524" s="1407"/>
      <c r="B524" s="3296"/>
      <c r="C524" s="3296"/>
      <c r="D524" s="3297"/>
      <c r="E524" s="3298">
        <f t="shared" si="297"/>
        <v>0</v>
      </c>
      <c r="F524" s="3299"/>
      <c r="G524" s="3300">
        <f t="shared" si="301"/>
        <v>0</v>
      </c>
      <c r="H524" s="3301">
        <f t="shared" si="302"/>
        <v>0</v>
      </c>
      <c r="I524" s="3308"/>
      <c r="J524" s="3308"/>
      <c r="K524" s="3308"/>
      <c r="L524" s="3308"/>
      <c r="M524" s="3308"/>
      <c r="N524" s="3308"/>
      <c r="O524" s="3308"/>
      <c r="P524" s="3308"/>
      <c r="Q524" s="3308"/>
      <c r="R524" s="3308"/>
      <c r="S524" s="3308"/>
      <c r="T524" s="3308"/>
      <c r="U524" s="3308"/>
      <c r="V524" s="3308"/>
      <c r="W524" s="3308"/>
      <c r="X524" s="3308"/>
      <c r="Y524" s="3308"/>
      <c r="Z524" s="3308"/>
      <c r="AA524" s="3308"/>
      <c r="AB524" s="3308"/>
      <c r="AC524" s="3298">
        <f t="shared" si="303"/>
        <v>0</v>
      </c>
      <c r="AD524" s="3318"/>
      <c r="AE524" s="3318"/>
      <c r="AF524" s="3318"/>
      <c r="AG524" s="3318"/>
      <c r="AH524" s="3318"/>
      <c r="AI524" s="3318"/>
      <c r="AJ524" s="3318"/>
      <c r="AK524" s="3318"/>
      <c r="AL524" s="3318"/>
      <c r="AM524" s="3318"/>
      <c r="AN524" s="3318"/>
      <c r="AO524" s="3318"/>
      <c r="AP524" s="3318"/>
      <c r="AQ524" s="3318"/>
      <c r="AR524" s="3318"/>
      <c r="AS524" s="3318"/>
      <c r="AT524" s="3328"/>
      <c r="AU524" s="3329"/>
      <c r="AV524" s="963">
        <f t="shared" si="298"/>
        <v>0</v>
      </c>
      <c r="AW524" s="963">
        <f t="shared" si="299"/>
        <v>0</v>
      </c>
      <c r="AX524" s="963">
        <f t="shared" si="300"/>
        <v>0</v>
      </c>
      <c r="AY524" s="3343">
        <f t="shared" si="304"/>
        <v>0</v>
      </c>
      <c r="AZ524" s="3298">
        <f t="shared" si="305"/>
        <v>0</v>
      </c>
      <c r="BA524" s="3298">
        <f t="shared" si="306"/>
        <v>0</v>
      </c>
      <c r="BB524" s="3298">
        <f t="shared" si="307"/>
        <v>0</v>
      </c>
      <c r="BC524" s="3298">
        <f t="shared" si="308"/>
        <v>0</v>
      </c>
      <c r="BD524" s="3298">
        <f t="shared" si="309"/>
        <v>0</v>
      </c>
      <c r="BE524" s="3298">
        <f t="shared" si="310"/>
        <v>0</v>
      </c>
      <c r="BF524" s="3298">
        <f t="shared" si="311"/>
        <v>0</v>
      </c>
      <c r="BG524" s="3298">
        <f t="shared" si="312"/>
        <v>0</v>
      </c>
      <c r="BH524" s="3298">
        <f t="shared" si="313"/>
        <v>0</v>
      </c>
      <c r="BI524" s="3298">
        <f t="shared" si="314"/>
        <v>0</v>
      </c>
      <c r="BJ524" s="3298">
        <f t="shared" si="315"/>
        <v>0</v>
      </c>
      <c r="BK524" s="3298">
        <f t="shared" si="316"/>
        <v>0</v>
      </c>
      <c r="BL524" s="3298">
        <f t="shared" si="317"/>
        <v>0</v>
      </c>
      <c r="BM524" s="3298">
        <f t="shared" si="318"/>
        <v>0</v>
      </c>
      <c r="BN524" s="3298">
        <f t="shared" si="319"/>
        <v>0</v>
      </c>
      <c r="BO524" s="3298">
        <f t="shared" si="320"/>
        <v>0</v>
      </c>
      <c r="BP524" s="3298">
        <f t="shared" si="321"/>
        <v>0</v>
      </c>
      <c r="BQ524" s="3298">
        <f t="shared" si="322"/>
        <v>0</v>
      </c>
      <c r="BR524" s="3298">
        <f t="shared" si="323"/>
        <v>0</v>
      </c>
      <c r="BS524" s="3298">
        <f t="shared" si="324"/>
        <v>0</v>
      </c>
      <c r="BT524" s="3350">
        <f t="shared" si="325"/>
        <v>0</v>
      </c>
    </row>
    <row r="525" spans="1:72">
      <c r="A525" s="1407"/>
      <c r="B525" s="3296"/>
      <c r="C525" s="3296"/>
      <c r="D525" s="3297"/>
      <c r="E525" s="3298">
        <f t="shared" si="297"/>
        <v>0</v>
      </c>
      <c r="F525" s="3299"/>
      <c r="G525" s="3300">
        <f t="shared" si="301"/>
        <v>0</v>
      </c>
      <c r="H525" s="3301">
        <f t="shared" si="302"/>
        <v>0</v>
      </c>
      <c r="I525" s="3308"/>
      <c r="J525" s="3308"/>
      <c r="K525" s="3308"/>
      <c r="L525" s="3308"/>
      <c r="M525" s="3308"/>
      <c r="N525" s="3308"/>
      <c r="O525" s="3308"/>
      <c r="P525" s="3308"/>
      <c r="Q525" s="3308"/>
      <c r="R525" s="3308"/>
      <c r="S525" s="3308"/>
      <c r="T525" s="3308"/>
      <c r="U525" s="3308"/>
      <c r="V525" s="3308"/>
      <c r="W525" s="3308"/>
      <c r="X525" s="3308"/>
      <c r="Y525" s="3308"/>
      <c r="Z525" s="3308"/>
      <c r="AA525" s="3308"/>
      <c r="AB525" s="3308"/>
      <c r="AC525" s="3298">
        <f t="shared" si="303"/>
        <v>0</v>
      </c>
      <c r="AD525" s="3318"/>
      <c r="AE525" s="3318"/>
      <c r="AF525" s="3318"/>
      <c r="AG525" s="3318"/>
      <c r="AH525" s="3318"/>
      <c r="AI525" s="3318"/>
      <c r="AJ525" s="3318"/>
      <c r="AK525" s="3318"/>
      <c r="AL525" s="3318"/>
      <c r="AM525" s="3318"/>
      <c r="AN525" s="3318"/>
      <c r="AO525" s="3318"/>
      <c r="AP525" s="3318"/>
      <c r="AQ525" s="3318"/>
      <c r="AR525" s="3318"/>
      <c r="AS525" s="3318"/>
      <c r="AT525" s="3328"/>
      <c r="AU525" s="3329"/>
      <c r="AV525" s="963">
        <f t="shared" si="298"/>
        <v>0</v>
      </c>
      <c r="AW525" s="963">
        <f t="shared" si="299"/>
        <v>0</v>
      </c>
      <c r="AX525" s="963">
        <f t="shared" si="300"/>
        <v>0</v>
      </c>
      <c r="AY525" s="3343">
        <f t="shared" si="304"/>
        <v>0</v>
      </c>
      <c r="AZ525" s="3298">
        <f t="shared" si="305"/>
        <v>0</v>
      </c>
      <c r="BA525" s="3298">
        <f t="shared" si="306"/>
        <v>0</v>
      </c>
      <c r="BB525" s="3298">
        <f t="shared" si="307"/>
        <v>0</v>
      </c>
      <c r="BC525" s="3298">
        <f t="shared" si="308"/>
        <v>0</v>
      </c>
      <c r="BD525" s="3298">
        <f t="shared" si="309"/>
        <v>0</v>
      </c>
      <c r="BE525" s="3298">
        <f t="shared" si="310"/>
        <v>0</v>
      </c>
      <c r="BF525" s="3298">
        <f t="shared" si="311"/>
        <v>0</v>
      </c>
      <c r="BG525" s="3298">
        <f t="shared" si="312"/>
        <v>0</v>
      </c>
      <c r="BH525" s="3298">
        <f t="shared" si="313"/>
        <v>0</v>
      </c>
      <c r="BI525" s="3298">
        <f t="shared" si="314"/>
        <v>0</v>
      </c>
      <c r="BJ525" s="3298">
        <f t="shared" si="315"/>
        <v>0</v>
      </c>
      <c r="BK525" s="3298">
        <f t="shared" si="316"/>
        <v>0</v>
      </c>
      <c r="BL525" s="3298">
        <f t="shared" si="317"/>
        <v>0</v>
      </c>
      <c r="BM525" s="3298">
        <f t="shared" si="318"/>
        <v>0</v>
      </c>
      <c r="BN525" s="3298">
        <f t="shared" si="319"/>
        <v>0</v>
      </c>
      <c r="BO525" s="3298">
        <f t="shared" si="320"/>
        <v>0</v>
      </c>
      <c r="BP525" s="3298">
        <f t="shared" si="321"/>
        <v>0</v>
      </c>
      <c r="BQ525" s="3298">
        <f t="shared" si="322"/>
        <v>0</v>
      </c>
      <c r="BR525" s="3298">
        <f t="shared" si="323"/>
        <v>0</v>
      </c>
      <c r="BS525" s="3298">
        <f t="shared" si="324"/>
        <v>0</v>
      </c>
      <c r="BT525" s="3350">
        <f t="shared" si="325"/>
        <v>0</v>
      </c>
    </row>
    <row r="526" spans="1:72">
      <c r="A526" s="1407"/>
      <c r="B526" s="3296"/>
      <c r="C526" s="3296"/>
      <c r="D526" s="3297"/>
      <c r="E526" s="3298">
        <f t="shared" si="297"/>
        <v>0</v>
      </c>
      <c r="F526" s="3299"/>
      <c r="G526" s="3300">
        <f t="shared" si="301"/>
        <v>0</v>
      </c>
      <c r="H526" s="3301">
        <f t="shared" si="302"/>
        <v>0</v>
      </c>
      <c r="I526" s="3308"/>
      <c r="J526" s="3308"/>
      <c r="K526" s="3308"/>
      <c r="L526" s="3308"/>
      <c r="M526" s="3308"/>
      <c r="N526" s="3308"/>
      <c r="O526" s="3308"/>
      <c r="P526" s="3308"/>
      <c r="Q526" s="3308"/>
      <c r="R526" s="3308"/>
      <c r="S526" s="3308"/>
      <c r="T526" s="3308"/>
      <c r="U526" s="3308"/>
      <c r="V526" s="3308"/>
      <c r="W526" s="3308"/>
      <c r="X526" s="3308"/>
      <c r="Y526" s="3308"/>
      <c r="Z526" s="3308"/>
      <c r="AA526" s="3308"/>
      <c r="AB526" s="3308"/>
      <c r="AC526" s="3298">
        <f t="shared" si="303"/>
        <v>0</v>
      </c>
      <c r="AD526" s="3318"/>
      <c r="AE526" s="3318"/>
      <c r="AF526" s="3318"/>
      <c r="AG526" s="3318"/>
      <c r="AH526" s="3318"/>
      <c r="AI526" s="3318"/>
      <c r="AJ526" s="3318"/>
      <c r="AK526" s="3318"/>
      <c r="AL526" s="3318"/>
      <c r="AM526" s="3318"/>
      <c r="AN526" s="3318"/>
      <c r="AO526" s="3318"/>
      <c r="AP526" s="3318"/>
      <c r="AQ526" s="3318"/>
      <c r="AR526" s="3318"/>
      <c r="AS526" s="3318"/>
      <c r="AT526" s="3328"/>
      <c r="AU526" s="3329"/>
      <c r="AV526" s="963">
        <f t="shared" si="298"/>
        <v>0</v>
      </c>
      <c r="AW526" s="963">
        <f t="shared" si="299"/>
        <v>0</v>
      </c>
      <c r="AX526" s="963">
        <f t="shared" si="300"/>
        <v>0</v>
      </c>
      <c r="AY526" s="3343">
        <f t="shared" si="304"/>
        <v>0</v>
      </c>
      <c r="AZ526" s="3298">
        <f t="shared" si="305"/>
        <v>0</v>
      </c>
      <c r="BA526" s="3298">
        <f t="shared" si="306"/>
        <v>0</v>
      </c>
      <c r="BB526" s="3298">
        <f t="shared" si="307"/>
        <v>0</v>
      </c>
      <c r="BC526" s="3298">
        <f t="shared" si="308"/>
        <v>0</v>
      </c>
      <c r="BD526" s="3298">
        <f t="shared" si="309"/>
        <v>0</v>
      </c>
      <c r="BE526" s="3298">
        <f t="shared" si="310"/>
        <v>0</v>
      </c>
      <c r="BF526" s="3298">
        <f t="shared" si="311"/>
        <v>0</v>
      </c>
      <c r="BG526" s="3298">
        <f t="shared" si="312"/>
        <v>0</v>
      </c>
      <c r="BH526" s="3298">
        <f t="shared" si="313"/>
        <v>0</v>
      </c>
      <c r="BI526" s="3298">
        <f t="shared" si="314"/>
        <v>0</v>
      </c>
      <c r="BJ526" s="3298">
        <f t="shared" si="315"/>
        <v>0</v>
      </c>
      <c r="BK526" s="3298">
        <f t="shared" si="316"/>
        <v>0</v>
      </c>
      <c r="BL526" s="3298">
        <f t="shared" si="317"/>
        <v>0</v>
      </c>
      <c r="BM526" s="3298">
        <f t="shared" si="318"/>
        <v>0</v>
      </c>
      <c r="BN526" s="3298">
        <f t="shared" si="319"/>
        <v>0</v>
      </c>
      <c r="BO526" s="3298">
        <f t="shared" si="320"/>
        <v>0</v>
      </c>
      <c r="BP526" s="3298">
        <f t="shared" si="321"/>
        <v>0</v>
      </c>
      <c r="BQ526" s="3298">
        <f t="shared" si="322"/>
        <v>0</v>
      </c>
      <c r="BR526" s="3298">
        <f t="shared" si="323"/>
        <v>0</v>
      </c>
      <c r="BS526" s="3298">
        <f t="shared" si="324"/>
        <v>0</v>
      </c>
      <c r="BT526" s="3350">
        <f t="shared" si="325"/>
        <v>0</v>
      </c>
    </row>
    <row r="527" spans="1:72">
      <c r="A527" s="1407"/>
      <c r="B527" s="3296"/>
      <c r="C527" s="3296"/>
      <c r="D527" s="3297"/>
      <c r="E527" s="3298">
        <f t="shared" si="297"/>
        <v>0</v>
      </c>
      <c r="F527" s="3299"/>
      <c r="G527" s="3300">
        <f t="shared" si="301"/>
        <v>0</v>
      </c>
      <c r="H527" s="3301">
        <f t="shared" si="302"/>
        <v>0</v>
      </c>
      <c r="I527" s="3308"/>
      <c r="J527" s="3308"/>
      <c r="K527" s="3308"/>
      <c r="L527" s="3308"/>
      <c r="M527" s="3308"/>
      <c r="N527" s="3308"/>
      <c r="O527" s="3308"/>
      <c r="P527" s="3308"/>
      <c r="Q527" s="3308"/>
      <c r="R527" s="3308"/>
      <c r="S527" s="3308"/>
      <c r="T527" s="3308"/>
      <c r="U527" s="3308"/>
      <c r="V527" s="3308"/>
      <c r="W527" s="3308"/>
      <c r="X527" s="3308"/>
      <c r="Y527" s="3308"/>
      <c r="Z527" s="3308"/>
      <c r="AA527" s="3308"/>
      <c r="AB527" s="3308"/>
      <c r="AC527" s="3298">
        <f t="shared" si="303"/>
        <v>0</v>
      </c>
      <c r="AD527" s="3318"/>
      <c r="AE527" s="3318"/>
      <c r="AF527" s="3318"/>
      <c r="AG527" s="3318"/>
      <c r="AH527" s="3318"/>
      <c r="AI527" s="3318"/>
      <c r="AJ527" s="3318"/>
      <c r="AK527" s="3318"/>
      <c r="AL527" s="3318"/>
      <c r="AM527" s="3318"/>
      <c r="AN527" s="3318"/>
      <c r="AO527" s="3318"/>
      <c r="AP527" s="3318"/>
      <c r="AQ527" s="3318"/>
      <c r="AR527" s="3318"/>
      <c r="AS527" s="3318"/>
      <c r="AT527" s="3328"/>
      <c r="AU527" s="3329"/>
      <c r="AV527" s="963">
        <f t="shared" si="298"/>
        <v>0</v>
      </c>
      <c r="AW527" s="963">
        <f t="shared" si="299"/>
        <v>0</v>
      </c>
      <c r="AX527" s="963">
        <f t="shared" si="300"/>
        <v>0</v>
      </c>
      <c r="AY527" s="3343">
        <f t="shared" si="304"/>
        <v>0</v>
      </c>
      <c r="AZ527" s="3298">
        <f t="shared" si="305"/>
        <v>0</v>
      </c>
      <c r="BA527" s="3298">
        <f t="shared" si="306"/>
        <v>0</v>
      </c>
      <c r="BB527" s="3298">
        <f t="shared" si="307"/>
        <v>0</v>
      </c>
      <c r="BC527" s="3298">
        <f t="shared" si="308"/>
        <v>0</v>
      </c>
      <c r="BD527" s="3298">
        <f t="shared" si="309"/>
        <v>0</v>
      </c>
      <c r="BE527" s="3298">
        <f t="shared" si="310"/>
        <v>0</v>
      </c>
      <c r="BF527" s="3298">
        <f t="shared" si="311"/>
        <v>0</v>
      </c>
      <c r="BG527" s="3298">
        <f t="shared" si="312"/>
        <v>0</v>
      </c>
      <c r="BH527" s="3298">
        <f t="shared" si="313"/>
        <v>0</v>
      </c>
      <c r="BI527" s="3298">
        <f t="shared" si="314"/>
        <v>0</v>
      </c>
      <c r="BJ527" s="3298">
        <f t="shared" si="315"/>
        <v>0</v>
      </c>
      <c r="BK527" s="3298">
        <f t="shared" si="316"/>
        <v>0</v>
      </c>
      <c r="BL527" s="3298">
        <f t="shared" si="317"/>
        <v>0</v>
      </c>
      <c r="BM527" s="3298">
        <f t="shared" si="318"/>
        <v>0</v>
      </c>
      <c r="BN527" s="3298">
        <f t="shared" si="319"/>
        <v>0</v>
      </c>
      <c r="BO527" s="3298">
        <f t="shared" si="320"/>
        <v>0</v>
      </c>
      <c r="BP527" s="3298">
        <f t="shared" si="321"/>
        <v>0</v>
      </c>
      <c r="BQ527" s="3298">
        <f t="shared" si="322"/>
        <v>0</v>
      </c>
      <c r="BR527" s="3298">
        <f t="shared" si="323"/>
        <v>0</v>
      </c>
      <c r="BS527" s="3298">
        <f t="shared" si="324"/>
        <v>0</v>
      </c>
      <c r="BT527" s="3350">
        <f t="shared" si="325"/>
        <v>0</v>
      </c>
    </row>
    <row r="528" spans="1:72">
      <c r="A528" s="1407"/>
      <c r="B528" s="3296"/>
      <c r="C528" s="3296"/>
      <c r="D528" s="3297"/>
      <c r="E528" s="3298">
        <f t="shared" si="297"/>
        <v>0</v>
      </c>
      <c r="F528" s="3299"/>
      <c r="G528" s="3300">
        <f t="shared" si="301"/>
        <v>0</v>
      </c>
      <c r="H528" s="3301">
        <f t="shared" si="302"/>
        <v>0</v>
      </c>
      <c r="I528" s="3308"/>
      <c r="J528" s="3308"/>
      <c r="K528" s="3308"/>
      <c r="L528" s="3308"/>
      <c r="M528" s="3308"/>
      <c r="N528" s="3308"/>
      <c r="O528" s="3308"/>
      <c r="P528" s="3308"/>
      <c r="Q528" s="3308"/>
      <c r="R528" s="3308"/>
      <c r="S528" s="3308"/>
      <c r="T528" s="3308"/>
      <c r="U528" s="3308"/>
      <c r="V528" s="3308"/>
      <c r="W528" s="3308"/>
      <c r="X528" s="3308"/>
      <c r="Y528" s="3308"/>
      <c r="Z528" s="3308"/>
      <c r="AA528" s="3308"/>
      <c r="AB528" s="3308"/>
      <c r="AC528" s="3298">
        <f t="shared" si="303"/>
        <v>0</v>
      </c>
      <c r="AD528" s="3318"/>
      <c r="AE528" s="3318"/>
      <c r="AF528" s="3318"/>
      <c r="AG528" s="3318"/>
      <c r="AH528" s="3318"/>
      <c r="AI528" s="3318"/>
      <c r="AJ528" s="3318"/>
      <c r="AK528" s="3318"/>
      <c r="AL528" s="3318"/>
      <c r="AM528" s="3318"/>
      <c r="AN528" s="3318"/>
      <c r="AO528" s="3318"/>
      <c r="AP528" s="3318"/>
      <c r="AQ528" s="3318"/>
      <c r="AR528" s="3318"/>
      <c r="AS528" s="3318"/>
      <c r="AT528" s="3328"/>
      <c r="AU528" s="3329"/>
      <c r="AV528" s="963">
        <f t="shared" si="298"/>
        <v>0</v>
      </c>
      <c r="AW528" s="963">
        <f t="shared" si="299"/>
        <v>0</v>
      </c>
      <c r="AX528" s="963">
        <f t="shared" si="300"/>
        <v>0</v>
      </c>
      <c r="AY528" s="3343">
        <f t="shared" si="304"/>
        <v>0</v>
      </c>
      <c r="AZ528" s="3298">
        <f t="shared" si="305"/>
        <v>0</v>
      </c>
      <c r="BA528" s="3298">
        <f t="shared" si="306"/>
        <v>0</v>
      </c>
      <c r="BB528" s="3298">
        <f t="shared" si="307"/>
        <v>0</v>
      </c>
      <c r="BC528" s="3298">
        <f t="shared" si="308"/>
        <v>0</v>
      </c>
      <c r="BD528" s="3298">
        <f t="shared" si="309"/>
        <v>0</v>
      </c>
      <c r="BE528" s="3298">
        <f t="shared" si="310"/>
        <v>0</v>
      </c>
      <c r="BF528" s="3298">
        <f t="shared" si="311"/>
        <v>0</v>
      </c>
      <c r="BG528" s="3298">
        <f t="shared" si="312"/>
        <v>0</v>
      </c>
      <c r="BH528" s="3298">
        <f t="shared" si="313"/>
        <v>0</v>
      </c>
      <c r="BI528" s="3298">
        <f t="shared" si="314"/>
        <v>0</v>
      </c>
      <c r="BJ528" s="3298">
        <f t="shared" si="315"/>
        <v>0</v>
      </c>
      <c r="BK528" s="3298">
        <f t="shared" si="316"/>
        <v>0</v>
      </c>
      <c r="BL528" s="3298">
        <f t="shared" si="317"/>
        <v>0</v>
      </c>
      <c r="BM528" s="3298">
        <f t="shared" si="318"/>
        <v>0</v>
      </c>
      <c r="BN528" s="3298">
        <f t="shared" si="319"/>
        <v>0</v>
      </c>
      <c r="BO528" s="3298">
        <f t="shared" si="320"/>
        <v>0</v>
      </c>
      <c r="BP528" s="3298">
        <f t="shared" si="321"/>
        <v>0</v>
      </c>
      <c r="BQ528" s="3298">
        <f t="shared" si="322"/>
        <v>0</v>
      </c>
      <c r="BR528" s="3298">
        <f t="shared" si="323"/>
        <v>0</v>
      </c>
      <c r="BS528" s="3298">
        <f t="shared" si="324"/>
        <v>0</v>
      </c>
      <c r="BT528" s="3350">
        <f t="shared" si="325"/>
        <v>0</v>
      </c>
    </row>
    <row r="529" spans="1:72">
      <c r="A529" s="1407"/>
      <c r="B529" s="3296"/>
      <c r="C529" s="3296"/>
      <c r="D529" s="3297"/>
      <c r="E529" s="3298">
        <f t="shared" si="297"/>
        <v>0</v>
      </c>
      <c r="F529" s="3299"/>
      <c r="G529" s="3300">
        <f t="shared" si="301"/>
        <v>0</v>
      </c>
      <c r="H529" s="3301">
        <f t="shared" si="302"/>
        <v>0</v>
      </c>
      <c r="I529" s="3308"/>
      <c r="J529" s="3308"/>
      <c r="K529" s="3308"/>
      <c r="L529" s="3308"/>
      <c r="M529" s="3308"/>
      <c r="N529" s="3308"/>
      <c r="O529" s="3308"/>
      <c r="P529" s="3308"/>
      <c r="Q529" s="3308"/>
      <c r="R529" s="3308"/>
      <c r="S529" s="3308"/>
      <c r="T529" s="3308"/>
      <c r="U529" s="3308"/>
      <c r="V529" s="3308"/>
      <c r="W529" s="3308"/>
      <c r="X529" s="3308"/>
      <c r="Y529" s="3308"/>
      <c r="Z529" s="3308"/>
      <c r="AA529" s="3308"/>
      <c r="AB529" s="3308"/>
      <c r="AC529" s="3298">
        <f t="shared" si="303"/>
        <v>0</v>
      </c>
      <c r="AD529" s="3318"/>
      <c r="AE529" s="3318"/>
      <c r="AF529" s="3318"/>
      <c r="AG529" s="3318"/>
      <c r="AH529" s="3318"/>
      <c r="AI529" s="3318"/>
      <c r="AJ529" s="3318"/>
      <c r="AK529" s="3318"/>
      <c r="AL529" s="3318"/>
      <c r="AM529" s="3318"/>
      <c r="AN529" s="3318"/>
      <c r="AO529" s="3318"/>
      <c r="AP529" s="3318"/>
      <c r="AQ529" s="3318"/>
      <c r="AR529" s="3318"/>
      <c r="AS529" s="3318"/>
      <c r="AT529" s="3328"/>
      <c r="AU529" s="3329"/>
      <c r="AV529" s="963">
        <f t="shared" si="298"/>
        <v>0</v>
      </c>
      <c r="AW529" s="963">
        <f t="shared" si="299"/>
        <v>0</v>
      </c>
      <c r="AX529" s="963">
        <f t="shared" si="300"/>
        <v>0</v>
      </c>
      <c r="AY529" s="3343">
        <f t="shared" si="304"/>
        <v>0</v>
      </c>
      <c r="AZ529" s="3298">
        <f t="shared" si="305"/>
        <v>0</v>
      </c>
      <c r="BA529" s="3298">
        <f t="shared" si="306"/>
        <v>0</v>
      </c>
      <c r="BB529" s="3298">
        <f t="shared" si="307"/>
        <v>0</v>
      </c>
      <c r="BC529" s="3298">
        <f t="shared" si="308"/>
        <v>0</v>
      </c>
      <c r="BD529" s="3298">
        <f t="shared" si="309"/>
        <v>0</v>
      </c>
      <c r="BE529" s="3298">
        <f t="shared" si="310"/>
        <v>0</v>
      </c>
      <c r="BF529" s="3298">
        <f t="shared" si="311"/>
        <v>0</v>
      </c>
      <c r="BG529" s="3298">
        <f t="shared" si="312"/>
        <v>0</v>
      </c>
      <c r="BH529" s="3298">
        <f t="shared" si="313"/>
        <v>0</v>
      </c>
      <c r="BI529" s="3298">
        <f t="shared" si="314"/>
        <v>0</v>
      </c>
      <c r="BJ529" s="3298">
        <f t="shared" si="315"/>
        <v>0</v>
      </c>
      <c r="BK529" s="3298">
        <f t="shared" si="316"/>
        <v>0</v>
      </c>
      <c r="BL529" s="3298">
        <f t="shared" si="317"/>
        <v>0</v>
      </c>
      <c r="BM529" s="3298">
        <f t="shared" si="318"/>
        <v>0</v>
      </c>
      <c r="BN529" s="3298">
        <f t="shared" si="319"/>
        <v>0</v>
      </c>
      <c r="BO529" s="3298">
        <f t="shared" si="320"/>
        <v>0</v>
      </c>
      <c r="BP529" s="3298">
        <f t="shared" si="321"/>
        <v>0</v>
      </c>
      <c r="BQ529" s="3298">
        <f t="shared" si="322"/>
        <v>0</v>
      </c>
      <c r="BR529" s="3298">
        <f t="shared" si="323"/>
        <v>0</v>
      </c>
      <c r="BS529" s="3298">
        <f t="shared" si="324"/>
        <v>0</v>
      </c>
      <c r="BT529" s="3350">
        <f t="shared" si="325"/>
        <v>0</v>
      </c>
    </row>
    <row r="530" spans="1:72">
      <c r="A530" s="1407"/>
      <c r="B530" s="3296"/>
      <c r="C530" s="3296"/>
      <c r="D530" s="3297"/>
      <c r="E530" s="3298">
        <f t="shared" si="297"/>
        <v>0</v>
      </c>
      <c r="F530" s="3299"/>
      <c r="G530" s="3300">
        <f t="shared" si="301"/>
        <v>0</v>
      </c>
      <c r="H530" s="3301">
        <f t="shared" si="302"/>
        <v>0</v>
      </c>
      <c r="I530" s="3308"/>
      <c r="J530" s="3308"/>
      <c r="K530" s="3308"/>
      <c r="L530" s="3308"/>
      <c r="M530" s="3308"/>
      <c r="N530" s="3308"/>
      <c r="O530" s="3308"/>
      <c r="P530" s="3308"/>
      <c r="Q530" s="3308"/>
      <c r="R530" s="3308"/>
      <c r="S530" s="3308"/>
      <c r="T530" s="3308"/>
      <c r="U530" s="3308"/>
      <c r="V530" s="3308"/>
      <c r="W530" s="3308"/>
      <c r="X530" s="3308"/>
      <c r="Y530" s="3308"/>
      <c r="Z530" s="3308"/>
      <c r="AA530" s="3308"/>
      <c r="AB530" s="3308"/>
      <c r="AC530" s="3298">
        <f t="shared" si="303"/>
        <v>0</v>
      </c>
      <c r="AD530" s="3318"/>
      <c r="AE530" s="3318"/>
      <c r="AF530" s="3318"/>
      <c r="AG530" s="3318"/>
      <c r="AH530" s="3318"/>
      <c r="AI530" s="3318"/>
      <c r="AJ530" s="3318"/>
      <c r="AK530" s="3318"/>
      <c r="AL530" s="3318"/>
      <c r="AM530" s="3318"/>
      <c r="AN530" s="3318"/>
      <c r="AO530" s="3318"/>
      <c r="AP530" s="3318"/>
      <c r="AQ530" s="3318"/>
      <c r="AR530" s="3318"/>
      <c r="AS530" s="3318"/>
      <c r="AT530" s="3328"/>
      <c r="AU530" s="3329"/>
      <c r="AV530" s="963">
        <f t="shared" si="298"/>
        <v>0</v>
      </c>
      <c r="AW530" s="963">
        <f t="shared" si="299"/>
        <v>0</v>
      </c>
      <c r="AX530" s="963">
        <f t="shared" si="300"/>
        <v>0</v>
      </c>
      <c r="AY530" s="3343">
        <f t="shared" si="304"/>
        <v>0</v>
      </c>
      <c r="AZ530" s="3298">
        <f t="shared" si="305"/>
        <v>0</v>
      </c>
      <c r="BA530" s="3298">
        <f t="shared" si="306"/>
        <v>0</v>
      </c>
      <c r="BB530" s="3298">
        <f t="shared" si="307"/>
        <v>0</v>
      </c>
      <c r="BC530" s="3298">
        <f t="shared" si="308"/>
        <v>0</v>
      </c>
      <c r="BD530" s="3298">
        <f t="shared" si="309"/>
        <v>0</v>
      </c>
      <c r="BE530" s="3298">
        <f t="shared" si="310"/>
        <v>0</v>
      </c>
      <c r="BF530" s="3298">
        <f t="shared" si="311"/>
        <v>0</v>
      </c>
      <c r="BG530" s="3298">
        <f t="shared" si="312"/>
        <v>0</v>
      </c>
      <c r="BH530" s="3298">
        <f t="shared" si="313"/>
        <v>0</v>
      </c>
      <c r="BI530" s="3298">
        <f t="shared" si="314"/>
        <v>0</v>
      </c>
      <c r="BJ530" s="3298">
        <f t="shared" si="315"/>
        <v>0</v>
      </c>
      <c r="BK530" s="3298">
        <f t="shared" si="316"/>
        <v>0</v>
      </c>
      <c r="BL530" s="3298">
        <f t="shared" si="317"/>
        <v>0</v>
      </c>
      <c r="BM530" s="3298">
        <f t="shared" si="318"/>
        <v>0</v>
      </c>
      <c r="BN530" s="3298">
        <f t="shared" si="319"/>
        <v>0</v>
      </c>
      <c r="BO530" s="3298">
        <f t="shared" si="320"/>
        <v>0</v>
      </c>
      <c r="BP530" s="3298">
        <f t="shared" si="321"/>
        <v>0</v>
      </c>
      <c r="BQ530" s="3298">
        <f t="shared" si="322"/>
        <v>0</v>
      </c>
      <c r="BR530" s="3298">
        <f t="shared" si="323"/>
        <v>0</v>
      </c>
      <c r="BS530" s="3298">
        <f t="shared" si="324"/>
        <v>0</v>
      </c>
      <c r="BT530" s="3350">
        <f t="shared" si="325"/>
        <v>0</v>
      </c>
    </row>
    <row r="531" spans="1:72">
      <c r="A531" s="1407"/>
      <c r="B531" s="3296"/>
      <c r="C531" s="3296"/>
      <c r="D531" s="3297"/>
      <c r="E531" s="3298">
        <f t="shared" si="297"/>
        <v>0</v>
      </c>
      <c r="F531" s="3299"/>
      <c r="G531" s="3300">
        <f t="shared" si="301"/>
        <v>0</v>
      </c>
      <c r="H531" s="3301">
        <f t="shared" si="302"/>
        <v>0</v>
      </c>
      <c r="I531" s="3308"/>
      <c r="J531" s="3308"/>
      <c r="K531" s="3308"/>
      <c r="L531" s="3308"/>
      <c r="M531" s="3308"/>
      <c r="N531" s="3308"/>
      <c r="O531" s="3308"/>
      <c r="P531" s="3308"/>
      <c r="Q531" s="3308"/>
      <c r="R531" s="3308"/>
      <c r="S531" s="3308"/>
      <c r="T531" s="3308"/>
      <c r="U531" s="3308"/>
      <c r="V531" s="3308"/>
      <c r="W531" s="3308"/>
      <c r="X531" s="3308"/>
      <c r="Y531" s="3308"/>
      <c r="Z531" s="3308"/>
      <c r="AA531" s="3308"/>
      <c r="AB531" s="3308"/>
      <c r="AC531" s="3298">
        <f t="shared" si="303"/>
        <v>0</v>
      </c>
      <c r="AD531" s="3318"/>
      <c r="AE531" s="3318"/>
      <c r="AF531" s="3318"/>
      <c r="AG531" s="3318"/>
      <c r="AH531" s="3318"/>
      <c r="AI531" s="3318"/>
      <c r="AJ531" s="3318"/>
      <c r="AK531" s="3318"/>
      <c r="AL531" s="3318"/>
      <c r="AM531" s="3318"/>
      <c r="AN531" s="3318"/>
      <c r="AO531" s="3318"/>
      <c r="AP531" s="3318"/>
      <c r="AQ531" s="3318"/>
      <c r="AR531" s="3318"/>
      <c r="AS531" s="3318"/>
      <c r="AT531" s="3328"/>
      <c r="AU531" s="3329"/>
      <c r="AV531" s="963">
        <f t="shared" si="298"/>
        <v>0</v>
      </c>
      <c r="AW531" s="963">
        <f t="shared" si="299"/>
        <v>0</v>
      </c>
      <c r="AX531" s="963">
        <f t="shared" si="300"/>
        <v>0</v>
      </c>
      <c r="AY531" s="3343">
        <f t="shared" si="304"/>
        <v>0</v>
      </c>
      <c r="AZ531" s="3298">
        <f t="shared" si="305"/>
        <v>0</v>
      </c>
      <c r="BA531" s="3298">
        <f t="shared" si="306"/>
        <v>0</v>
      </c>
      <c r="BB531" s="3298">
        <f t="shared" si="307"/>
        <v>0</v>
      </c>
      <c r="BC531" s="3298">
        <f t="shared" si="308"/>
        <v>0</v>
      </c>
      <c r="BD531" s="3298">
        <f t="shared" si="309"/>
        <v>0</v>
      </c>
      <c r="BE531" s="3298">
        <f t="shared" si="310"/>
        <v>0</v>
      </c>
      <c r="BF531" s="3298">
        <f t="shared" si="311"/>
        <v>0</v>
      </c>
      <c r="BG531" s="3298">
        <f t="shared" si="312"/>
        <v>0</v>
      </c>
      <c r="BH531" s="3298">
        <f t="shared" si="313"/>
        <v>0</v>
      </c>
      <c r="BI531" s="3298">
        <f t="shared" si="314"/>
        <v>0</v>
      </c>
      <c r="BJ531" s="3298">
        <f t="shared" si="315"/>
        <v>0</v>
      </c>
      <c r="BK531" s="3298">
        <f t="shared" si="316"/>
        <v>0</v>
      </c>
      <c r="BL531" s="3298">
        <f t="shared" si="317"/>
        <v>0</v>
      </c>
      <c r="BM531" s="3298">
        <f t="shared" si="318"/>
        <v>0</v>
      </c>
      <c r="BN531" s="3298">
        <f t="shared" si="319"/>
        <v>0</v>
      </c>
      <c r="BO531" s="3298">
        <f t="shared" si="320"/>
        <v>0</v>
      </c>
      <c r="BP531" s="3298">
        <f t="shared" si="321"/>
        <v>0</v>
      </c>
      <c r="BQ531" s="3298">
        <f t="shared" si="322"/>
        <v>0</v>
      </c>
      <c r="BR531" s="3298">
        <f t="shared" si="323"/>
        <v>0</v>
      </c>
      <c r="BS531" s="3298">
        <f t="shared" si="324"/>
        <v>0</v>
      </c>
      <c r="BT531" s="3350">
        <f t="shared" si="325"/>
        <v>0</v>
      </c>
    </row>
    <row r="532" spans="1:72">
      <c r="A532" s="1407"/>
      <c r="B532" s="3296"/>
      <c r="C532" s="3296"/>
      <c r="D532" s="3297"/>
      <c r="E532" s="3298">
        <f t="shared" si="297"/>
        <v>0</v>
      </c>
      <c r="F532" s="3299"/>
      <c r="G532" s="3300">
        <f t="shared" si="301"/>
        <v>0</v>
      </c>
      <c r="H532" s="3301">
        <f t="shared" si="302"/>
        <v>0</v>
      </c>
      <c r="I532" s="3308"/>
      <c r="J532" s="3308"/>
      <c r="K532" s="3308"/>
      <c r="L532" s="3308"/>
      <c r="M532" s="3308"/>
      <c r="N532" s="3308"/>
      <c r="O532" s="3308"/>
      <c r="P532" s="3308"/>
      <c r="Q532" s="3308"/>
      <c r="R532" s="3308"/>
      <c r="S532" s="3308"/>
      <c r="T532" s="3308"/>
      <c r="U532" s="3308"/>
      <c r="V532" s="3308"/>
      <c r="W532" s="3308"/>
      <c r="X532" s="3308"/>
      <c r="Y532" s="3308"/>
      <c r="Z532" s="3308"/>
      <c r="AA532" s="3308"/>
      <c r="AB532" s="3308"/>
      <c r="AC532" s="3298">
        <f t="shared" si="303"/>
        <v>0</v>
      </c>
      <c r="AD532" s="3318"/>
      <c r="AE532" s="3318"/>
      <c r="AF532" s="3318"/>
      <c r="AG532" s="3318"/>
      <c r="AH532" s="3318"/>
      <c r="AI532" s="3318"/>
      <c r="AJ532" s="3318"/>
      <c r="AK532" s="3318"/>
      <c r="AL532" s="3318"/>
      <c r="AM532" s="3318"/>
      <c r="AN532" s="3318"/>
      <c r="AO532" s="3318"/>
      <c r="AP532" s="3318"/>
      <c r="AQ532" s="3318"/>
      <c r="AR532" s="3318"/>
      <c r="AS532" s="3318"/>
      <c r="AT532" s="3328"/>
      <c r="AU532" s="3329"/>
      <c r="AV532" s="963">
        <f t="shared" si="298"/>
        <v>0</v>
      </c>
      <c r="AW532" s="963">
        <f t="shared" si="299"/>
        <v>0</v>
      </c>
      <c r="AX532" s="963">
        <f t="shared" si="300"/>
        <v>0</v>
      </c>
      <c r="AY532" s="3343">
        <f t="shared" si="304"/>
        <v>0</v>
      </c>
      <c r="AZ532" s="3298">
        <f t="shared" si="305"/>
        <v>0</v>
      </c>
      <c r="BA532" s="3298">
        <f t="shared" si="306"/>
        <v>0</v>
      </c>
      <c r="BB532" s="3298">
        <f t="shared" si="307"/>
        <v>0</v>
      </c>
      <c r="BC532" s="3298">
        <f t="shared" si="308"/>
        <v>0</v>
      </c>
      <c r="BD532" s="3298">
        <f t="shared" si="309"/>
        <v>0</v>
      </c>
      <c r="BE532" s="3298">
        <f t="shared" si="310"/>
        <v>0</v>
      </c>
      <c r="BF532" s="3298">
        <f t="shared" si="311"/>
        <v>0</v>
      </c>
      <c r="BG532" s="3298">
        <f t="shared" si="312"/>
        <v>0</v>
      </c>
      <c r="BH532" s="3298">
        <f t="shared" si="313"/>
        <v>0</v>
      </c>
      <c r="BI532" s="3298">
        <f t="shared" si="314"/>
        <v>0</v>
      </c>
      <c r="BJ532" s="3298">
        <f t="shared" si="315"/>
        <v>0</v>
      </c>
      <c r="BK532" s="3298">
        <f t="shared" si="316"/>
        <v>0</v>
      </c>
      <c r="BL532" s="3298">
        <f t="shared" si="317"/>
        <v>0</v>
      </c>
      <c r="BM532" s="3298">
        <f t="shared" si="318"/>
        <v>0</v>
      </c>
      <c r="BN532" s="3298">
        <f t="shared" si="319"/>
        <v>0</v>
      </c>
      <c r="BO532" s="3298">
        <f t="shared" si="320"/>
        <v>0</v>
      </c>
      <c r="BP532" s="3298">
        <f t="shared" si="321"/>
        <v>0</v>
      </c>
      <c r="BQ532" s="3298">
        <f t="shared" si="322"/>
        <v>0</v>
      </c>
      <c r="BR532" s="3298">
        <f t="shared" si="323"/>
        <v>0</v>
      </c>
      <c r="BS532" s="3298">
        <f t="shared" si="324"/>
        <v>0</v>
      </c>
      <c r="BT532" s="3350">
        <f t="shared" si="325"/>
        <v>0</v>
      </c>
    </row>
    <row r="533" spans="1:72">
      <c r="A533" s="1407"/>
      <c r="B533" s="3296"/>
      <c r="C533" s="3296"/>
      <c r="D533" s="3297"/>
      <c r="E533" s="3298">
        <f t="shared" si="297"/>
        <v>0</v>
      </c>
      <c r="F533" s="3299"/>
      <c r="G533" s="3300">
        <f t="shared" si="301"/>
        <v>0</v>
      </c>
      <c r="H533" s="3301">
        <f t="shared" si="302"/>
        <v>0</v>
      </c>
      <c r="I533" s="3308"/>
      <c r="J533" s="3308"/>
      <c r="K533" s="3308"/>
      <c r="L533" s="3308"/>
      <c r="M533" s="3308"/>
      <c r="N533" s="3308"/>
      <c r="O533" s="3308"/>
      <c r="P533" s="3308"/>
      <c r="Q533" s="3308"/>
      <c r="R533" s="3308"/>
      <c r="S533" s="3308"/>
      <c r="T533" s="3308"/>
      <c r="U533" s="3308"/>
      <c r="V533" s="3308"/>
      <c r="W533" s="3308"/>
      <c r="X533" s="3308"/>
      <c r="Y533" s="3308"/>
      <c r="Z533" s="3308"/>
      <c r="AA533" s="3308"/>
      <c r="AB533" s="3308"/>
      <c r="AC533" s="3298">
        <f t="shared" si="303"/>
        <v>0</v>
      </c>
      <c r="AD533" s="3318"/>
      <c r="AE533" s="3318"/>
      <c r="AF533" s="3318"/>
      <c r="AG533" s="3318"/>
      <c r="AH533" s="3318"/>
      <c r="AI533" s="3318"/>
      <c r="AJ533" s="3318"/>
      <c r="AK533" s="3318"/>
      <c r="AL533" s="3318"/>
      <c r="AM533" s="3318"/>
      <c r="AN533" s="3318"/>
      <c r="AO533" s="3318"/>
      <c r="AP533" s="3318"/>
      <c r="AQ533" s="3318"/>
      <c r="AR533" s="3318"/>
      <c r="AS533" s="3318"/>
      <c r="AT533" s="3328"/>
      <c r="AU533" s="3329"/>
      <c r="AV533" s="963">
        <f t="shared" si="298"/>
        <v>0</v>
      </c>
      <c r="AW533" s="963">
        <f t="shared" si="299"/>
        <v>0</v>
      </c>
      <c r="AX533" s="963">
        <f t="shared" si="300"/>
        <v>0</v>
      </c>
      <c r="AY533" s="3343">
        <f t="shared" si="304"/>
        <v>0</v>
      </c>
      <c r="AZ533" s="3298">
        <f t="shared" si="305"/>
        <v>0</v>
      </c>
      <c r="BA533" s="3298">
        <f t="shared" si="306"/>
        <v>0</v>
      </c>
      <c r="BB533" s="3298">
        <f t="shared" si="307"/>
        <v>0</v>
      </c>
      <c r="BC533" s="3298">
        <f t="shared" si="308"/>
        <v>0</v>
      </c>
      <c r="BD533" s="3298">
        <f t="shared" si="309"/>
        <v>0</v>
      </c>
      <c r="BE533" s="3298">
        <f t="shared" si="310"/>
        <v>0</v>
      </c>
      <c r="BF533" s="3298">
        <f t="shared" si="311"/>
        <v>0</v>
      </c>
      <c r="BG533" s="3298">
        <f t="shared" si="312"/>
        <v>0</v>
      </c>
      <c r="BH533" s="3298">
        <f t="shared" si="313"/>
        <v>0</v>
      </c>
      <c r="BI533" s="3298">
        <f t="shared" si="314"/>
        <v>0</v>
      </c>
      <c r="BJ533" s="3298">
        <f t="shared" si="315"/>
        <v>0</v>
      </c>
      <c r="BK533" s="3298">
        <f t="shared" si="316"/>
        <v>0</v>
      </c>
      <c r="BL533" s="3298">
        <f t="shared" si="317"/>
        <v>0</v>
      </c>
      <c r="BM533" s="3298">
        <f t="shared" si="318"/>
        <v>0</v>
      </c>
      <c r="BN533" s="3298">
        <f t="shared" si="319"/>
        <v>0</v>
      </c>
      <c r="BO533" s="3298">
        <f t="shared" si="320"/>
        <v>0</v>
      </c>
      <c r="BP533" s="3298">
        <f t="shared" si="321"/>
        <v>0</v>
      </c>
      <c r="BQ533" s="3298">
        <f t="shared" si="322"/>
        <v>0</v>
      </c>
      <c r="BR533" s="3298">
        <f t="shared" si="323"/>
        <v>0</v>
      </c>
      <c r="BS533" s="3298">
        <f t="shared" si="324"/>
        <v>0</v>
      </c>
      <c r="BT533" s="3350">
        <f t="shared" si="325"/>
        <v>0</v>
      </c>
    </row>
    <row r="534" spans="1:72">
      <c r="A534" s="1407"/>
      <c r="B534" s="3296"/>
      <c r="C534" s="3296"/>
      <c r="D534" s="3297"/>
      <c r="E534" s="3298">
        <f t="shared" si="297"/>
        <v>0</v>
      </c>
      <c r="F534" s="3299"/>
      <c r="G534" s="3300">
        <f t="shared" si="301"/>
        <v>0</v>
      </c>
      <c r="H534" s="3301">
        <f t="shared" si="302"/>
        <v>0</v>
      </c>
      <c r="I534" s="3308"/>
      <c r="J534" s="3308"/>
      <c r="K534" s="3308"/>
      <c r="L534" s="3308"/>
      <c r="M534" s="3308"/>
      <c r="N534" s="3308"/>
      <c r="O534" s="3308"/>
      <c r="P534" s="3308"/>
      <c r="Q534" s="3308"/>
      <c r="R534" s="3308"/>
      <c r="S534" s="3308"/>
      <c r="T534" s="3308"/>
      <c r="U534" s="3308"/>
      <c r="V534" s="3308"/>
      <c r="W534" s="3308"/>
      <c r="X534" s="3308"/>
      <c r="Y534" s="3308"/>
      <c r="Z534" s="3308"/>
      <c r="AA534" s="3308"/>
      <c r="AB534" s="3308"/>
      <c r="AC534" s="3298">
        <f t="shared" si="303"/>
        <v>0</v>
      </c>
      <c r="AD534" s="3318"/>
      <c r="AE534" s="3318"/>
      <c r="AF534" s="3318"/>
      <c r="AG534" s="3318"/>
      <c r="AH534" s="3318"/>
      <c r="AI534" s="3318"/>
      <c r="AJ534" s="3318"/>
      <c r="AK534" s="3318"/>
      <c r="AL534" s="3318"/>
      <c r="AM534" s="3318"/>
      <c r="AN534" s="3318"/>
      <c r="AO534" s="3318"/>
      <c r="AP534" s="3318"/>
      <c r="AQ534" s="3318"/>
      <c r="AR534" s="3318"/>
      <c r="AS534" s="3318"/>
      <c r="AT534" s="3328"/>
      <c r="AU534" s="3329"/>
      <c r="AV534" s="963">
        <f t="shared" si="298"/>
        <v>0</v>
      </c>
      <c r="AW534" s="963">
        <f t="shared" si="299"/>
        <v>0</v>
      </c>
      <c r="AX534" s="963">
        <f t="shared" si="300"/>
        <v>0</v>
      </c>
      <c r="AY534" s="3343">
        <f t="shared" si="304"/>
        <v>0</v>
      </c>
      <c r="AZ534" s="3298">
        <f t="shared" si="305"/>
        <v>0</v>
      </c>
      <c r="BA534" s="3298">
        <f t="shared" si="306"/>
        <v>0</v>
      </c>
      <c r="BB534" s="3298">
        <f t="shared" si="307"/>
        <v>0</v>
      </c>
      <c r="BC534" s="3298">
        <f t="shared" si="308"/>
        <v>0</v>
      </c>
      <c r="BD534" s="3298">
        <f t="shared" si="309"/>
        <v>0</v>
      </c>
      <c r="BE534" s="3298">
        <f t="shared" si="310"/>
        <v>0</v>
      </c>
      <c r="BF534" s="3298">
        <f t="shared" si="311"/>
        <v>0</v>
      </c>
      <c r="BG534" s="3298">
        <f t="shared" si="312"/>
        <v>0</v>
      </c>
      <c r="BH534" s="3298">
        <f t="shared" si="313"/>
        <v>0</v>
      </c>
      <c r="BI534" s="3298">
        <f t="shared" si="314"/>
        <v>0</v>
      </c>
      <c r="BJ534" s="3298">
        <f t="shared" si="315"/>
        <v>0</v>
      </c>
      <c r="BK534" s="3298">
        <f t="shared" si="316"/>
        <v>0</v>
      </c>
      <c r="BL534" s="3298">
        <f t="shared" si="317"/>
        <v>0</v>
      </c>
      <c r="BM534" s="3298">
        <f t="shared" si="318"/>
        <v>0</v>
      </c>
      <c r="BN534" s="3298">
        <f t="shared" si="319"/>
        <v>0</v>
      </c>
      <c r="BO534" s="3298">
        <f t="shared" si="320"/>
        <v>0</v>
      </c>
      <c r="BP534" s="3298">
        <f t="shared" si="321"/>
        <v>0</v>
      </c>
      <c r="BQ534" s="3298">
        <f t="shared" si="322"/>
        <v>0</v>
      </c>
      <c r="BR534" s="3298">
        <f t="shared" si="323"/>
        <v>0</v>
      </c>
      <c r="BS534" s="3298">
        <f t="shared" si="324"/>
        <v>0</v>
      </c>
      <c r="BT534" s="3350">
        <f t="shared" si="325"/>
        <v>0</v>
      </c>
    </row>
    <row r="535" spans="1:72">
      <c r="A535" s="1407"/>
      <c r="B535" s="3296"/>
      <c r="C535" s="3296"/>
      <c r="D535" s="3297"/>
      <c r="E535" s="3298">
        <f t="shared" si="297"/>
        <v>0</v>
      </c>
      <c r="F535" s="3299"/>
      <c r="G535" s="3300">
        <f t="shared" si="301"/>
        <v>0</v>
      </c>
      <c r="H535" s="3301">
        <f t="shared" si="302"/>
        <v>0</v>
      </c>
      <c r="I535" s="3308"/>
      <c r="J535" s="3308"/>
      <c r="K535" s="3308"/>
      <c r="L535" s="3308"/>
      <c r="M535" s="3308"/>
      <c r="N535" s="3308"/>
      <c r="O535" s="3308"/>
      <c r="P535" s="3308"/>
      <c r="Q535" s="3308"/>
      <c r="R535" s="3308"/>
      <c r="S535" s="3308"/>
      <c r="T535" s="3308"/>
      <c r="U535" s="3308"/>
      <c r="V535" s="3308"/>
      <c r="W535" s="3308"/>
      <c r="X535" s="3308"/>
      <c r="Y535" s="3308"/>
      <c r="Z535" s="3308"/>
      <c r="AA535" s="3308"/>
      <c r="AB535" s="3308"/>
      <c r="AC535" s="3298">
        <f t="shared" si="303"/>
        <v>0</v>
      </c>
      <c r="AD535" s="3318"/>
      <c r="AE535" s="3318"/>
      <c r="AF535" s="3318"/>
      <c r="AG535" s="3318"/>
      <c r="AH535" s="3318"/>
      <c r="AI535" s="3318"/>
      <c r="AJ535" s="3318"/>
      <c r="AK535" s="3318"/>
      <c r="AL535" s="3318"/>
      <c r="AM535" s="3318"/>
      <c r="AN535" s="3318"/>
      <c r="AO535" s="3318"/>
      <c r="AP535" s="3318"/>
      <c r="AQ535" s="3318"/>
      <c r="AR535" s="3318"/>
      <c r="AS535" s="3318"/>
      <c r="AT535" s="3328"/>
      <c r="AU535" s="3329"/>
      <c r="AV535" s="963">
        <f t="shared" si="298"/>
        <v>0</v>
      </c>
      <c r="AW535" s="963">
        <f t="shared" si="299"/>
        <v>0</v>
      </c>
      <c r="AX535" s="963">
        <f t="shared" si="300"/>
        <v>0</v>
      </c>
      <c r="AY535" s="3343">
        <f t="shared" si="304"/>
        <v>0</v>
      </c>
      <c r="AZ535" s="3298">
        <f t="shared" si="305"/>
        <v>0</v>
      </c>
      <c r="BA535" s="3298">
        <f t="shared" si="306"/>
        <v>0</v>
      </c>
      <c r="BB535" s="3298">
        <f t="shared" si="307"/>
        <v>0</v>
      </c>
      <c r="BC535" s="3298">
        <f t="shared" si="308"/>
        <v>0</v>
      </c>
      <c r="BD535" s="3298">
        <f t="shared" si="309"/>
        <v>0</v>
      </c>
      <c r="BE535" s="3298">
        <f t="shared" si="310"/>
        <v>0</v>
      </c>
      <c r="BF535" s="3298">
        <f t="shared" si="311"/>
        <v>0</v>
      </c>
      <c r="BG535" s="3298">
        <f t="shared" si="312"/>
        <v>0</v>
      </c>
      <c r="BH535" s="3298">
        <f t="shared" si="313"/>
        <v>0</v>
      </c>
      <c r="BI535" s="3298">
        <f t="shared" si="314"/>
        <v>0</v>
      </c>
      <c r="BJ535" s="3298">
        <f t="shared" si="315"/>
        <v>0</v>
      </c>
      <c r="BK535" s="3298">
        <f t="shared" si="316"/>
        <v>0</v>
      </c>
      <c r="BL535" s="3298">
        <f t="shared" si="317"/>
        <v>0</v>
      </c>
      <c r="BM535" s="3298">
        <f t="shared" si="318"/>
        <v>0</v>
      </c>
      <c r="BN535" s="3298">
        <f t="shared" si="319"/>
        <v>0</v>
      </c>
      <c r="BO535" s="3298">
        <f t="shared" si="320"/>
        <v>0</v>
      </c>
      <c r="BP535" s="3298">
        <f t="shared" si="321"/>
        <v>0</v>
      </c>
      <c r="BQ535" s="3298">
        <f t="shared" si="322"/>
        <v>0</v>
      </c>
      <c r="BR535" s="3298">
        <f t="shared" si="323"/>
        <v>0</v>
      </c>
      <c r="BS535" s="3298">
        <f t="shared" si="324"/>
        <v>0</v>
      </c>
      <c r="BT535" s="3350">
        <f t="shared" si="325"/>
        <v>0</v>
      </c>
    </row>
    <row r="536" spans="1:72">
      <c r="A536" s="1407"/>
      <c r="B536" s="3296"/>
      <c r="C536" s="3296"/>
      <c r="D536" s="3297"/>
      <c r="E536" s="3298">
        <f t="shared" si="297"/>
        <v>0</v>
      </c>
      <c r="F536" s="3299"/>
      <c r="G536" s="3300">
        <f t="shared" si="301"/>
        <v>0</v>
      </c>
      <c r="H536" s="3301">
        <f t="shared" si="302"/>
        <v>0</v>
      </c>
      <c r="I536" s="3308"/>
      <c r="J536" s="3308"/>
      <c r="K536" s="3308"/>
      <c r="L536" s="3308"/>
      <c r="M536" s="3308"/>
      <c r="N536" s="3308"/>
      <c r="O536" s="3308"/>
      <c r="P536" s="3308"/>
      <c r="Q536" s="3308"/>
      <c r="R536" s="3308"/>
      <c r="S536" s="3308"/>
      <c r="T536" s="3308"/>
      <c r="U536" s="3308"/>
      <c r="V536" s="3308"/>
      <c r="W536" s="3308"/>
      <c r="X536" s="3308"/>
      <c r="Y536" s="3308"/>
      <c r="Z536" s="3308"/>
      <c r="AA536" s="3308"/>
      <c r="AB536" s="3308"/>
      <c r="AC536" s="3298">
        <f t="shared" si="303"/>
        <v>0</v>
      </c>
      <c r="AD536" s="3318"/>
      <c r="AE536" s="3318"/>
      <c r="AF536" s="3318"/>
      <c r="AG536" s="3318"/>
      <c r="AH536" s="3318"/>
      <c r="AI536" s="3318"/>
      <c r="AJ536" s="3318"/>
      <c r="AK536" s="3318"/>
      <c r="AL536" s="3318"/>
      <c r="AM536" s="3318"/>
      <c r="AN536" s="3318"/>
      <c r="AO536" s="3318"/>
      <c r="AP536" s="3318"/>
      <c r="AQ536" s="3318"/>
      <c r="AR536" s="3318"/>
      <c r="AS536" s="3318"/>
      <c r="AT536" s="3328"/>
      <c r="AU536" s="3329"/>
      <c r="AV536" s="963">
        <f t="shared" si="298"/>
        <v>0</v>
      </c>
      <c r="AW536" s="963">
        <f t="shared" si="299"/>
        <v>0</v>
      </c>
      <c r="AX536" s="963">
        <f t="shared" si="300"/>
        <v>0</v>
      </c>
      <c r="AY536" s="3343">
        <f t="shared" si="304"/>
        <v>0</v>
      </c>
      <c r="AZ536" s="3298">
        <f t="shared" si="305"/>
        <v>0</v>
      </c>
      <c r="BA536" s="3298">
        <f t="shared" si="306"/>
        <v>0</v>
      </c>
      <c r="BB536" s="3298">
        <f t="shared" si="307"/>
        <v>0</v>
      </c>
      <c r="BC536" s="3298">
        <f t="shared" si="308"/>
        <v>0</v>
      </c>
      <c r="BD536" s="3298">
        <f t="shared" si="309"/>
        <v>0</v>
      </c>
      <c r="BE536" s="3298">
        <f t="shared" si="310"/>
        <v>0</v>
      </c>
      <c r="BF536" s="3298">
        <f t="shared" si="311"/>
        <v>0</v>
      </c>
      <c r="BG536" s="3298">
        <f t="shared" si="312"/>
        <v>0</v>
      </c>
      <c r="BH536" s="3298">
        <f t="shared" si="313"/>
        <v>0</v>
      </c>
      <c r="BI536" s="3298">
        <f t="shared" si="314"/>
        <v>0</v>
      </c>
      <c r="BJ536" s="3298">
        <f t="shared" si="315"/>
        <v>0</v>
      </c>
      <c r="BK536" s="3298">
        <f t="shared" si="316"/>
        <v>0</v>
      </c>
      <c r="BL536" s="3298">
        <f t="shared" si="317"/>
        <v>0</v>
      </c>
      <c r="BM536" s="3298">
        <f t="shared" si="318"/>
        <v>0</v>
      </c>
      <c r="BN536" s="3298">
        <f t="shared" si="319"/>
        <v>0</v>
      </c>
      <c r="BO536" s="3298">
        <f t="shared" si="320"/>
        <v>0</v>
      </c>
      <c r="BP536" s="3298">
        <f t="shared" si="321"/>
        <v>0</v>
      </c>
      <c r="BQ536" s="3298">
        <f t="shared" si="322"/>
        <v>0</v>
      </c>
      <c r="BR536" s="3298">
        <f t="shared" si="323"/>
        <v>0</v>
      </c>
      <c r="BS536" s="3298">
        <f t="shared" si="324"/>
        <v>0</v>
      </c>
      <c r="BT536" s="3350">
        <f t="shared" si="325"/>
        <v>0</v>
      </c>
    </row>
    <row r="537" spans="1:72">
      <c r="A537" s="1407"/>
      <c r="B537" s="3296"/>
      <c r="C537" s="3296"/>
      <c r="D537" s="3297"/>
      <c r="E537" s="3298">
        <f t="shared" si="297"/>
        <v>0</v>
      </c>
      <c r="F537" s="3299"/>
      <c r="G537" s="3300">
        <f t="shared" si="301"/>
        <v>0</v>
      </c>
      <c r="H537" s="3301">
        <f t="shared" si="302"/>
        <v>0</v>
      </c>
      <c r="I537" s="3308"/>
      <c r="J537" s="3308"/>
      <c r="K537" s="3308"/>
      <c r="L537" s="3308"/>
      <c r="M537" s="3308"/>
      <c r="N537" s="3308"/>
      <c r="O537" s="3308"/>
      <c r="P537" s="3308"/>
      <c r="Q537" s="3308"/>
      <c r="R537" s="3308"/>
      <c r="S537" s="3308"/>
      <c r="T537" s="3308"/>
      <c r="U537" s="3308"/>
      <c r="V537" s="3308"/>
      <c r="W537" s="3308"/>
      <c r="X537" s="3308"/>
      <c r="Y537" s="3308"/>
      <c r="Z537" s="3308"/>
      <c r="AA537" s="3308"/>
      <c r="AB537" s="3308"/>
      <c r="AC537" s="3298">
        <f t="shared" si="303"/>
        <v>0</v>
      </c>
      <c r="AD537" s="3318"/>
      <c r="AE537" s="3318"/>
      <c r="AF537" s="3318"/>
      <c r="AG537" s="3318"/>
      <c r="AH537" s="3318"/>
      <c r="AI537" s="3318"/>
      <c r="AJ537" s="3318"/>
      <c r="AK537" s="3318"/>
      <c r="AL537" s="3318"/>
      <c r="AM537" s="3318"/>
      <c r="AN537" s="3318"/>
      <c r="AO537" s="3318"/>
      <c r="AP537" s="3318"/>
      <c r="AQ537" s="3318"/>
      <c r="AR537" s="3318"/>
      <c r="AS537" s="3318"/>
      <c r="AT537" s="3328"/>
      <c r="AU537" s="3329"/>
      <c r="AV537" s="963">
        <f t="shared" si="298"/>
        <v>0</v>
      </c>
      <c r="AW537" s="963">
        <f t="shared" si="299"/>
        <v>0</v>
      </c>
      <c r="AX537" s="963">
        <f t="shared" si="300"/>
        <v>0</v>
      </c>
      <c r="AY537" s="3343">
        <f t="shared" si="304"/>
        <v>0</v>
      </c>
      <c r="AZ537" s="3298">
        <f t="shared" si="305"/>
        <v>0</v>
      </c>
      <c r="BA537" s="3298">
        <f t="shared" si="306"/>
        <v>0</v>
      </c>
      <c r="BB537" s="3298">
        <f t="shared" si="307"/>
        <v>0</v>
      </c>
      <c r="BC537" s="3298">
        <f t="shared" si="308"/>
        <v>0</v>
      </c>
      <c r="BD537" s="3298">
        <f t="shared" si="309"/>
        <v>0</v>
      </c>
      <c r="BE537" s="3298">
        <f t="shared" si="310"/>
        <v>0</v>
      </c>
      <c r="BF537" s="3298">
        <f t="shared" si="311"/>
        <v>0</v>
      </c>
      <c r="BG537" s="3298">
        <f t="shared" si="312"/>
        <v>0</v>
      </c>
      <c r="BH537" s="3298">
        <f t="shared" si="313"/>
        <v>0</v>
      </c>
      <c r="BI537" s="3298">
        <f t="shared" si="314"/>
        <v>0</v>
      </c>
      <c r="BJ537" s="3298">
        <f t="shared" si="315"/>
        <v>0</v>
      </c>
      <c r="BK537" s="3298">
        <f t="shared" si="316"/>
        <v>0</v>
      </c>
      <c r="BL537" s="3298">
        <f t="shared" si="317"/>
        <v>0</v>
      </c>
      <c r="BM537" s="3298">
        <f t="shared" si="318"/>
        <v>0</v>
      </c>
      <c r="BN537" s="3298">
        <f t="shared" si="319"/>
        <v>0</v>
      </c>
      <c r="BO537" s="3298">
        <f t="shared" si="320"/>
        <v>0</v>
      </c>
      <c r="BP537" s="3298">
        <f t="shared" si="321"/>
        <v>0</v>
      </c>
      <c r="BQ537" s="3298">
        <f t="shared" si="322"/>
        <v>0</v>
      </c>
      <c r="BR537" s="3298">
        <f t="shared" si="323"/>
        <v>0</v>
      </c>
      <c r="BS537" s="3298">
        <f t="shared" si="324"/>
        <v>0</v>
      </c>
      <c r="BT537" s="3350">
        <f t="shared" si="325"/>
        <v>0</v>
      </c>
    </row>
    <row r="538" spans="1:72">
      <c r="A538" s="1407"/>
      <c r="B538" s="3296"/>
      <c r="C538" s="3296"/>
      <c r="D538" s="3297"/>
      <c r="E538" s="3298">
        <f t="shared" si="297"/>
        <v>0</v>
      </c>
      <c r="F538" s="3299"/>
      <c r="G538" s="3300">
        <f t="shared" si="301"/>
        <v>0</v>
      </c>
      <c r="H538" s="3301">
        <f t="shared" si="302"/>
        <v>0</v>
      </c>
      <c r="I538" s="3308"/>
      <c r="J538" s="3308"/>
      <c r="K538" s="3308"/>
      <c r="L538" s="3308"/>
      <c r="M538" s="3308"/>
      <c r="N538" s="3308"/>
      <c r="O538" s="3308"/>
      <c r="P538" s="3308"/>
      <c r="Q538" s="3308"/>
      <c r="R538" s="3308"/>
      <c r="S538" s="3308"/>
      <c r="T538" s="3308"/>
      <c r="U538" s="3308"/>
      <c r="V538" s="3308"/>
      <c r="W538" s="3308"/>
      <c r="X538" s="3308"/>
      <c r="Y538" s="3308"/>
      <c r="Z538" s="3308"/>
      <c r="AA538" s="3308"/>
      <c r="AB538" s="3308"/>
      <c r="AC538" s="3298">
        <f t="shared" si="303"/>
        <v>0</v>
      </c>
      <c r="AD538" s="3318"/>
      <c r="AE538" s="3318"/>
      <c r="AF538" s="3318"/>
      <c r="AG538" s="3318"/>
      <c r="AH538" s="3318"/>
      <c r="AI538" s="3318"/>
      <c r="AJ538" s="3318"/>
      <c r="AK538" s="3318"/>
      <c r="AL538" s="3318"/>
      <c r="AM538" s="3318"/>
      <c r="AN538" s="3318"/>
      <c r="AO538" s="3318"/>
      <c r="AP538" s="3318"/>
      <c r="AQ538" s="3318"/>
      <c r="AR538" s="3318"/>
      <c r="AS538" s="3318"/>
      <c r="AT538" s="3328"/>
      <c r="AU538" s="3329"/>
      <c r="AV538" s="963">
        <f t="shared" si="298"/>
        <v>0</v>
      </c>
      <c r="AW538" s="963">
        <f t="shared" si="299"/>
        <v>0</v>
      </c>
      <c r="AX538" s="963">
        <f t="shared" si="300"/>
        <v>0</v>
      </c>
      <c r="AY538" s="3343">
        <f t="shared" si="304"/>
        <v>0</v>
      </c>
      <c r="AZ538" s="3298">
        <f t="shared" si="305"/>
        <v>0</v>
      </c>
      <c r="BA538" s="3298">
        <f t="shared" si="306"/>
        <v>0</v>
      </c>
      <c r="BB538" s="3298">
        <f t="shared" si="307"/>
        <v>0</v>
      </c>
      <c r="BC538" s="3298">
        <f t="shared" si="308"/>
        <v>0</v>
      </c>
      <c r="BD538" s="3298">
        <f t="shared" si="309"/>
        <v>0</v>
      </c>
      <c r="BE538" s="3298">
        <f t="shared" si="310"/>
        <v>0</v>
      </c>
      <c r="BF538" s="3298">
        <f t="shared" si="311"/>
        <v>0</v>
      </c>
      <c r="BG538" s="3298">
        <f t="shared" si="312"/>
        <v>0</v>
      </c>
      <c r="BH538" s="3298">
        <f t="shared" si="313"/>
        <v>0</v>
      </c>
      <c r="BI538" s="3298">
        <f t="shared" si="314"/>
        <v>0</v>
      </c>
      <c r="BJ538" s="3298">
        <f t="shared" si="315"/>
        <v>0</v>
      </c>
      <c r="BK538" s="3298">
        <f t="shared" si="316"/>
        <v>0</v>
      </c>
      <c r="BL538" s="3298">
        <f t="shared" si="317"/>
        <v>0</v>
      </c>
      <c r="BM538" s="3298">
        <f t="shared" si="318"/>
        <v>0</v>
      </c>
      <c r="BN538" s="3298">
        <f t="shared" si="319"/>
        <v>0</v>
      </c>
      <c r="BO538" s="3298">
        <f t="shared" si="320"/>
        <v>0</v>
      </c>
      <c r="BP538" s="3298">
        <f t="shared" si="321"/>
        <v>0</v>
      </c>
      <c r="BQ538" s="3298">
        <f t="shared" si="322"/>
        <v>0</v>
      </c>
      <c r="BR538" s="3298">
        <f t="shared" si="323"/>
        <v>0</v>
      </c>
      <c r="BS538" s="3298">
        <f t="shared" si="324"/>
        <v>0</v>
      </c>
      <c r="BT538" s="3350">
        <f t="shared" si="325"/>
        <v>0</v>
      </c>
    </row>
    <row r="539" spans="1:72">
      <c r="A539" s="1407"/>
      <c r="B539" s="3296"/>
      <c r="C539" s="3296"/>
      <c r="D539" s="3297"/>
      <c r="E539" s="3298">
        <f t="shared" si="297"/>
        <v>0</v>
      </c>
      <c r="F539" s="3299"/>
      <c r="G539" s="3300">
        <f t="shared" si="301"/>
        <v>0</v>
      </c>
      <c r="H539" s="3301">
        <f t="shared" si="302"/>
        <v>0</v>
      </c>
      <c r="I539" s="3308"/>
      <c r="J539" s="3308"/>
      <c r="K539" s="3308"/>
      <c r="L539" s="3308"/>
      <c r="M539" s="3308"/>
      <c r="N539" s="3308"/>
      <c r="O539" s="3308"/>
      <c r="P539" s="3308"/>
      <c r="Q539" s="3308"/>
      <c r="R539" s="3308"/>
      <c r="S539" s="3308"/>
      <c r="T539" s="3308"/>
      <c r="U539" s="3308"/>
      <c r="V539" s="3308"/>
      <c r="W539" s="3308"/>
      <c r="X539" s="3308"/>
      <c r="Y539" s="3308"/>
      <c r="Z539" s="3308"/>
      <c r="AA539" s="3308"/>
      <c r="AB539" s="3308"/>
      <c r="AC539" s="3298">
        <f t="shared" si="303"/>
        <v>0</v>
      </c>
      <c r="AD539" s="3318"/>
      <c r="AE539" s="3318"/>
      <c r="AF539" s="3318"/>
      <c r="AG539" s="3318"/>
      <c r="AH539" s="3318"/>
      <c r="AI539" s="3318"/>
      <c r="AJ539" s="3318"/>
      <c r="AK539" s="3318"/>
      <c r="AL539" s="3318"/>
      <c r="AM539" s="3318"/>
      <c r="AN539" s="3318"/>
      <c r="AO539" s="3318"/>
      <c r="AP539" s="3318"/>
      <c r="AQ539" s="3318"/>
      <c r="AR539" s="3318"/>
      <c r="AS539" s="3318"/>
      <c r="AT539" s="3328"/>
      <c r="AU539" s="3329"/>
      <c r="AV539" s="963">
        <f t="shared" si="298"/>
        <v>0</v>
      </c>
      <c r="AW539" s="963">
        <f t="shared" si="299"/>
        <v>0</v>
      </c>
      <c r="AX539" s="963">
        <f t="shared" si="300"/>
        <v>0</v>
      </c>
      <c r="AY539" s="3343">
        <f t="shared" si="304"/>
        <v>0</v>
      </c>
      <c r="AZ539" s="3298">
        <f t="shared" si="305"/>
        <v>0</v>
      </c>
      <c r="BA539" s="3298">
        <f t="shared" si="306"/>
        <v>0</v>
      </c>
      <c r="BB539" s="3298">
        <f t="shared" si="307"/>
        <v>0</v>
      </c>
      <c r="BC539" s="3298">
        <f t="shared" si="308"/>
        <v>0</v>
      </c>
      <c r="BD539" s="3298">
        <f t="shared" si="309"/>
        <v>0</v>
      </c>
      <c r="BE539" s="3298">
        <f t="shared" si="310"/>
        <v>0</v>
      </c>
      <c r="BF539" s="3298">
        <f t="shared" si="311"/>
        <v>0</v>
      </c>
      <c r="BG539" s="3298">
        <f t="shared" si="312"/>
        <v>0</v>
      </c>
      <c r="BH539" s="3298">
        <f t="shared" si="313"/>
        <v>0</v>
      </c>
      <c r="BI539" s="3298">
        <f t="shared" si="314"/>
        <v>0</v>
      </c>
      <c r="BJ539" s="3298">
        <f t="shared" si="315"/>
        <v>0</v>
      </c>
      <c r="BK539" s="3298">
        <f t="shared" si="316"/>
        <v>0</v>
      </c>
      <c r="BL539" s="3298">
        <f t="shared" si="317"/>
        <v>0</v>
      </c>
      <c r="BM539" s="3298">
        <f t="shared" si="318"/>
        <v>0</v>
      </c>
      <c r="BN539" s="3298">
        <f t="shared" si="319"/>
        <v>0</v>
      </c>
      <c r="BO539" s="3298">
        <f t="shared" si="320"/>
        <v>0</v>
      </c>
      <c r="BP539" s="3298">
        <f t="shared" si="321"/>
        <v>0</v>
      </c>
      <c r="BQ539" s="3298">
        <f t="shared" si="322"/>
        <v>0</v>
      </c>
      <c r="BR539" s="3298">
        <f t="shared" si="323"/>
        <v>0</v>
      </c>
      <c r="BS539" s="3298">
        <f t="shared" si="324"/>
        <v>0</v>
      </c>
      <c r="BT539" s="3350">
        <f t="shared" si="325"/>
        <v>0</v>
      </c>
    </row>
    <row r="540" spans="1:72">
      <c r="A540" s="1407"/>
      <c r="B540" s="3296"/>
      <c r="C540" s="3296"/>
      <c r="D540" s="3297"/>
      <c r="E540" s="3298">
        <f t="shared" si="297"/>
        <v>0</v>
      </c>
      <c r="F540" s="3299"/>
      <c r="G540" s="3300">
        <f t="shared" si="301"/>
        <v>0</v>
      </c>
      <c r="H540" s="3301">
        <f t="shared" si="302"/>
        <v>0</v>
      </c>
      <c r="I540" s="3308"/>
      <c r="J540" s="3308"/>
      <c r="K540" s="3308"/>
      <c r="L540" s="3308"/>
      <c r="M540" s="3308"/>
      <c r="N540" s="3308"/>
      <c r="O540" s="3308"/>
      <c r="P540" s="3308"/>
      <c r="Q540" s="3308"/>
      <c r="R540" s="3308"/>
      <c r="S540" s="3308"/>
      <c r="T540" s="3308"/>
      <c r="U540" s="3308"/>
      <c r="V540" s="3308"/>
      <c r="W540" s="3308"/>
      <c r="X540" s="3308"/>
      <c r="Y540" s="3308"/>
      <c r="Z540" s="3308"/>
      <c r="AA540" s="3308"/>
      <c r="AB540" s="3308"/>
      <c r="AC540" s="3298">
        <f t="shared" si="303"/>
        <v>0</v>
      </c>
      <c r="AD540" s="3318"/>
      <c r="AE540" s="3318"/>
      <c r="AF540" s="3318"/>
      <c r="AG540" s="3318"/>
      <c r="AH540" s="3318"/>
      <c r="AI540" s="3318"/>
      <c r="AJ540" s="3318"/>
      <c r="AK540" s="3318"/>
      <c r="AL540" s="3318"/>
      <c r="AM540" s="3318"/>
      <c r="AN540" s="3318"/>
      <c r="AO540" s="3318"/>
      <c r="AP540" s="3318"/>
      <c r="AQ540" s="3318"/>
      <c r="AR540" s="3318"/>
      <c r="AS540" s="3318"/>
      <c r="AT540" s="3328"/>
      <c r="AU540" s="3329"/>
      <c r="AV540" s="963">
        <f t="shared" si="298"/>
        <v>0</v>
      </c>
      <c r="AW540" s="963">
        <f t="shared" si="299"/>
        <v>0</v>
      </c>
      <c r="AX540" s="963">
        <f t="shared" si="300"/>
        <v>0</v>
      </c>
      <c r="AY540" s="3343">
        <f t="shared" si="304"/>
        <v>0</v>
      </c>
      <c r="AZ540" s="3298">
        <f t="shared" si="305"/>
        <v>0</v>
      </c>
      <c r="BA540" s="3298">
        <f t="shared" si="306"/>
        <v>0</v>
      </c>
      <c r="BB540" s="3298">
        <f t="shared" si="307"/>
        <v>0</v>
      </c>
      <c r="BC540" s="3298">
        <f t="shared" si="308"/>
        <v>0</v>
      </c>
      <c r="BD540" s="3298">
        <f t="shared" si="309"/>
        <v>0</v>
      </c>
      <c r="BE540" s="3298">
        <f t="shared" si="310"/>
        <v>0</v>
      </c>
      <c r="BF540" s="3298">
        <f t="shared" si="311"/>
        <v>0</v>
      </c>
      <c r="BG540" s="3298">
        <f t="shared" si="312"/>
        <v>0</v>
      </c>
      <c r="BH540" s="3298">
        <f t="shared" si="313"/>
        <v>0</v>
      </c>
      <c r="BI540" s="3298">
        <f t="shared" si="314"/>
        <v>0</v>
      </c>
      <c r="BJ540" s="3298">
        <f t="shared" si="315"/>
        <v>0</v>
      </c>
      <c r="BK540" s="3298">
        <f t="shared" si="316"/>
        <v>0</v>
      </c>
      <c r="BL540" s="3298">
        <f t="shared" si="317"/>
        <v>0</v>
      </c>
      <c r="BM540" s="3298">
        <f t="shared" si="318"/>
        <v>0</v>
      </c>
      <c r="BN540" s="3298">
        <f t="shared" si="319"/>
        <v>0</v>
      </c>
      <c r="BO540" s="3298">
        <f t="shared" si="320"/>
        <v>0</v>
      </c>
      <c r="BP540" s="3298">
        <f t="shared" si="321"/>
        <v>0</v>
      </c>
      <c r="BQ540" s="3298">
        <f t="shared" si="322"/>
        <v>0</v>
      </c>
      <c r="BR540" s="3298">
        <f t="shared" si="323"/>
        <v>0</v>
      </c>
      <c r="BS540" s="3298">
        <f t="shared" si="324"/>
        <v>0</v>
      </c>
      <c r="BT540" s="3350">
        <f t="shared" si="325"/>
        <v>0</v>
      </c>
    </row>
    <row r="541" spans="1:72">
      <c r="A541" s="1407"/>
      <c r="B541" s="3296"/>
      <c r="C541" s="3296"/>
      <c r="D541" s="3297"/>
      <c r="E541" s="3298">
        <f t="shared" si="297"/>
        <v>0</v>
      </c>
      <c r="F541" s="3299"/>
      <c r="G541" s="3300">
        <f t="shared" si="301"/>
        <v>0</v>
      </c>
      <c r="H541" s="3301">
        <f t="shared" si="302"/>
        <v>0</v>
      </c>
      <c r="I541" s="3308"/>
      <c r="J541" s="3308"/>
      <c r="K541" s="3308"/>
      <c r="L541" s="3308"/>
      <c r="M541" s="3308"/>
      <c r="N541" s="3308"/>
      <c r="O541" s="3308"/>
      <c r="P541" s="3308"/>
      <c r="Q541" s="3308"/>
      <c r="R541" s="3308"/>
      <c r="S541" s="3308"/>
      <c r="T541" s="3308"/>
      <c r="U541" s="3308"/>
      <c r="V541" s="3308"/>
      <c r="W541" s="3308"/>
      <c r="X541" s="3308"/>
      <c r="Y541" s="3308"/>
      <c r="Z541" s="3308"/>
      <c r="AA541" s="3308"/>
      <c r="AB541" s="3308"/>
      <c r="AC541" s="3298">
        <f t="shared" si="303"/>
        <v>0</v>
      </c>
      <c r="AD541" s="3318"/>
      <c r="AE541" s="3318"/>
      <c r="AF541" s="3318"/>
      <c r="AG541" s="3318"/>
      <c r="AH541" s="3318"/>
      <c r="AI541" s="3318"/>
      <c r="AJ541" s="3318"/>
      <c r="AK541" s="3318"/>
      <c r="AL541" s="3318"/>
      <c r="AM541" s="3318"/>
      <c r="AN541" s="3318"/>
      <c r="AO541" s="3318"/>
      <c r="AP541" s="3318"/>
      <c r="AQ541" s="3318"/>
      <c r="AR541" s="3318"/>
      <c r="AS541" s="3318"/>
      <c r="AT541" s="3328"/>
      <c r="AU541" s="3329"/>
      <c r="AV541" s="963">
        <f t="shared" si="298"/>
        <v>0</v>
      </c>
      <c r="AW541" s="963">
        <f t="shared" si="299"/>
        <v>0</v>
      </c>
      <c r="AX541" s="963">
        <f t="shared" si="300"/>
        <v>0</v>
      </c>
      <c r="AY541" s="3343">
        <f t="shared" si="304"/>
        <v>0</v>
      </c>
      <c r="AZ541" s="3298">
        <f t="shared" si="305"/>
        <v>0</v>
      </c>
      <c r="BA541" s="3298">
        <f t="shared" si="306"/>
        <v>0</v>
      </c>
      <c r="BB541" s="3298">
        <f t="shared" si="307"/>
        <v>0</v>
      </c>
      <c r="BC541" s="3298">
        <f t="shared" si="308"/>
        <v>0</v>
      </c>
      <c r="BD541" s="3298">
        <f t="shared" si="309"/>
        <v>0</v>
      </c>
      <c r="BE541" s="3298">
        <f t="shared" si="310"/>
        <v>0</v>
      </c>
      <c r="BF541" s="3298">
        <f t="shared" si="311"/>
        <v>0</v>
      </c>
      <c r="BG541" s="3298">
        <f t="shared" si="312"/>
        <v>0</v>
      </c>
      <c r="BH541" s="3298">
        <f t="shared" si="313"/>
        <v>0</v>
      </c>
      <c r="BI541" s="3298">
        <f t="shared" si="314"/>
        <v>0</v>
      </c>
      <c r="BJ541" s="3298">
        <f t="shared" si="315"/>
        <v>0</v>
      </c>
      <c r="BK541" s="3298">
        <f t="shared" si="316"/>
        <v>0</v>
      </c>
      <c r="BL541" s="3298">
        <f t="shared" si="317"/>
        <v>0</v>
      </c>
      <c r="BM541" s="3298">
        <f t="shared" si="318"/>
        <v>0</v>
      </c>
      <c r="BN541" s="3298">
        <f t="shared" si="319"/>
        <v>0</v>
      </c>
      <c r="BO541" s="3298">
        <f t="shared" si="320"/>
        <v>0</v>
      </c>
      <c r="BP541" s="3298">
        <f t="shared" si="321"/>
        <v>0</v>
      </c>
      <c r="BQ541" s="3298">
        <f t="shared" si="322"/>
        <v>0</v>
      </c>
      <c r="BR541" s="3298">
        <f t="shared" si="323"/>
        <v>0</v>
      </c>
      <c r="BS541" s="3298">
        <f t="shared" si="324"/>
        <v>0</v>
      </c>
      <c r="BT541" s="3350">
        <f t="shared" si="325"/>
        <v>0</v>
      </c>
    </row>
    <row r="542" spans="1:72">
      <c r="A542" s="1407"/>
      <c r="B542" s="3296"/>
      <c r="C542" s="3296"/>
      <c r="D542" s="3297"/>
      <c r="E542" s="3298">
        <f t="shared" si="297"/>
        <v>0</v>
      </c>
      <c r="F542" s="3299"/>
      <c r="G542" s="3300">
        <f t="shared" si="301"/>
        <v>0</v>
      </c>
      <c r="H542" s="3301">
        <f t="shared" si="302"/>
        <v>0</v>
      </c>
      <c r="I542" s="3308"/>
      <c r="J542" s="3308"/>
      <c r="K542" s="3308"/>
      <c r="L542" s="3308"/>
      <c r="M542" s="3308"/>
      <c r="N542" s="3308"/>
      <c r="O542" s="3308"/>
      <c r="P542" s="3308"/>
      <c r="Q542" s="3308"/>
      <c r="R542" s="3308"/>
      <c r="S542" s="3308"/>
      <c r="T542" s="3308"/>
      <c r="U542" s="3308"/>
      <c r="V542" s="3308"/>
      <c r="W542" s="3308"/>
      <c r="X542" s="3308"/>
      <c r="Y542" s="3308"/>
      <c r="Z542" s="3308"/>
      <c r="AA542" s="3308"/>
      <c r="AB542" s="3308"/>
      <c r="AC542" s="3298">
        <f t="shared" si="303"/>
        <v>0</v>
      </c>
      <c r="AD542" s="3318"/>
      <c r="AE542" s="3318"/>
      <c r="AF542" s="3318"/>
      <c r="AG542" s="3318"/>
      <c r="AH542" s="3318"/>
      <c r="AI542" s="3318"/>
      <c r="AJ542" s="3318"/>
      <c r="AK542" s="3318"/>
      <c r="AL542" s="3318"/>
      <c r="AM542" s="3318"/>
      <c r="AN542" s="3318"/>
      <c r="AO542" s="3318"/>
      <c r="AP542" s="3318"/>
      <c r="AQ542" s="3318"/>
      <c r="AR542" s="3318"/>
      <c r="AS542" s="3318"/>
      <c r="AT542" s="3328"/>
      <c r="AU542" s="3329"/>
      <c r="AV542" s="963">
        <f t="shared" si="298"/>
        <v>0</v>
      </c>
      <c r="AW542" s="963">
        <f t="shared" si="299"/>
        <v>0</v>
      </c>
      <c r="AX542" s="963">
        <f t="shared" si="300"/>
        <v>0</v>
      </c>
      <c r="AY542" s="3343">
        <f t="shared" si="304"/>
        <v>0</v>
      </c>
      <c r="AZ542" s="3298">
        <f t="shared" si="305"/>
        <v>0</v>
      </c>
      <c r="BA542" s="3298">
        <f t="shared" si="306"/>
        <v>0</v>
      </c>
      <c r="BB542" s="3298">
        <f t="shared" si="307"/>
        <v>0</v>
      </c>
      <c r="BC542" s="3298">
        <f t="shared" si="308"/>
        <v>0</v>
      </c>
      <c r="BD542" s="3298">
        <f t="shared" si="309"/>
        <v>0</v>
      </c>
      <c r="BE542" s="3298">
        <f t="shared" si="310"/>
        <v>0</v>
      </c>
      <c r="BF542" s="3298">
        <f t="shared" si="311"/>
        <v>0</v>
      </c>
      <c r="BG542" s="3298">
        <f t="shared" si="312"/>
        <v>0</v>
      </c>
      <c r="BH542" s="3298">
        <f t="shared" si="313"/>
        <v>0</v>
      </c>
      <c r="BI542" s="3298">
        <f t="shared" si="314"/>
        <v>0</v>
      </c>
      <c r="BJ542" s="3298">
        <f t="shared" si="315"/>
        <v>0</v>
      </c>
      <c r="BK542" s="3298">
        <f t="shared" si="316"/>
        <v>0</v>
      </c>
      <c r="BL542" s="3298">
        <f t="shared" si="317"/>
        <v>0</v>
      </c>
      <c r="BM542" s="3298">
        <f t="shared" si="318"/>
        <v>0</v>
      </c>
      <c r="BN542" s="3298">
        <f t="shared" si="319"/>
        <v>0</v>
      </c>
      <c r="BO542" s="3298">
        <f t="shared" si="320"/>
        <v>0</v>
      </c>
      <c r="BP542" s="3298">
        <f t="shared" si="321"/>
        <v>0</v>
      </c>
      <c r="BQ542" s="3298">
        <f t="shared" si="322"/>
        <v>0</v>
      </c>
      <c r="BR542" s="3298">
        <f t="shared" si="323"/>
        <v>0</v>
      </c>
      <c r="BS542" s="3298">
        <f t="shared" si="324"/>
        <v>0</v>
      </c>
      <c r="BT542" s="3350">
        <f t="shared" si="325"/>
        <v>0</v>
      </c>
    </row>
    <row r="543" spans="1:72">
      <c r="A543" s="1407"/>
      <c r="B543" s="3296"/>
      <c r="C543" s="3296"/>
      <c r="D543" s="3297"/>
      <c r="E543" s="3298">
        <f t="shared" si="297"/>
        <v>0</v>
      </c>
      <c r="F543" s="3299"/>
      <c r="G543" s="3300">
        <f t="shared" si="301"/>
        <v>0</v>
      </c>
      <c r="H543" s="3301">
        <f t="shared" si="302"/>
        <v>0</v>
      </c>
      <c r="I543" s="3308"/>
      <c r="J543" s="3308"/>
      <c r="K543" s="3308"/>
      <c r="L543" s="3308"/>
      <c r="M543" s="3308"/>
      <c r="N543" s="3308"/>
      <c r="O543" s="3308"/>
      <c r="P543" s="3308"/>
      <c r="Q543" s="3308"/>
      <c r="R543" s="3308"/>
      <c r="S543" s="3308"/>
      <c r="T543" s="3308"/>
      <c r="U543" s="3308"/>
      <c r="V543" s="3308"/>
      <c r="W543" s="3308"/>
      <c r="X543" s="3308"/>
      <c r="Y543" s="3308"/>
      <c r="Z543" s="3308"/>
      <c r="AA543" s="3308"/>
      <c r="AB543" s="3308"/>
      <c r="AC543" s="3298">
        <f t="shared" si="303"/>
        <v>0</v>
      </c>
      <c r="AD543" s="3318"/>
      <c r="AE543" s="3318"/>
      <c r="AF543" s="3318"/>
      <c r="AG543" s="3318"/>
      <c r="AH543" s="3318"/>
      <c r="AI543" s="3318"/>
      <c r="AJ543" s="3318"/>
      <c r="AK543" s="3318"/>
      <c r="AL543" s="3318"/>
      <c r="AM543" s="3318"/>
      <c r="AN543" s="3318"/>
      <c r="AO543" s="3318"/>
      <c r="AP543" s="3318"/>
      <c r="AQ543" s="3318"/>
      <c r="AR543" s="3318"/>
      <c r="AS543" s="3318"/>
      <c r="AT543" s="3328"/>
      <c r="AU543" s="3329"/>
      <c r="AV543" s="963">
        <f t="shared" si="298"/>
        <v>0</v>
      </c>
      <c r="AW543" s="963">
        <f t="shared" si="299"/>
        <v>0</v>
      </c>
      <c r="AX543" s="963">
        <f t="shared" si="300"/>
        <v>0</v>
      </c>
      <c r="AY543" s="3343">
        <f t="shared" si="304"/>
        <v>0</v>
      </c>
      <c r="AZ543" s="3298">
        <f t="shared" si="305"/>
        <v>0</v>
      </c>
      <c r="BA543" s="3298">
        <f t="shared" si="306"/>
        <v>0</v>
      </c>
      <c r="BB543" s="3298">
        <f t="shared" si="307"/>
        <v>0</v>
      </c>
      <c r="BC543" s="3298">
        <f t="shared" si="308"/>
        <v>0</v>
      </c>
      <c r="BD543" s="3298">
        <f t="shared" si="309"/>
        <v>0</v>
      </c>
      <c r="BE543" s="3298">
        <f t="shared" si="310"/>
        <v>0</v>
      </c>
      <c r="BF543" s="3298">
        <f t="shared" si="311"/>
        <v>0</v>
      </c>
      <c r="BG543" s="3298">
        <f t="shared" si="312"/>
        <v>0</v>
      </c>
      <c r="BH543" s="3298">
        <f t="shared" si="313"/>
        <v>0</v>
      </c>
      <c r="BI543" s="3298">
        <f t="shared" si="314"/>
        <v>0</v>
      </c>
      <c r="BJ543" s="3298">
        <f t="shared" si="315"/>
        <v>0</v>
      </c>
      <c r="BK543" s="3298">
        <f t="shared" si="316"/>
        <v>0</v>
      </c>
      <c r="BL543" s="3298">
        <f t="shared" si="317"/>
        <v>0</v>
      </c>
      <c r="BM543" s="3298">
        <f t="shared" si="318"/>
        <v>0</v>
      </c>
      <c r="BN543" s="3298">
        <f t="shared" si="319"/>
        <v>0</v>
      </c>
      <c r="BO543" s="3298">
        <f t="shared" si="320"/>
        <v>0</v>
      </c>
      <c r="BP543" s="3298">
        <f t="shared" si="321"/>
        <v>0</v>
      </c>
      <c r="BQ543" s="3298">
        <f t="shared" si="322"/>
        <v>0</v>
      </c>
      <c r="BR543" s="3298">
        <f t="shared" si="323"/>
        <v>0</v>
      </c>
      <c r="BS543" s="3298">
        <f t="shared" si="324"/>
        <v>0</v>
      </c>
      <c r="BT543" s="3350">
        <f t="shared" si="325"/>
        <v>0</v>
      </c>
    </row>
    <row r="544" spans="1:72">
      <c r="A544" s="1407"/>
      <c r="B544" s="3296"/>
      <c r="C544" s="3296"/>
      <c r="D544" s="3297"/>
      <c r="E544" s="3298">
        <f t="shared" si="297"/>
        <v>0</v>
      </c>
      <c r="F544" s="3299"/>
      <c r="G544" s="3300">
        <f t="shared" si="301"/>
        <v>0</v>
      </c>
      <c r="H544" s="3301">
        <f t="shared" si="302"/>
        <v>0</v>
      </c>
      <c r="I544" s="3308"/>
      <c r="J544" s="3308"/>
      <c r="K544" s="3308"/>
      <c r="L544" s="3308"/>
      <c r="M544" s="3308"/>
      <c r="N544" s="3308"/>
      <c r="O544" s="3308"/>
      <c r="P544" s="3308"/>
      <c r="Q544" s="3308"/>
      <c r="R544" s="3308"/>
      <c r="S544" s="3308"/>
      <c r="T544" s="3308"/>
      <c r="U544" s="3308"/>
      <c r="V544" s="3308"/>
      <c r="W544" s="3308"/>
      <c r="X544" s="3308"/>
      <c r="Y544" s="3308"/>
      <c r="Z544" s="3308"/>
      <c r="AA544" s="3308"/>
      <c r="AB544" s="3308"/>
      <c r="AC544" s="3298">
        <f t="shared" si="303"/>
        <v>0</v>
      </c>
      <c r="AD544" s="3318"/>
      <c r="AE544" s="3318"/>
      <c r="AF544" s="3318"/>
      <c r="AG544" s="3318"/>
      <c r="AH544" s="3318"/>
      <c r="AI544" s="3318"/>
      <c r="AJ544" s="3318"/>
      <c r="AK544" s="3318"/>
      <c r="AL544" s="3318"/>
      <c r="AM544" s="3318"/>
      <c r="AN544" s="3318"/>
      <c r="AO544" s="3318"/>
      <c r="AP544" s="3318"/>
      <c r="AQ544" s="3318"/>
      <c r="AR544" s="3318"/>
      <c r="AS544" s="3318"/>
      <c r="AT544" s="3328"/>
      <c r="AU544" s="3329"/>
      <c r="AV544" s="963">
        <f t="shared" si="298"/>
        <v>0</v>
      </c>
      <c r="AW544" s="963">
        <f t="shared" si="299"/>
        <v>0</v>
      </c>
      <c r="AX544" s="963">
        <f t="shared" si="300"/>
        <v>0</v>
      </c>
      <c r="AY544" s="3343">
        <f t="shared" si="304"/>
        <v>0</v>
      </c>
      <c r="AZ544" s="3298">
        <f t="shared" si="305"/>
        <v>0</v>
      </c>
      <c r="BA544" s="3298">
        <f t="shared" si="306"/>
        <v>0</v>
      </c>
      <c r="BB544" s="3298">
        <f t="shared" si="307"/>
        <v>0</v>
      </c>
      <c r="BC544" s="3298">
        <f t="shared" si="308"/>
        <v>0</v>
      </c>
      <c r="BD544" s="3298">
        <f t="shared" si="309"/>
        <v>0</v>
      </c>
      <c r="BE544" s="3298">
        <f t="shared" si="310"/>
        <v>0</v>
      </c>
      <c r="BF544" s="3298">
        <f t="shared" si="311"/>
        <v>0</v>
      </c>
      <c r="BG544" s="3298">
        <f t="shared" si="312"/>
        <v>0</v>
      </c>
      <c r="BH544" s="3298">
        <f t="shared" si="313"/>
        <v>0</v>
      </c>
      <c r="BI544" s="3298">
        <f t="shared" si="314"/>
        <v>0</v>
      </c>
      <c r="BJ544" s="3298">
        <f t="shared" si="315"/>
        <v>0</v>
      </c>
      <c r="BK544" s="3298">
        <f t="shared" si="316"/>
        <v>0</v>
      </c>
      <c r="BL544" s="3298">
        <f t="shared" si="317"/>
        <v>0</v>
      </c>
      <c r="BM544" s="3298">
        <f t="shared" si="318"/>
        <v>0</v>
      </c>
      <c r="BN544" s="3298">
        <f t="shared" si="319"/>
        <v>0</v>
      </c>
      <c r="BO544" s="3298">
        <f t="shared" si="320"/>
        <v>0</v>
      </c>
      <c r="BP544" s="3298">
        <f t="shared" si="321"/>
        <v>0</v>
      </c>
      <c r="BQ544" s="3298">
        <f t="shared" si="322"/>
        <v>0</v>
      </c>
      <c r="BR544" s="3298">
        <f t="shared" si="323"/>
        <v>0</v>
      </c>
      <c r="BS544" s="3298">
        <f t="shared" si="324"/>
        <v>0</v>
      </c>
      <c r="BT544" s="3350">
        <f t="shared" si="325"/>
        <v>0</v>
      </c>
    </row>
    <row r="545" spans="1:72">
      <c r="A545" s="1407"/>
      <c r="B545" s="3296"/>
      <c r="C545" s="3296"/>
      <c r="D545" s="3297"/>
      <c r="E545" s="3298">
        <f t="shared" si="297"/>
        <v>0</v>
      </c>
      <c r="F545" s="3299"/>
      <c r="G545" s="3300">
        <f t="shared" si="301"/>
        <v>0</v>
      </c>
      <c r="H545" s="3301">
        <f t="shared" si="302"/>
        <v>0</v>
      </c>
      <c r="I545" s="3308"/>
      <c r="J545" s="3308"/>
      <c r="K545" s="3308"/>
      <c r="L545" s="3308"/>
      <c r="M545" s="3308"/>
      <c r="N545" s="3308"/>
      <c r="O545" s="3308"/>
      <c r="P545" s="3308"/>
      <c r="Q545" s="3308"/>
      <c r="R545" s="3308"/>
      <c r="S545" s="3308"/>
      <c r="T545" s="3308"/>
      <c r="U545" s="3308"/>
      <c r="V545" s="3308"/>
      <c r="W545" s="3308"/>
      <c r="X545" s="3308"/>
      <c r="Y545" s="3308"/>
      <c r="Z545" s="3308"/>
      <c r="AA545" s="3308"/>
      <c r="AB545" s="3308"/>
      <c r="AC545" s="3298">
        <f t="shared" si="303"/>
        <v>0</v>
      </c>
      <c r="AD545" s="3318"/>
      <c r="AE545" s="3318"/>
      <c r="AF545" s="3318"/>
      <c r="AG545" s="3318"/>
      <c r="AH545" s="3318"/>
      <c r="AI545" s="3318"/>
      <c r="AJ545" s="3318"/>
      <c r="AK545" s="3318"/>
      <c r="AL545" s="3318"/>
      <c r="AM545" s="3318"/>
      <c r="AN545" s="3318"/>
      <c r="AO545" s="3318"/>
      <c r="AP545" s="3318"/>
      <c r="AQ545" s="3318"/>
      <c r="AR545" s="3318"/>
      <c r="AS545" s="3318"/>
      <c r="AT545" s="3328"/>
      <c r="AU545" s="3329"/>
      <c r="AV545" s="963">
        <f t="shared" si="298"/>
        <v>0</v>
      </c>
      <c r="AW545" s="963">
        <f t="shared" si="299"/>
        <v>0</v>
      </c>
      <c r="AX545" s="963">
        <f t="shared" si="300"/>
        <v>0</v>
      </c>
      <c r="AY545" s="3343">
        <f t="shared" si="304"/>
        <v>0</v>
      </c>
      <c r="AZ545" s="3298">
        <f t="shared" si="305"/>
        <v>0</v>
      </c>
      <c r="BA545" s="3298">
        <f t="shared" si="306"/>
        <v>0</v>
      </c>
      <c r="BB545" s="3298">
        <f t="shared" si="307"/>
        <v>0</v>
      </c>
      <c r="BC545" s="3298">
        <f t="shared" si="308"/>
        <v>0</v>
      </c>
      <c r="BD545" s="3298">
        <f t="shared" si="309"/>
        <v>0</v>
      </c>
      <c r="BE545" s="3298">
        <f t="shared" si="310"/>
        <v>0</v>
      </c>
      <c r="BF545" s="3298">
        <f t="shared" si="311"/>
        <v>0</v>
      </c>
      <c r="BG545" s="3298">
        <f t="shared" si="312"/>
        <v>0</v>
      </c>
      <c r="BH545" s="3298">
        <f t="shared" si="313"/>
        <v>0</v>
      </c>
      <c r="BI545" s="3298">
        <f t="shared" si="314"/>
        <v>0</v>
      </c>
      <c r="BJ545" s="3298">
        <f t="shared" si="315"/>
        <v>0</v>
      </c>
      <c r="BK545" s="3298">
        <f t="shared" si="316"/>
        <v>0</v>
      </c>
      <c r="BL545" s="3298">
        <f t="shared" si="317"/>
        <v>0</v>
      </c>
      <c r="BM545" s="3298">
        <f t="shared" si="318"/>
        <v>0</v>
      </c>
      <c r="BN545" s="3298">
        <f t="shared" si="319"/>
        <v>0</v>
      </c>
      <c r="BO545" s="3298">
        <f t="shared" si="320"/>
        <v>0</v>
      </c>
      <c r="BP545" s="3298">
        <f t="shared" si="321"/>
        <v>0</v>
      </c>
      <c r="BQ545" s="3298">
        <f t="shared" si="322"/>
        <v>0</v>
      </c>
      <c r="BR545" s="3298">
        <f t="shared" si="323"/>
        <v>0</v>
      </c>
      <c r="BS545" s="3298">
        <f t="shared" si="324"/>
        <v>0</v>
      </c>
      <c r="BT545" s="3350">
        <f t="shared" si="325"/>
        <v>0</v>
      </c>
    </row>
    <row r="546" spans="1:72">
      <c r="A546" s="1407"/>
      <c r="B546" s="3296"/>
      <c r="C546" s="3296"/>
      <c r="D546" s="3297"/>
      <c r="E546" s="3298">
        <f t="shared" si="297"/>
        <v>0</v>
      </c>
      <c r="F546" s="3299"/>
      <c r="G546" s="3300">
        <f t="shared" si="301"/>
        <v>0</v>
      </c>
      <c r="H546" s="3301">
        <f t="shared" si="302"/>
        <v>0</v>
      </c>
      <c r="I546" s="3308"/>
      <c r="J546" s="3308"/>
      <c r="K546" s="3308"/>
      <c r="L546" s="3308"/>
      <c r="M546" s="3308"/>
      <c r="N546" s="3308"/>
      <c r="O546" s="3308"/>
      <c r="P546" s="3308"/>
      <c r="Q546" s="3308"/>
      <c r="R546" s="3308"/>
      <c r="S546" s="3308"/>
      <c r="T546" s="3308"/>
      <c r="U546" s="3308"/>
      <c r="V546" s="3308"/>
      <c r="W546" s="3308"/>
      <c r="X546" s="3308"/>
      <c r="Y546" s="3308"/>
      <c r="Z546" s="3308"/>
      <c r="AA546" s="3308"/>
      <c r="AB546" s="3308"/>
      <c r="AC546" s="3298">
        <f t="shared" si="303"/>
        <v>0</v>
      </c>
      <c r="AD546" s="3318"/>
      <c r="AE546" s="3318"/>
      <c r="AF546" s="3318"/>
      <c r="AG546" s="3318"/>
      <c r="AH546" s="3318"/>
      <c r="AI546" s="3318"/>
      <c r="AJ546" s="3318"/>
      <c r="AK546" s="3318"/>
      <c r="AL546" s="3318"/>
      <c r="AM546" s="3318"/>
      <c r="AN546" s="3318"/>
      <c r="AO546" s="3318"/>
      <c r="AP546" s="3318"/>
      <c r="AQ546" s="3318"/>
      <c r="AR546" s="3318"/>
      <c r="AS546" s="3318"/>
      <c r="AT546" s="3328"/>
      <c r="AU546" s="3329"/>
      <c r="AV546" s="963">
        <f t="shared" si="298"/>
        <v>0</v>
      </c>
      <c r="AW546" s="963">
        <f t="shared" si="299"/>
        <v>0</v>
      </c>
      <c r="AX546" s="963">
        <f t="shared" si="300"/>
        <v>0</v>
      </c>
      <c r="AY546" s="3343">
        <f t="shared" si="304"/>
        <v>0</v>
      </c>
      <c r="AZ546" s="3298">
        <f t="shared" si="305"/>
        <v>0</v>
      </c>
      <c r="BA546" s="3298">
        <f t="shared" si="306"/>
        <v>0</v>
      </c>
      <c r="BB546" s="3298">
        <f t="shared" si="307"/>
        <v>0</v>
      </c>
      <c r="BC546" s="3298">
        <f t="shared" si="308"/>
        <v>0</v>
      </c>
      <c r="BD546" s="3298">
        <f t="shared" si="309"/>
        <v>0</v>
      </c>
      <c r="BE546" s="3298">
        <f t="shared" si="310"/>
        <v>0</v>
      </c>
      <c r="BF546" s="3298">
        <f t="shared" si="311"/>
        <v>0</v>
      </c>
      <c r="BG546" s="3298">
        <f t="shared" si="312"/>
        <v>0</v>
      </c>
      <c r="BH546" s="3298">
        <f t="shared" si="313"/>
        <v>0</v>
      </c>
      <c r="BI546" s="3298">
        <f t="shared" si="314"/>
        <v>0</v>
      </c>
      <c r="BJ546" s="3298">
        <f t="shared" si="315"/>
        <v>0</v>
      </c>
      <c r="BK546" s="3298">
        <f t="shared" si="316"/>
        <v>0</v>
      </c>
      <c r="BL546" s="3298">
        <f t="shared" si="317"/>
        <v>0</v>
      </c>
      <c r="BM546" s="3298">
        <f t="shared" si="318"/>
        <v>0</v>
      </c>
      <c r="BN546" s="3298">
        <f t="shared" si="319"/>
        <v>0</v>
      </c>
      <c r="BO546" s="3298">
        <f t="shared" si="320"/>
        <v>0</v>
      </c>
      <c r="BP546" s="3298">
        <f t="shared" si="321"/>
        <v>0</v>
      </c>
      <c r="BQ546" s="3298">
        <f t="shared" si="322"/>
        <v>0</v>
      </c>
      <c r="BR546" s="3298">
        <f t="shared" si="323"/>
        <v>0</v>
      </c>
      <c r="BS546" s="3298">
        <f t="shared" si="324"/>
        <v>0</v>
      </c>
      <c r="BT546" s="3350">
        <f t="shared" si="325"/>
        <v>0</v>
      </c>
    </row>
    <row r="547" spans="1:72">
      <c r="A547" s="1407"/>
      <c r="B547" s="3296"/>
      <c r="C547" s="3296"/>
      <c r="D547" s="3297"/>
      <c r="E547" s="3298">
        <f t="shared" si="297"/>
        <v>0</v>
      </c>
      <c r="F547" s="3299"/>
      <c r="G547" s="3300">
        <f t="shared" si="301"/>
        <v>0</v>
      </c>
      <c r="H547" s="3301">
        <f t="shared" si="302"/>
        <v>0</v>
      </c>
      <c r="I547" s="3308"/>
      <c r="J547" s="3308"/>
      <c r="K547" s="3308"/>
      <c r="L547" s="3308"/>
      <c r="M547" s="3308"/>
      <c r="N547" s="3308"/>
      <c r="O547" s="3308"/>
      <c r="P547" s="3308"/>
      <c r="Q547" s="3308"/>
      <c r="R547" s="3308"/>
      <c r="S547" s="3308"/>
      <c r="T547" s="3308"/>
      <c r="U547" s="3308"/>
      <c r="V547" s="3308"/>
      <c r="W547" s="3308"/>
      <c r="X547" s="3308"/>
      <c r="Y547" s="3308"/>
      <c r="Z547" s="3308"/>
      <c r="AA547" s="3308"/>
      <c r="AB547" s="3308"/>
      <c r="AC547" s="3298">
        <f t="shared" si="303"/>
        <v>0</v>
      </c>
      <c r="AD547" s="3318"/>
      <c r="AE547" s="3318"/>
      <c r="AF547" s="3318"/>
      <c r="AG547" s="3318"/>
      <c r="AH547" s="3318"/>
      <c r="AI547" s="3318"/>
      <c r="AJ547" s="3318"/>
      <c r="AK547" s="3318"/>
      <c r="AL547" s="3318"/>
      <c r="AM547" s="3318"/>
      <c r="AN547" s="3318"/>
      <c r="AO547" s="3318"/>
      <c r="AP547" s="3318"/>
      <c r="AQ547" s="3318"/>
      <c r="AR547" s="3318"/>
      <c r="AS547" s="3318"/>
      <c r="AT547" s="3328"/>
      <c r="AU547" s="3329"/>
      <c r="AV547" s="963">
        <f t="shared" si="298"/>
        <v>0</v>
      </c>
      <c r="AW547" s="963">
        <f t="shared" si="299"/>
        <v>0</v>
      </c>
      <c r="AX547" s="963">
        <f t="shared" si="300"/>
        <v>0</v>
      </c>
      <c r="AY547" s="3343">
        <f t="shared" si="304"/>
        <v>0</v>
      </c>
      <c r="AZ547" s="3298">
        <f t="shared" si="305"/>
        <v>0</v>
      </c>
      <c r="BA547" s="3298">
        <f t="shared" si="306"/>
        <v>0</v>
      </c>
      <c r="BB547" s="3298">
        <f t="shared" si="307"/>
        <v>0</v>
      </c>
      <c r="BC547" s="3298">
        <f t="shared" si="308"/>
        <v>0</v>
      </c>
      <c r="BD547" s="3298">
        <f t="shared" si="309"/>
        <v>0</v>
      </c>
      <c r="BE547" s="3298">
        <f t="shared" si="310"/>
        <v>0</v>
      </c>
      <c r="BF547" s="3298">
        <f t="shared" si="311"/>
        <v>0</v>
      </c>
      <c r="BG547" s="3298">
        <f t="shared" si="312"/>
        <v>0</v>
      </c>
      <c r="BH547" s="3298">
        <f t="shared" si="313"/>
        <v>0</v>
      </c>
      <c r="BI547" s="3298">
        <f t="shared" si="314"/>
        <v>0</v>
      </c>
      <c r="BJ547" s="3298">
        <f t="shared" si="315"/>
        <v>0</v>
      </c>
      <c r="BK547" s="3298">
        <f t="shared" si="316"/>
        <v>0</v>
      </c>
      <c r="BL547" s="3298">
        <f t="shared" si="317"/>
        <v>0</v>
      </c>
      <c r="BM547" s="3298">
        <f t="shared" si="318"/>
        <v>0</v>
      </c>
      <c r="BN547" s="3298">
        <f t="shared" si="319"/>
        <v>0</v>
      </c>
      <c r="BO547" s="3298">
        <f t="shared" si="320"/>
        <v>0</v>
      </c>
      <c r="BP547" s="3298">
        <f t="shared" si="321"/>
        <v>0</v>
      </c>
      <c r="BQ547" s="3298">
        <f t="shared" si="322"/>
        <v>0</v>
      </c>
      <c r="BR547" s="3298">
        <f t="shared" si="323"/>
        <v>0</v>
      </c>
      <c r="BS547" s="3298">
        <f t="shared" si="324"/>
        <v>0</v>
      </c>
      <c r="BT547" s="3350">
        <f t="shared" si="325"/>
        <v>0</v>
      </c>
    </row>
    <row r="548" spans="1:72">
      <c r="A548" s="1407"/>
      <c r="B548" s="3296"/>
      <c r="C548" s="3296"/>
      <c r="D548" s="3297"/>
      <c r="E548" s="3298">
        <f t="shared" si="297"/>
        <v>0</v>
      </c>
      <c r="F548" s="3299"/>
      <c r="G548" s="3300">
        <f t="shared" si="301"/>
        <v>0</v>
      </c>
      <c r="H548" s="3301">
        <f t="shared" si="302"/>
        <v>0</v>
      </c>
      <c r="I548" s="3308"/>
      <c r="J548" s="3308"/>
      <c r="K548" s="3308"/>
      <c r="L548" s="3308"/>
      <c r="M548" s="3308"/>
      <c r="N548" s="3308"/>
      <c r="O548" s="3308"/>
      <c r="P548" s="3308"/>
      <c r="Q548" s="3308"/>
      <c r="R548" s="3308"/>
      <c r="S548" s="3308"/>
      <c r="T548" s="3308"/>
      <c r="U548" s="3308"/>
      <c r="V548" s="3308"/>
      <c r="W548" s="3308"/>
      <c r="X548" s="3308"/>
      <c r="Y548" s="3308"/>
      <c r="Z548" s="3308"/>
      <c r="AA548" s="3308"/>
      <c r="AB548" s="3308"/>
      <c r="AC548" s="3298">
        <f t="shared" si="303"/>
        <v>0</v>
      </c>
      <c r="AD548" s="3318"/>
      <c r="AE548" s="3318"/>
      <c r="AF548" s="3318"/>
      <c r="AG548" s="3318"/>
      <c r="AH548" s="3318"/>
      <c r="AI548" s="3318"/>
      <c r="AJ548" s="3318"/>
      <c r="AK548" s="3318"/>
      <c r="AL548" s="3318"/>
      <c r="AM548" s="3318"/>
      <c r="AN548" s="3318"/>
      <c r="AO548" s="3318"/>
      <c r="AP548" s="3318"/>
      <c r="AQ548" s="3318"/>
      <c r="AR548" s="3318"/>
      <c r="AS548" s="3318"/>
      <c r="AT548" s="3328"/>
      <c r="AU548" s="3329"/>
      <c r="AV548" s="963">
        <f t="shared" si="298"/>
        <v>0</v>
      </c>
      <c r="AW548" s="963">
        <f t="shared" si="299"/>
        <v>0</v>
      </c>
      <c r="AX548" s="963">
        <f t="shared" si="300"/>
        <v>0</v>
      </c>
      <c r="AY548" s="3343">
        <f t="shared" si="304"/>
        <v>0</v>
      </c>
      <c r="AZ548" s="3298">
        <f t="shared" si="305"/>
        <v>0</v>
      </c>
      <c r="BA548" s="3298">
        <f t="shared" si="306"/>
        <v>0</v>
      </c>
      <c r="BB548" s="3298">
        <f t="shared" si="307"/>
        <v>0</v>
      </c>
      <c r="BC548" s="3298">
        <f t="shared" si="308"/>
        <v>0</v>
      </c>
      <c r="BD548" s="3298">
        <f t="shared" si="309"/>
        <v>0</v>
      </c>
      <c r="BE548" s="3298">
        <f t="shared" si="310"/>
        <v>0</v>
      </c>
      <c r="BF548" s="3298">
        <f t="shared" si="311"/>
        <v>0</v>
      </c>
      <c r="BG548" s="3298">
        <f t="shared" si="312"/>
        <v>0</v>
      </c>
      <c r="BH548" s="3298">
        <f t="shared" si="313"/>
        <v>0</v>
      </c>
      <c r="BI548" s="3298">
        <f t="shared" si="314"/>
        <v>0</v>
      </c>
      <c r="BJ548" s="3298">
        <f t="shared" si="315"/>
        <v>0</v>
      </c>
      <c r="BK548" s="3298">
        <f t="shared" si="316"/>
        <v>0</v>
      </c>
      <c r="BL548" s="3298">
        <f t="shared" si="317"/>
        <v>0</v>
      </c>
      <c r="BM548" s="3298">
        <f t="shared" si="318"/>
        <v>0</v>
      </c>
      <c r="BN548" s="3298">
        <f t="shared" si="319"/>
        <v>0</v>
      </c>
      <c r="BO548" s="3298">
        <f t="shared" si="320"/>
        <v>0</v>
      </c>
      <c r="BP548" s="3298">
        <f t="shared" si="321"/>
        <v>0</v>
      </c>
      <c r="BQ548" s="3298">
        <f t="shared" si="322"/>
        <v>0</v>
      </c>
      <c r="BR548" s="3298">
        <f t="shared" si="323"/>
        <v>0</v>
      </c>
      <c r="BS548" s="3298">
        <f t="shared" si="324"/>
        <v>0</v>
      </c>
      <c r="BT548" s="3350">
        <f t="shared" si="325"/>
        <v>0</v>
      </c>
    </row>
    <row r="549" spans="1:72">
      <c r="A549" s="1407"/>
      <c r="B549" s="3296"/>
      <c r="C549" s="3296"/>
      <c r="D549" s="3297"/>
      <c r="E549" s="3298">
        <f t="shared" si="297"/>
        <v>0</v>
      </c>
      <c r="F549" s="3299"/>
      <c r="G549" s="3300">
        <f t="shared" si="301"/>
        <v>0</v>
      </c>
      <c r="H549" s="3301">
        <f t="shared" si="302"/>
        <v>0</v>
      </c>
      <c r="I549" s="3308"/>
      <c r="J549" s="3308"/>
      <c r="K549" s="3308"/>
      <c r="L549" s="3308"/>
      <c r="M549" s="3308"/>
      <c r="N549" s="3308"/>
      <c r="O549" s="3308"/>
      <c r="P549" s="3308"/>
      <c r="Q549" s="3308"/>
      <c r="R549" s="3308"/>
      <c r="S549" s="3308"/>
      <c r="T549" s="3308"/>
      <c r="U549" s="3308"/>
      <c r="V549" s="3308"/>
      <c r="W549" s="3308"/>
      <c r="X549" s="3308"/>
      <c r="Y549" s="3308"/>
      <c r="Z549" s="3308"/>
      <c r="AA549" s="3308"/>
      <c r="AB549" s="3308"/>
      <c r="AC549" s="3298">
        <f t="shared" si="303"/>
        <v>0</v>
      </c>
      <c r="AD549" s="3318"/>
      <c r="AE549" s="3318"/>
      <c r="AF549" s="3318"/>
      <c r="AG549" s="3318"/>
      <c r="AH549" s="3318"/>
      <c r="AI549" s="3318"/>
      <c r="AJ549" s="3318"/>
      <c r="AK549" s="3318"/>
      <c r="AL549" s="3318"/>
      <c r="AM549" s="3318"/>
      <c r="AN549" s="3318"/>
      <c r="AO549" s="3318"/>
      <c r="AP549" s="3318"/>
      <c r="AQ549" s="3318"/>
      <c r="AR549" s="3318"/>
      <c r="AS549" s="3318"/>
      <c r="AT549" s="3328"/>
      <c r="AU549" s="3329"/>
      <c r="AV549" s="963">
        <f t="shared" si="298"/>
        <v>0</v>
      </c>
      <c r="AW549" s="963">
        <f t="shared" si="299"/>
        <v>0</v>
      </c>
      <c r="AX549" s="963">
        <f t="shared" si="300"/>
        <v>0</v>
      </c>
      <c r="AY549" s="3343">
        <f t="shared" si="304"/>
        <v>0</v>
      </c>
      <c r="AZ549" s="3298">
        <f t="shared" si="305"/>
        <v>0</v>
      </c>
      <c r="BA549" s="3298">
        <f t="shared" si="306"/>
        <v>0</v>
      </c>
      <c r="BB549" s="3298">
        <f t="shared" si="307"/>
        <v>0</v>
      </c>
      <c r="BC549" s="3298">
        <f t="shared" si="308"/>
        <v>0</v>
      </c>
      <c r="BD549" s="3298">
        <f t="shared" si="309"/>
        <v>0</v>
      </c>
      <c r="BE549" s="3298">
        <f t="shared" si="310"/>
        <v>0</v>
      </c>
      <c r="BF549" s="3298">
        <f t="shared" si="311"/>
        <v>0</v>
      </c>
      <c r="BG549" s="3298">
        <f t="shared" si="312"/>
        <v>0</v>
      </c>
      <c r="BH549" s="3298">
        <f t="shared" si="313"/>
        <v>0</v>
      </c>
      <c r="BI549" s="3298">
        <f t="shared" si="314"/>
        <v>0</v>
      </c>
      <c r="BJ549" s="3298">
        <f t="shared" si="315"/>
        <v>0</v>
      </c>
      <c r="BK549" s="3298">
        <f t="shared" si="316"/>
        <v>0</v>
      </c>
      <c r="BL549" s="3298">
        <f t="shared" si="317"/>
        <v>0</v>
      </c>
      <c r="BM549" s="3298">
        <f t="shared" si="318"/>
        <v>0</v>
      </c>
      <c r="BN549" s="3298">
        <f t="shared" si="319"/>
        <v>0</v>
      </c>
      <c r="BO549" s="3298">
        <f t="shared" si="320"/>
        <v>0</v>
      </c>
      <c r="BP549" s="3298">
        <f t="shared" si="321"/>
        <v>0</v>
      </c>
      <c r="BQ549" s="3298">
        <f t="shared" si="322"/>
        <v>0</v>
      </c>
      <c r="BR549" s="3298">
        <f t="shared" si="323"/>
        <v>0</v>
      </c>
      <c r="BS549" s="3298">
        <f t="shared" si="324"/>
        <v>0</v>
      </c>
      <c r="BT549" s="3350">
        <f t="shared" si="325"/>
        <v>0</v>
      </c>
    </row>
    <row r="550" spans="1:72">
      <c r="A550" s="1407"/>
      <c r="B550" s="3296"/>
      <c r="C550" s="3296"/>
      <c r="D550" s="3297"/>
      <c r="E550" s="3298">
        <f t="shared" si="297"/>
        <v>0</v>
      </c>
      <c r="F550" s="3299"/>
      <c r="G550" s="3300">
        <f t="shared" si="301"/>
        <v>0</v>
      </c>
      <c r="H550" s="3301">
        <f t="shared" si="302"/>
        <v>0</v>
      </c>
      <c r="I550" s="3308"/>
      <c r="J550" s="3308"/>
      <c r="K550" s="3308"/>
      <c r="L550" s="3308"/>
      <c r="M550" s="3308"/>
      <c r="N550" s="3308"/>
      <c r="O550" s="3308"/>
      <c r="P550" s="3308"/>
      <c r="Q550" s="3308"/>
      <c r="R550" s="3308"/>
      <c r="S550" s="3308"/>
      <c r="T550" s="3308"/>
      <c r="U550" s="3308"/>
      <c r="V550" s="3308"/>
      <c r="W550" s="3308"/>
      <c r="X550" s="3308"/>
      <c r="Y550" s="3308"/>
      <c r="Z550" s="3308"/>
      <c r="AA550" s="3308"/>
      <c r="AB550" s="3308"/>
      <c r="AC550" s="3298">
        <f t="shared" si="303"/>
        <v>0</v>
      </c>
      <c r="AD550" s="3318"/>
      <c r="AE550" s="3318"/>
      <c r="AF550" s="3318"/>
      <c r="AG550" s="3318"/>
      <c r="AH550" s="3318"/>
      <c r="AI550" s="3318"/>
      <c r="AJ550" s="3318"/>
      <c r="AK550" s="3318"/>
      <c r="AL550" s="3318"/>
      <c r="AM550" s="3318"/>
      <c r="AN550" s="3318"/>
      <c r="AO550" s="3318"/>
      <c r="AP550" s="3318"/>
      <c r="AQ550" s="3318"/>
      <c r="AR550" s="3318"/>
      <c r="AS550" s="3318"/>
      <c r="AT550" s="3328"/>
      <c r="AU550" s="3329"/>
      <c r="AV550" s="963">
        <f t="shared" si="298"/>
        <v>0</v>
      </c>
      <c r="AW550" s="963">
        <f t="shared" si="299"/>
        <v>0</v>
      </c>
      <c r="AX550" s="963">
        <f t="shared" si="300"/>
        <v>0</v>
      </c>
      <c r="AY550" s="3343">
        <f t="shared" si="304"/>
        <v>0</v>
      </c>
      <c r="AZ550" s="3298">
        <f t="shared" si="305"/>
        <v>0</v>
      </c>
      <c r="BA550" s="3298">
        <f t="shared" si="306"/>
        <v>0</v>
      </c>
      <c r="BB550" s="3298">
        <f t="shared" si="307"/>
        <v>0</v>
      </c>
      <c r="BC550" s="3298">
        <f t="shared" si="308"/>
        <v>0</v>
      </c>
      <c r="BD550" s="3298">
        <f t="shared" si="309"/>
        <v>0</v>
      </c>
      <c r="BE550" s="3298">
        <f t="shared" si="310"/>
        <v>0</v>
      </c>
      <c r="BF550" s="3298">
        <f t="shared" si="311"/>
        <v>0</v>
      </c>
      <c r="BG550" s="3298">
        <f t="shared" si="312"/>
        <v>0</v>
      </c>
      <c r="BH550" s="3298">
        <f t="shared" si="313"/>
        <v>0</v>
      </c>
      <c r="BI550" s="3298">
        <f t="shared" si="314"/>
        <v>0</v>
      </c>
      <c r="BJ550" s="3298">
        <f t="shared" si="315"/>
        <v>0</v>
      </c>
      <c r="BK550" s="3298">
        <f t="shared" si="316"/>
        <v>0</v>
      </c>
      <c r="BL550" s="3298">
        <f t="shared" si="317"/>
        <v>0</v>
      </c>
      <c r="BM550" s="3298">
        <f t="shared" si="318"/>
        <v>0</v>
      </c>
      <c r="BN550" s="3298">
        <f t="shared" si="319"/>
        <v>0</v>
      </c>
      <c r="BO550" s="3298">
        <f t="shared" si="320"/>
        <v>0</v>
      </c>
      <c r="BP550" s="3298">
        <f t="shared" si="321"/>
        <v>0</v>
      </c>
      <c r="BQ550" s="3298">
        <f t="shared" si="322"/>
        <v>0</v>
      </c>
      <c r="BR550" s="3298">
        <f t="shared" si="323"/>
        <v>0</v>
      </c>
      <c r="BS550" s="3298">
        <f t="shared" si="324"/>
        <v>0</v>
      </c>
      <c r="BT550" s="3350">
        <f t="shared" si="325"/>
        <v>0</v>
      </c>
    </row>
    <row r="551" spans="1:72">
      <c r="A551" s="1407"/>
      <c r="B551" s="3296"/>
      <c r="C551" s="3296"/>
      <c r="D551" s="3297"/>
      <c r="E551" s="3298">
        <f t="shared" si="297"/>
        <v>0</v>
      </c>
      <c r="F551" s="3299"/>
      <c r="G551" s="3300">
        <f t="shared" si="301"/>
        <v>0</v>
      </c>
      <c r="H551" s="3301">
        <f t="shared" si="302"/>
        <v>0</v>
      </c>
      <c r="I551" s="3308"/>
      <c r="J551" s="3308"/>
      <c r="K551" s="3308"/>
      <c r="L551" s="3308"/>
      <c r="M551" s="3308"/>
      <c r="N551" s="3308"/>
      <c r="O551" s="3308"/>
      <c r="P551" s="3308"/>
      <c r="Q551" s="3308"/>
      <c r="R551" s="3308"/>
      <c r="S551" s="3308"/>
      <c r="T551" s="3308"/>
      <c r="U551" s="3308"/>
      <c r="V551" s="3308"/>
      <c r="W551" s="3308"/>
      <c r="X551" s="3308"/>
      <c r="Y551" s="3308"/>
      <c r="Z551" s="3308"/>
      <c r="AA551" s="3308"/>
      <c r="AB551" s="3308"/>
      <c r="AC551" s="3298">
        <f t="shared" si="303"/>
        <v>0</v>
      </c>
      <c r="AD551" s="3318"/>
      <c r="AE551" s="3318"/>
      <c r="AF551" s="3318"/>
      <c r="AG551" s="3318"/>
      <c r="AH551" s="3318"/>
      <c r="AI551" s="3318"/>
      <c r="AJ551" s="3318"/>
      <c r="AK551" s="3318"/>
      <c r="AL551" s="3318"/>
      <c r="AM551" s="3318"/>
      <c r="AN551" s="3318"/>
      <c r="AO551" s="3318"/>
      <c r="AP551" s="3318"/>
      <c r="AQ551" s="3318"/>
      <c r="AR551" s="3318"/>
      <c r="AS551" s="3318"/>
      <c r="AT551" s="3328"/>
      <c r="AU551" s="3329"/>
      <c r="AV551" s="963">
        <f t="shared" si="298"/>
        <v>0</v>
      </c>
      <c r="AW551" s="963">
        <f t="shared" si="299"/>
        <v>0</v>
      </c>
      <c r="AX551" s="963">
        <f t="shared" si="300"/>
        <v>0</v>
      </c>
      <c r="AY551" s="3343">
        <f t="shared" si="304"/>
        <v>0</v>
      </c>
      <c r="AZ551" s="3298">
        <f t="shared" si="305"/>
        <v>0</v>
      </c>
      <c r="BA551" s="3298">
        <f t="shared" si="306"/>
        <v>0</v>
      </c>
      <c r="BB551" s="3298">
        <f t="shared" si="307"/>
        <v>0</v>
      </c>
      <c r="BC551" s="3298">
        <f t="shared" si="308"/>
        <v>0</v>
      </c>
      <c r="BD551" s="3298">
        <f t="shared" si="309"/>
        <v>0</v>
      </c>
      <c r="BE551" s="3298">
        <f t="shared" si="310"/>
        <v>0</v>
      </c>
      <c r="BF551" s="3298">
        <f t="shared" si="311"/>
        <v>0</v>
      </c>
      <c r="BG551" s="3298">
        <f t="shared" si="312"/>
        <v>0</v>
      </c>
      <c r="BH551" s="3298">
        <f t="shared" si="313"/>
        <v>0</v>
      </c>
      <c r="BI551" s="3298">
        <f t="shared" si="314"/>
        <v>0</v>
      </c>
      <c r="BJ551" s="3298">
        <f t="shared" si="315"/>
        <v>0</v>
      </c>
      <c r="BK551" s="3298">
        <f t="shared" si="316"/>
        <v>0</v>
      </c>
      <c r="BL551" s="3298">
        <f t="shared" si="317"/>
        <v>0</v>
      </c>
      <c r="BM551" s="3298">
        <f t="shared" si="318"/>
        <v>0</v>
      </c>
      <c r="BN551" s="3298">
        <f t="shared" si="319"/>
        <v>0</v>
      </c>
      <c r="BO551" s="3298">
        <f t="shared" si="320"/>
        <v>0</v>
      </c>
      <c r="BP551" s="3298">
        <f t="shared" si="321"/>
        <v>0</v>
      </c>
      <c r="BQ551" s="3298">
        <f t="shared" si="322"/>
        <v>0</v>
      </c>
      <c r="BR551" s="3298">
        <f t="shared" si="323"/>
        <v>0</v>
      </c>
      <c r="BS551" s="3298">
        <f t="shared" si="324"/>
        <v>0</v>
      </c>
      <c r="BT551" s="3350">
        <f t="shared" si="325"/>
        <v>0</v>
      </c>
    </row>
    <row r="552" spans="1:72">
      <c r="A552" s="1407"/>
      <c r="B552" s="3296"/>
      <c r="C552" s="3296"/>
      <c r="D552" s="3297"/>
      <c r="E552" s="3298">
        <f t="shared" ref="E552:E587" si="326">IF($C$3="是",ROUND($A$3*G552/$B$3,2),ROUND($A$3*(G552-AT552)/$B$3,2))</f>
        <v>0</v>
      </c>
      <c r="F552" s="3299"/>
      <c r="G552" s="3300">
        <f t="shared" si="301"/>
        <v>0</v>
      </c>
      <c r="H552" s="3301">
        <f t="shared" si="302"/>
        <v>0</v>
      </c>
      <c r="I552" s="3308"/>
      <c r="J552" s="3308"/>
      <c r="K552" s="3308"/>
      <c r="L552" s="3308"/>
      <c r="M552" s="3308"/>
      <c r="N552" s="3308"/>
      <c r="O552" s="3308"/>
      <c r="P552" s="3308"/>
      <c r="Q552" s="3308"/>
      <c r="R552" s="3308"/>
      <c r="S552" s="3308"/>
      <c r="T552" s="3308"/>
      <c r="U552" s="3308"/>
      <c r="V552" s="3308"/>
      <c r="W552" s="3308"/>
      <c r="X552" s="3308"/>
      <c r="Y552" s="3308"/>
      <c r="Z552" s="3308"/>
      <c r="AA552" s="3308"/>
      <c r="AB552" s="3308"/>
      <c r="AC552" s="3298">
        <f t="shared" si="303"/>
        <v>0</v>
      </c>
      <c r="AD552" s="3318"/>
      <c r="AE552" s="3318"/>
      <c r="AF552" s="3318"/>
      <c r="AG552" s="3318"/>
      <c r="AH552" s="3318"/>
      <c r="AI552" s="3318"/>
      <c r="AJ552" s="3318"/>
      <c r="AK552" s="3318"/>
      <c r="AL552" s="3318"/>
      <c r="AM552" s="3318"/>
      <c r="AN552" s="3318"/>
      <c r="AO552" s="3318"/>
      <c r="AP552" s="3318"/>
      <c r="AQ552" s="3318"/>
      <c r="AR552" s="3318"/>
      <c r="AS552" s="3318"/>
      <c r="AT552" s="3328"/>
      <c r="AU552" s="3329"/>
      <c r="AV552" s="963">
        <f t="shared" si="298"/>
        <v>0</v>
      </c>
      <c r="AW552" s="963">
        <f t="shared" si="299"/>
        <v>0</v>
      </c>
      <c r="AX552" s="963">
        <f t="shared" si="300"/>
        <v>0</v>
      </c>
      <c r="AY552" s="3343">
        <f t="shared" si="304"/>
        <v>0</v>
      </c>
      <c r="AZ552" s="3298">
        <f t="shared" si="305"/>
        <v>0</v>
      </c>
      <c r="BA552" s="3298">
        <f t="shared" si="306"/>
        <v>0</v>
      </c>
      <c r="BB552" s="3298">
        <f t="shared" si="307"/>
        <v>0</v>
      </c>
      <c r="BC552" s="3298">
        <f t="shared" si="308"/>
        <v>0</v>
      </c>
      <c r="BD552" s="3298">
        <f t="shared" si="309"/>
        <v>0</v>
      </c>
      <c r="BE552" s="3298">
        <f t="shared" si="310"/>
        <v>0</v>
      </c>
      <c r="BF552" s="3298">
        <f t="shared" si="311"/>
        <v>0</v>
      </c>
      <c r="BG552" s="3298">
        <f t="shared" si="312"/>
        <v>0</v>
      </c>
      <c r="BH552" s="3298">
        <f t="shared" si="313"/>
        <v>0</v>
      </c>
      <c r="BI552" s="3298">
        <f t="shared" si="314"/>
        <v>0</v>
      </c>
      <c r="BJ552" s="3298">
        <f t="shared" si="315"/>
        <v>0</v>
      </c>
      <c r="BK552" s="3298">
        <f t="shared" si="316"/>
        <v>0</v>
      </c>
      <c r="BL552" s="3298">
        <f t="shared" si="317"/>
        <v>0</v>
      </c>
      <c r="BM552" s="3298">
        <f t="shared" si="318"/>
        <v>0</v>
      </c>
      <c r="BN552" s="3298">
        <f t="shared" si="319"/>
        <v>0</v>
      </c>
      <c r="BO552" s="3298">
        <f t="shared" si="320"/>
        <v>0</v>
      </c>
      <c r="BP552" s="3298">
        <f t="shared" si="321"/>
        <v>0</v>
      </c>
      <c r="BQ552" s="3298">
        <f t="shared" si="322"/>
        <v>0</v>
      </c>
      <c r="BR552" s="3298">
        <f t="shared" si="323"/>
        <v>0</v>
      </c>
      <c r="BS552" s="3298">
        <f t="shared" si="324"/>
        <v>0</v>
      </c>
      <c r="BT552" s="3350">
        <f t="shared" si="325"/>
        <v>0</v>
      </c>
    </row>
    <row r="553" spans="1:72">
      <c r="A553" s="1407"/>
      <c r="B553" s="3296"/>
      <c r="C553" s="3296"/>
      <c r="D553" s="3297"/>
      <c r="E553" s="3298">
        <f t="shared" si="326"/>
        <v>0</v>
      </c>
      <c r="F553" s="3299"/>
      <c r="G553" s="3300">
        <f t="shared" ref="G553:G587" si="327">H553+AC553+AT553</f>
        <v>0</v>
      </c>
      <c r="H553" s="3301">
        <f t="shared" ref="H553:H587" si="328">SUMIF(I$12:AB$12,"总值",I553:AB553)</f>
        <v>0</v>
      </c>
      <c r="I553" s="3308"/>
      <c r="J553" s="3308"/>
      <c r="K553" s="3308"/>
      <c r="L553" s="3308"/>
      <c r="M553" s="3308"/>
      <c r="N553" s="3308"/>
      <c r="O553" s="3308"/>
      <c r="P553" s="3308"/>
      <c r="Q553" s="3308"/>
      <c r="R553" s="3308"/>
      <c r="S553" s="3308"/>
      <c r="T553" s="3308"/>
      <c r="U553" s="3308"/>
      <c r="V553" s="3308"/>
      <c r="W553" s="3308"/>
      <c r="X553" s="3308"/>
      <c r="Y553" s="3308"/>
      <c r="Z553" s="3308"/>
      <c r="AA553" s="3308"/>
      <c r="AB553" s="3308"/>
      <c r="AC553" s="3298">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28"/>
      <c r="AU553" s="3329"/>
      <c r="AV553" s="963">
        <f t="shared" ref="AV553:AV587" si="330">A553</f>
        <v>0</v>
      </c>
      <c r="AW553" s="963">
        <f t="shared" ref="AW553:AW587" si="331">B553</f>
        <v>0</v>
      </c>
      <c r="AX553" s="963">
        <f t="shared" ref="AX553:AX587" si="332">C553</f>
        <v>0</v>
      </c>
      <c r="AY553" s="3343">
        <f t="shared" ref="AY553:AY587" si="333">ROUND($AY$6*AZ553/$AZ$5,2)</f>
        <v>0</v>
      </c>
      <c r="AZ553" s="3298">
        <f t="shared" ref="AZ553:AZ587" si="334">BA553+BL553</f>
        <v>0</v>
      </c>
      <c r="BA553" s="3298">
        <f t="shared" ref="BA553:BA587" si="335">SUM(BB553:BK553)</f>
        <v>0</v>
      </c>
      <c r="BB553" s="3298">
        <f t="shared" ref="BB553:BB587" si="336">IF($D553="是",I553-J553,0)</f>
        <v>0</v>
      </c>
      <c r="BC553" s="3298">
        <f t="shared" ref="BC553:BC587" si="337">IF($D553="是",K553-L553,0)</f>
        <v>0</v>
      </c>
      <c r="BD553" s="3298">
        <f t="shared" ref="BD553:BD587" si="338">IF($D553="是",M553-N553,0)</f>
        <v>0</v>
      </c>
      <c r="BE553" s="3298">
        <f t="shared" ref="BE553:BE587" si="339">IF($D553="是",O553-P553,0)</f>
        <v>0</v>
      </c>
      <c r="BF553" s="3298">
        <f t="shared" ref="BF553:BF587" si="340">IF($D553="是",Q553-R553,0)</f>
        <v>0</v>
      </c>
      <c r="BG553" s="3298">
        <f t="shared" ref="BG553:BG587" si="341">IF($D553="是",S553-T553,0)</f>
        <v>0</v>
      </c>
      <c r="BH553" s="3298">
        <f t="shared" ref="BH553:BH587" si="342">IF($D553="是",U553-V553,0)</f>
        <v>0</v>
      </c>
      <c r="BI553" s="3298">
        <f t="shared" ref="BI553:BI587" si="343">IF($D553="是",W553-X553,0)</f>
        <v>0</v>
      </c>
      <c r="BJ553" s="3298">
        <f t="shared" ref="BJ553:BJ587" si="344">IF($D553="是",Y553-Z553,0)</f>
        <v>0</v>
      </c>
      <c r="BK553" s="3298">
        <f t="shared" ref="BK553:BK587" si="345">IF($D553="是",AA553-AB553,0)</f>
        <v>0</v>
      </c>
      <c r="BL553" s="3298">
        <f t="shared" ref="BL553:BL587" si="346">SUM(BM553:BT553)</f>
        <v>0</v>
      </c>
      <c r="BM553" s="3298">
        <f t="shared" ref="BM553:BM587" si="347">IF($D553="是",AD553-AE553,0)</f>
        <v>0</v>
      </c>
      <c r="BN553" s="3298">
        <f t="shared" ref="BN553:BN587" si="348">IF($D553="是",AF553-AG553,0)</f>
        <v>0</v>
      </c>
      <c r="BO553" s="3298">
        <f t="shared" ref="BO553:BO587" si="349">IF($D553="是",AH553-AI553,0)</f>
        <v>0</v>
      </c>
      <c r="BP553" s="3298">
        <f t="shared" ref="BP553:BP587" si="350">IF($D553="是",AJ553-AK553,0)</f>
        <v>0</v>
      </c>
      <c r="BQ553" s="3298">
        <f t="shared" ref="BQ553:BQ587" si="351">IF($D553="是",AL553-AM553,0)</f>
        <v>0</v>
      </c>
      <c r="BR553" s="3298">
        <f t="shared" ref="BR553:BR587" si="352">IF($D553="是",AN553-AO553,0)</f>
        <v>0</v>
      </c>
      <c r="BS553" s="3298">
        <f t="shared" ref="BS553:BS587" si="353">IF($D553="是",AP553-AQ553,0)</f>
        <v>0</v>
      </c>
      <c r="BT553" s="3350">
        <f t="shared" ref="BT553:BT587" si="354">IF($D553="是",AR553-AS553,0)</f>
        <v>0</v>
      </c>
    </row>
    <row r="554" spans="1:72">
      <c r="A554" s="1407"/>
      <c r="B554" s="3296"/>
      <c r="C554" s="3296"/>
      <c r="D554" s="3297"/>
      <c r="E554" s="3298">
        <f t="shared" si="326"/>
        <v>0</v>
      </c>
      <c r="F554" s="3299"/>
      <c r="G554" s="3300">
        <f t="shared" si="327"/>
        <v>0</v>
      </c>
      <c r="H554" s="3301">
        <f t="shared" si="328"/>
        <v>0</v>
      </c>
      <c r="I554" s="3308"/>
      <c r="J554" s="3308"/>
      <c r="K554" s="3308"/>
      <c r="L554" s="3308"/>
      <c r="M554" s="3308"/>
      <c r="N554" s="3308"/>
      <c r="O554" s="3308"/>
      <c r="P554" s="3308"/>
      <c r="Q554" s="3308"/>
      <c r="R554" s="3308"/>
      <c r="S554" s="3308"/>
      <c r="T554" s="3308"/>
      <c r="U554" s="3308"/>
      <c r="V554" s="3308"/>
      <c r="W554" s="3308"/>
      <c r="X554" s="3308"/>
      <c r="Y554" s="3308"/>
      <c r="Z554" s="3308"/>
      <c r="AA554" s="3308"/>
      <c r="AB554" s="3308"/>
      <c r="AC554" s="3298">
        <f t="shared" si="329"/>
        <v>0</v>
      </c>
      <c r="AD554" s="3318"/>
      <c r="AE554" s="3318"/>
      <c r="AF554" s="3318"/>
      <c r="AG554" s="3318"/>
      <c r="AH554" s="3318"/>
      <c r="AI554" s="3318"/>
      <c r="AJ554" s="3318"/>
      <c r="AK554" s="3318"/>
      <c r="AL554" s="3318"/>
      <c r="AM554" s="3318"/>
      <c r="AN554" s="3318"/>
      <c r="AO554" s="3318"/>
      <c r="AP554" s="3318"/>
      <c r="AQ554" s="3318"/>
      <c r="AR554" s="3318"/>
      <c r="AS554" s="3318"/>
      <c r="AT554" s="3328"/>
      <c r="AU554" s="3329"/>
      <c r="AV554" s="963">
        <f t="shared" si="330"/>
        <v>0</v>
      </c>
      <c r="AW554" s="963">
        <f t="shared" si="331"/>
        <v>0</v>
      </c>
      <c r="AX554" s="963">
        <f t="shared" si="332"/>
        <v>0</v>
      </c>
      <c r="AY554" s="3343">
        <f t="shared" si="333"/>
        <v>0</v>
      </c>
      <c r="AZ554" s="3298">
        <f t="shared" si="334"/>
        <v>0</v>
      </c>
      <c r="BA554" s="3298">
        <f t="shared" si="335"/>
        <v>0</v>
      </c>
      <c r="BB554" s="3298">
        <f t="shared" si="336"/>
        <v>0</v>
      </c>
      <c r="BC554" s="3298">
        <f t="shared" si="337"/>
        <v>0</v>
      </c>
      <c r="BD554" s="3298">
        <f t="shared" si="338"/>
        <v>0</v>
      </c>
      <c r="BE554" s="3298">
        <f t="shared" si="339"/>
        <v>0</v>
      </c>
      <c r="BF554" s="3298">
        <f t="shared" si="340"/>
        <v>0</v>
      </c>
      <c r="BG554" s="3298">
        <f t="shared" si="341"/>
        <v>0</v>
      </c>
      <c r="BH554" s="3298">
        <f t="shared" si="342"/>
        <v>0</v>
      </c>
      <c r="BI554" s="3298">
        <f t="shared" si="343"/>
        <v>0</v>
      </c>
      <c r="BJ554" s="3298">
        <f t="shared" si="344"/>
        <v>0</v>
      </c>
      <c r="BK554" s="3298">
        <f t="shared" si="345"/>
        <v>0</v>
      </c>
      <c r="BL554" s="3298">
        <f t="shared" si="346"/>
        <v>0</v>
      </c>
      <c r="BM554" s="3298">
        <f t="shared" si="347"/>
        <v>0</v>
      </c>
      <c r="BN554" s="3298">
        <f t="shared" si="348"/>
        <v>0</v>
      </c>
      <c r="BO554" s="3298">
        <f t="shared" si="349"/>
        <v>0</v>
      </c>
      <c r="BP554" s="3298">
        <f t="shared" si="350"/>
        <v>0</v>
      </c>
      <c r="BQ554" s="3298">
        <f t="shared" si="351"/>
        <v>0</v>
      </c>
      <c r="BR554" s="3298">
        <f t="shared" si="352"/>
        <v>0</v>
      </c>
      <c r="BS554" s="3298">
        <f t="shared" si="353"/>
        <v>0</v>
      </c>
      <c r="BT554" s="3350">
        <f t="shared" si="354"/>
        <v>0</v>
      </c>
    </row>
    <row r="555" spans="1:72">
      <c r="A555" s="1407"/>
      <c r="B555" s="3296"/>
      <c r="C555" s="3296"/>
      <c r="D555" s="3297"/>
      <c r="E555" s="3298">
        <f t="shared" si="326"/>
        <v>0</v>
      </c>
      <c r="F555" s="3299"/>
      <c r="G555" s="3300">
        <f t="shared" si="327"/>
        <v>0</v>
      </c>
      <c r="H555" s="3301">
        <f t="shared" si="328"/>
        <v>0</v>
      </c>
      <c r="I555" s="3308"/>
      <c r="J555" s="3308"/>
      <c r="K555" s="3308"/>
      <c r="L555" s="3308"/>
      <c r="M555" s="3308"/>
      <c r="N555" s="3308"/>
      <c r="O555" s="3308"/>
      <c r="P555" s="3308"/>
      <c r="Q555" s="3308"/>
      <c r="R555" s="3308"/>
      <c r="S555" s="3308"/>
      <c r="T555" s="3308"/>
      <c r="U555" s="3308"/>
      <c r="V555" s="3308"/>
      <c r="W555" s="3308"/>
      <c r="X555" s="3308"/>
      <c r="Y555" s="3308"/>
      <c r="Z555" s="3308"/>
      <c r="AA555" s="3308"/>
      <c r="AB555" s="3308"/>
      <c r="AC555" s="3298">
        <f t="shared" si="329"/>
        <v>0</v>
      </c>
      <c r="AD555" s="3318"/>
      <c r="AE555" s="3318"/>
      <c r="AF555" s="3318"/>
      <c r="AG555" s="3318"/>
      <c r="AH555" s="3318"/>
      <c r="AI555" s="3318"/>
      <c r="AJ555" s="3318"/>
      <c r="AK555" s="3318"/>
      <c r="AL555" s="3318"/>
      <c r="AM555" s="3318"/>
      <c r="AN555" s="3318"/>
      <c r="AO555" s="3318"/>
      <c r="AP555" s="3318"/>
      <c r="AQ555" s="3318"/>
      <c r="AR555" s="3318"/>
      <c r="AS555" s="3318"/>
      <c r="AT555" s="3328"/>
      <c r="AU555" s="3329"/>
      <c r="AV555" s="963">
        <f t="shared" si="330"/>
        <v>0</v>
      </c>
      <c r="AW555" s="963">
        <f t="shared" si="331"/>
        <v>0</v>
      </c>
      <c r="AX555" s="963">
        <f t="shared" si="332"/>
        <v>0</v>
      </c>
      <c r="AY555" s="3343">
        <f t="shared" si="333"/>
        <v>0</v>
      </c>
      <c r="AZ555" s="3298">
        <f t="shared" si="334"/>
        <v>0</v>
      </c>
      <c r="BA555" s="3298">
        <f t="shared" si="335"/>
        <v>0</v>
      </c>
      <c r="BB555" s="3298">
        <f t="shared" si="336"/>
        <v>0</v>
      </c>
      <c r="BC555" s="3298">
        <f t="shared" si="337"/>
        <v>0</v>
      </c>
      <c r="BD555" s="3298">
        <f t="shared" si="338"/>
        <v>0</v>
      </c>
      <c r="BE555" s="3298">
        <f t="shared" si="339"/>
        <v>0</v>
      </c>
      <c r="BF555" s="3298">
        <f t="shared" si="340"/>
        <v>0</v>
      </c>
      <c r="BG555" s="3298">
        <f t="shared" si="341"/>
        <v>0</v>
      </c>
      <c r="BH555" s="3298">
        <f t="shared" si="342"/>
        <v>0</v>
      </c>
      <c r="BI555" s="3298">
        <f t="shared" si="343"/>
        <v>0</v>
      </c>
      <c r="BJ555" s="3298">
        <f t="shared" si="344"/>
        <v>0</v>
      </c>
      <c r="BK555" s="3298">
        <f t="shared" si="345"/>
        <v>0</v>
      </c>
      <c r="BL555" s="3298">
        <f t="shared" si="346"/>
        <v>0</v>
      </c>
      <c r="BM555" s="3298">
        <f t="shared" si="347"/>
        <v>0</v>
      </c>
      <c r="BN555" s="3298">
        <f t="shared" si="348"/>
        <v>0</v>
      </c>
      <c r="BO555" s="3298">
        <f t="shared" si="349"/>
        <v>0</v>
      </c>
      <c r="BP555" s="3298">
        <f t="shared" si="350"/>
        <v>0</v>
      </c>
      <c r="BQ555" s="3298">
        <f t="shared" si="351"/>
        <v>0</v>
      </c>
      <c r="BR555" s="3298">
        <f t="shared" si="352"/>
        <v>0</v>
      </c>
      <c r="BS555" s="3298">
        <f t="shared" si="353"/>
        <v>0</v>
      </c>
      <c r="BT555" s="3350">
        <f t="shared" si="354"/>
        <v>0</v>
      </c>
    </row>
    <row r="556" spans="1:72">
      <c r="A556" s="1407"/>
      <c r="B556" s="3296"/>
      <c r="C556" s="3296"/>
      <c r="D556" s="3297"/>
      <c r="E556" s="3298">
        <f t="shared" si="326"/>
        <v>0</v>
      </c>
      <c r="F556" s="3299"/>
      <c r="G556" s="3300">
        <f t="shared" si="327"/>
        <v>0</v>
      </c>
      <c r="H556" s="3301">
        <f t="shared" si="328"/>
        <v>0</v>
      </c>
      <c r="I556" s="3308"/>
      <c r="J556" s="3308"/>
      <c r="K556" s="3308"/>
      <c r="L556" s="3308"/>
      <c r="M556" s="3308"/>
      <c r="N556" s="3308"/>
      <c r="O556" s="3308"/>
      <c r="P556" s="3308"/>
      <c r="Q556" s="3308"/>
      <c r="R556" s="3308"/>
      <c r="S556" s="3308"/>
      <c r="T556" s="3308"/>
      <c r="U556" s="3308"/>
      <c r="V556" s="3308"/>
      <c r="W556" s="3308"/>
      <c r="X556" s="3308"/>
      <c r="Y556" s="3308"/>
      <c r="Z556" s="3308"/>
      <c r="AA556" s="3308"/>
      <c r="AB556" s="3308"/>
      <c r="AC556" s="3298">
        <f t="shared" si="329"/>
        <v>0</v>
      </c>
      <c r="AD556" s="3318"/>
      <c r="AE556" s="3318"/>
      <c r="AF556" s="3318"/>
      <c r="AG556" s="3318"/>
      <c r="AH556" s="3318"/>
      <c r="AI556" s="3318"/>
      <c r="AJ556" s="3318"/>
      <c r="AK556" s="3318"/>
      <c r="AL556" s="3318"/>
      <c r="AM556" s="3318"/>
      <c r="AN556" s="3318"/>
      <c r="AO556" s="3318"/>
      <c r="AP556" s="3318"/>
      <c r="AQ556" s="3318"/>
      <c r="AR556" s="3318"/>
      <c r="AS556" s="3318"/>
      <c r="AT556" s="3328"/>
      <c r="AU556" s="3329"/>
      <c r="AV556" s="963">
        <f t="shared" si="330"/>
        <v>0</v>
      </c>
      <c r="AW556" s="963">
        <f t="shared" si="331"/>
        <v>0</v>
      </c>
      <c r="AX556" s="963">
        <f t="shared" si="332"/>
        <v>0</v>
      </c>
      <c r="AY556" s="3343">
        <f t="shared" si="333"/>
        <v>0</v>
      </c>
      <c r="AZ556" s="3298">
        <f t="shared" si="334"/>
        <v>0</v>
      </c>
      <c r="BA556" s="3298">
        <f t="shared" si="335"/>
        <v>0</v>
      </c>
      <c r="BB556" s="3298">
        <f t="shared" si="336"/>
        <v>0</v>
      </c>
      <c r="BC556" s="3298">
        <f t="shared" si="337"/>
        <v>0</v>
      </c>
      <c r="BD556" s="3298">
        <f t="shared" si="338"/>
        <v>0</v>
      </c>
      <c r="BE556" s="3298">
        <f t="shared" si="339"/>
        <v>0</v>
      </c>
      <c r="BF556" s="3298">
        <f t="shared" si="340"/>
        <v>0</v>
      </c>
      <c r="BG556" s="3298">
        <f t="shared" si="341"/>
        <v>0</v>
      </c>
      <c r="BH556" s="3298">
        <f t="shared" si="342"/>
        <v>0</v>
      </c>
      <c r="BI556" s="3298">
        <f t="shared" si="343"/>
        <v>0</v>
      </c>
      <c r="BJ556" s="3298">
        <f t="shared" si="344"/>
        <v>0</v>
      </c>
      <c r="BK556" s="3298">
        <f t="shared" si="345"/>
        <v>0</v>
      </c>
      <c r="BL556" s="3298">
        <f t="shared" si="346"/>
        <v>0</v>
      </c>
      <c r="BM556" s="3298">
        <f t="shared" si="347"/>
        <v>0</v>
      </c>
      <c r="BN556" s="3298">
        <f t="shared" si="348"/>
        <v>0</v>
      </c>
      <c r="BO556" s="3298">
        <f t="shared" si="349"/>
        <v>0</v>
      </c>
      <c r="BP556" s="3298">
        <f t="shared" si="350"/>
        <v>0</v>
      </c>
      <c r="BQ556" s="3298">
        <f t="shared" si="351"/>
        <v>0</v>
      </c>
      <c r="BR556" s="3298">
        <f t="shared" si="352"/>
        <v>0</v>
      </c>
      <c r="BS556" s="3298">
        <f t="shared" si="353"/>
        <v>0</v>
      </c>
      <c r="BT556" s="3350">
        <f t="shared" si="354"/>
        <v>0</v>
      </c>
    </row>
    <row r="557" spans="1:72">
      <c r="A557" s="1407"/>
      <c r="B557" s="3296"/>
      <c r="C557" s="3296"/>
      <c r="D557" s="3297"/>
      <c r="E557" s="3298">
        <f t="shared" si="326"/>
        <v>0</v>
      </c>
      <c r="F557" s="3299"/>
      <c r="G557" s="3300">
        <f t="shared" si="327"/>
        <v>0</v>
      </c>
      <c r="H557" s="3301">
        <f t="shared" si="328"/>
        <v>0</v>
      </c>
      <c r="I557" s="3308"/>
      <c r="J557" s="3308"/>
      <c r="K557" s="3308"/>
      <c r="L557" s="3308"/>
      <c r="M557" s="3308"/>
      <c r="N557" s="3308"/>
      <c r="O557" s="3308"/>
      <c r="P557" s="3308"/>
      <c r="Q557" s="3308"/>
      <c r="R557" s="3308"/>
      <c r="S557" s="3308"/>
      <c r="T557" s="3308"/>
      <c r="U557" s="3308"/>
      <c r="V557" s="3308"/>
      <c r="W557" s="3308"/>
      <c r="X557" s="3308"/>
      <c r="Y557" s="3308"/>
      <c r="Z557" s="3308"/>
      <c r="AA557" s="3308"/>
      <c r="AB557" s="3308"/>
      <c r="AC557" s="3298">
        <f t="shared" si="329"/>
        <v>0</v>
      </c>
      <c r="AD557" s="3318"/>
      <c r="AE557" s="3318"/>
      <c r="AF557" s="3318"/>
      <c r="AG557" s="3318"/>
      <c r="AH557" s="3318"/>
      <c r="AI557" s="3318"/>
      <c r="AJ557" s="3318"/>
      <c r="AK557" s="3318"/>
      <c r="AL557" s="3318"/>
      <c r="AM557" s="3318"/>
      <c r="AN557" s="3318"/>
      <c r="AO557" s="3318"/>
      <c r="AP557" s="3318"/>
      <c r="AQ557" s="3318"/>
      <c r="AR557" s="3318"/>
      <c r="AS557" s="3318"/>
      <c r="AT557" s="3328"/>
      <c r="AU557" s="3329"/>
      <c r="AV557" s="963">
        <f t="shared" si="330"/>
        <v>0</v>
      </c>
      <c r="AW557" s="963">
        <f t="shared" si="331"/>
        <v>0</v>
      </c>
      <c r="AX557" s="963">
        <f t="shared" si="332"/>
        <v>0</v>
      </c>
      <c r="AY557" s="3343">
        <f t="shared" si="333"/>
        <v>0</v>
      </c>
      <c r="AZ557" s="3298">
        <f t="shared" si="334"/>
        <v>0</v>
      </c>
      <c r="BA557" s="3298">
        <f t="shared" si="335"/>
        <v>0</v>
      </c>
      <c r="BB557" s="3298">
        <f t="shared" si="336"/>
        <v>0</v>
      </c>
      <c r="BC557" s="3298">
        <f t="shared" si="337"/>
        <v>0</v>
      </c>
      <c r="BD557" s="3298">
        <f t="shared" si="338"/>
        <v>0</v>
      </c>
      <c r="BE557" s="3298">
        <f t="shared" si="339"/>
        <v>0</v>
      </c>
      <c r="BF557" s="3298">
        <f t="shared" si="340"/>
        <v>0</v>
      </c>
      <c r="BG557" s="3298">
        <f t="shared" si="341"/>
        <v>0</v>
      </c>
      <c r="BH557" s="3298">
        <f t="shared" si="342"/>
        <v>0</v>
      </c>
      <c r="BI557" s="3298">
        <f t="shared" si="343"/>
        <v>0</v>
      </c>
      <c r="BJ557" s="3298">
        <f t="shared" si="344"/>
        <v>0</v>
      </c>
      <c r="BK557" s="3298">
        <f t="shared" si="345"/>
        <v>0</v>
      </c>
      <c r="BL557" s="3298">
        <f t="shared" si="346"/>
        <v>0</v>
      </c>
      <c r="BM557" s="3298">
        <f t="shared" si="347"/>
        <v>0</v>
      </c>
      <c r="BN557" s="3298">
        <f t="shared" si="348"/>
        <v>0</v>
      </c>
      <c r="BO557" s="3298">
        <f t="shared" si="349"/>
        <v>0</v>
      </c>
      <c r="BP557" s="3298">
        <f t="shared" si="350"/>
        <v>0</v>
      </c>
      <c r="BQ557" s="3298">
        <f t="shared" si="351"/>
        <v>0</v>
      </c>
      <c r="BR557" s="3298">
        <f t="shared" si="352"/>
        <v>0</v>
      </c>
      <c r="BS557" s="3298">
        <f t="shared" si="353"/>
        <v>0</v>
      </c>
      <c r="BT557" s="3350">
        <f t="shared" si="354"/>
        <v>0</v>
      </c>
    </row>
    <row r="558" spans="1:72">
      <c r="A558" s="1407"/>
      <c r="B558" s="3296"/>
      <c r="C558" s="3296"/>
      <c r="D558" s="3297"/>
      <c r="E558" s="3298">
        <f t="shared" si="326"/>
        <v>0</v>
      </c>
      <c r="F558" s="3299"/>
      <c r="G558" s="3300">
        <f t="shared" si="327"/>
        <v>0</v>
      </c>
      <c r="H558" s="3301">
        <f t="shared" si="328"/>
        <v>0</v>
      </c>
      <c r="I558" s="3308"/>
      <c r="J558" s="3308"/>
      <c r="K558" s="3308"/>
      <c r="L558" s="3308"/>
      <c r="M558" s="3308"/>
      <c r="N558" s="3308"/>
      <c r="O558" s="3308"/>
      <c r="P558" s="3308"/>
      <c r="Q558" s="3308"/>
      <c r="R558" s="3308"/>
      <c r="S558" s="3308"/>
      <c r="T558" s="3308"/>
      <c r="U558" s="3308"/>
      <c r="V558" s="3308"/>
      <c r="W558" s="3308"/>
      <c r="X558" s="3308"/>
      <c r="Y558" s="3308"/>
      <c r="Z558" s="3308"/>
      <c r="AA558" s="3308"/>
      <c r="AB558" s="3308"/>
      <c r="AC558" s="3298">
        <f t="shared" si="329"/>
        <v>0</v>
      </c>
      <c r="AD558" s="3318"/>
      <c r="AE558" s="3318"/>
      <c r="AF558" s="3318"/>
      <c r="AG558" s="3318"/>
      <c r="AH558" s="3318"/>
      <c r="AI558" s="3318"/>
      <c r="AJ558" s="3318"/>
      <c r="AK558" s="3318"/>
      <c r="AL558" s="3318"/>
      <c r="AM558" s="3318"/>
      <c r="AN558" s="3318"/>
      <c r="AO558" s="3318"/>
      <c r="AP558" s="3318"/>
      <c r="AQ558" s="3318"/>
      <c r="AR558" s="3318"/>
      <c r="AS558" s="3318"/>
      <c r="AT558" s="3328"/>
      <c r="AU558" s="3329"/>
      <c r="AV558" s="963">
        <f t="shared" si="330"/>
        <v>0</v>
      </c>
      <c r="AW558" s="963">
        <f t="shared" si="331"/>
        <v>0</v>
      </c>
      <c r="AX558" s="963">
        <f t="shared" si="332"/>
        <v>0</v>
      </c>
      <c r="AY558" s="3343">
        <f t="shared" si="333"/>
        <v>0</v>
      </c>
      <c r="AZ558" s="3298">
        <f t="shared" si="334"/>
        <v>0</v>
      </c>
      <c r="BA558" s="3298">
        <f t="shared" si="335"/>
        <v>0</v>
      </c>
      <c r="BB558" s="3298">
        <f t="shared" si="336"/>
        <v>0</v>
      </c>
      <c r="BC558" s="3298">
        <f t="shared" si="337"/>
        <v>0</v>
      </c>
      <c r="BD558" s="3298">
        <f t="shared" si="338"/>
        <v>0</v>
      </c>
      <c r="BE558" s="3298">
        <f t="shared" si="339"/>
        <v>0</v>
      </c>
      <c r="BF558" s="3298">
        <f t="shared" si="340"/>
        <v>0</v>
      </c>
      <c r="BG558" s="3298">
        <f t="shared" si="341"/>
        <v>0</v>
      </c>
      <c r="BH558" s="3298">
        <f t="shared" si="342"/>
        <v>0</v>
      </c>
      <c r="BI558" s="3298">
        <f t="shared" si="343"/>
        <v>0</v>
      </c>
      <c r="BJ558" s="3298">
        <f t="shared" si="344"/>
        <v>0</v>
      </c>
      <c r="BK558" s="3298">
        <f t="shared" si="345"/>
        <v>0</v>
      </c>
      <c r="BL558" s="3298">
        <f t="shared" si="346"/>
        <v>0</v>
      </c>
      <c r="BM558" s="3298">
        <f t="shared" si="347"/>
        <v>0</v>
      </c>
      <c r="BN558" s="3298">
        <f t="shared" si="348"/>
        <v>0</v>
      </c>
      <c r="BO558" s="3298">
        <f t="shared" si="349"/>
        <v>0</v>
      </c>
      <c r="BP558" s="3298">
        <f t="shared" si="350"/>
        <v>0</v>
      </c>
      <c r="BQ558" s="3298">
        <f t="shared" si="351"/>
        <v>0</v>
      </c>
      <c r="BR558" s="3298">
        <f t="shared" si="352"/>
        <v>0</v>
      </c>
      <c r="BS558" s="3298">
        <f t="shared" si="353"/>
        <v>0</v>
      </c>
      <c r="BT558" s="3350">
        <f t="shared" si="354"/>
        <v>0</v>
      </c>
    </row>
    <row r="559" spans="1:72">
      <c r="A559" s="1407"/>
      <c r="B559" s="3296"/>
      <c r="C559" s="3296"/>
      <c r="D559" s="3297"/>
      <c r="E559" s="3298">
        <f t="shared" si="326"/>
        <v>0</v>
      </c>
      <c r="F559" s="3299"/>
      <c r="G559" s="3300">
        <f t="shared" si="327"/>
        <v>0</v>
      </c>
      <c r="H559" s="3301">
        <f t="shared" si="328"/>
        <v>0</v>
      </c>
      <c r="I559" s="3308"/>
      <c r="J559" s="3308"/>
      <c r="K559" s="3308"/>
      <c r="L559" s="3308"/>
      <c r="M559" s="3308"/>
      <c r="N559" s="3308"/>
      <c r="O559" s="3308"/>
      <c r="P559" s="3308"/>
      <c r="Q559" s="3308"/>
      <c r="R559" s="3308"/>
      <c r="S559" s="3308"/>
      <c r="T559" s="3308"/>
      <c r="U559" s="3308"/>
      <c r="V559" s="3308"/>
      <c r="W559" s="3308"/>
      <c r="X559" s="3308"/>
      <c r="Y559" s="3308"/>
      <c r="Z559" s="3308"/>
      <c r="AA559" s="3308"/>
      <c r="AB559" s="3308"/>
      <c r="AC559" s="3298">
        <f t="shared" si="329"/>
        <v>0</v>
      </c>
      <c r="AD559" s="3318"/>
      <c r="AE559" s="3318"/>
      <c r="AF559" s="3318"/>
      <c r="AG559" s="3318"/>
      <c r="AH559" s="3318"/>
      <c r="AI559" s="3318"/>
      <c r="AJ559" s="3318"/>
      <c r="AK559" s="3318"/>
      <c r="AL559" s="3318"/>
      <c r="AM559" s="3318"/>
      <c r="AN559" s="3318"/>
      <c r="AO559" s="3318"/>
      <c r="AP559" s="3318"/>
      <c r="AQ559" s="3318"/>
      <c r="AR559" s="3318"/>
      <c r="AS559" s="3318"/>
      <c r="AT559" s="3328"/>
      <c r="AU559" s="3329"/>
      <c r="AV559" s="963">
        <f t="shared" si="330"/>
        <v>0</v>
      </c>
      <c r="AW559" s="963">
        <f t="shared" si="331"/>
        <v>0</v>
      </c>
      <c r="AX559" s="963">
        <f t="shared" si="332"/>
        <v>0</v>
      </c>
      <c r="AY559" s="3343">
        <f t="shared" si="333"/>
        <v>0</v>
      </c>
      <c r="AZ559" s="3298">
        <f t="shared" si="334"/>
        <v>0</v>
      </c>
      <c r="BA559" s="3298">
        <f t="shared" si="335"/>
        <v>0</v>
      </c>
      <c r="BB559" s="3298">
        <f t="shared" si="336"/>
        <v>0</v>
      </c>
      <c r="BC559" s="3298">
        <f t="shared" si="337"/>
        <v>0</v>
      </c>
      <c r="BD559" s="3298">
        <f t="shared" si="338"/>
        <v>0</v>
      </c>
      <c r="BE559" s="3298">
        <f t="shared" si="339"/>
        <v>0</v>
      </c>
      <c r="BF559" s="3298">
        <f t="shared" si="340"/>
        <v>0</v>
      </c>
      <c r="BG559" s="3298">
        <f t="shared" si="341"/>
        <v>0</v>
      </c>
      <c r="BH559" s="3298">
        <f t="shared" si="342"/>
        <v>0</v>
      </c>
      <c r="BI559" s="3298">
        <f t="shared" si="343"/>
        <v>0</v>
      </c>
      <c r="BJ559" s="3298">
        <f t="shared" si="344"/>
        <v>0</v>
      </c>
      <c r="BK559" s="3298">
        <f t="shared" si="345"/>
        <v>0</v>
      </c>
      <c r="BL559" s="3298">
        <f t="shared" si="346"/>
        <v>0</v>
      </c>
      <c r="BM559" s="3298">
        <f t="shared" si="347"/>
        <v>0</v>
      </c>
      <c r="BN559" s="3298">
        <f t="shared" si="348"/>
        <v>0</v>
      </c>
      <c r="BO559" s="3298">
        <f t="shared" si="349"/>
        <v>0</v>
      </c>
      <c r="BP559" s="3298">
        <f t="shared" si="350"/>
        <v>0</v>
      </c>
      <c r="BQ559" s="3298">
        <f t="shared" si="351"/>
        <v>0</v>
      </c>
      <c r="BR559" s="3298">
        <f t="shared" si="352"/>
        <v>0</v>
      </c>
      <c r="BS559" s="3298">
        <f t="shared" si="353"/>
        <v>0</v>
      </c>
      <c r="BT559" s="3350">
        <f t="shared" si="354"/>
        <v>0</v>
      </c>
    </row>
    <row r="560" spans="1:72">
      <c r="A560" s="1407"/>
      <c r="B560" s="3296"/>
      <c r="C560" s="3296"/>
      <c r="D560" s="3297"/>
      <c r="E560" s="3298">
        <f t="shared" si="326"/>
        <v>0</v>
      </c>
      <c r="F560" s="3299"/>
      <c r="G560" s="3300">
        <f t="shared" si="327"/>
        <v>0</v>
      </c>
      <c r="H560" s="3301">
        <f t="shared" si="328"/>
        <v>0</v>
      </c>
      <c r="I560" s="3308"/>
      <c r="J560" s="3308"/>
      <c r="K560" s="3308"/>
      <c r="L560" s="3308"/>
      <c r="M560" s="3308"/>
      <c r="N560" s="3308"/>
      <c r="O560" s="3308"/>
      <c r="P560" s="3308"/>
      <c r="Q560" s="3308"/>
      <c r="R560" s="3308"/>
      <c r="S560" s="3308"/>
      <c r="T560" s="3308"/>
      <c r="U560" s="3308"/>
      <c r="V560" s="3308"/>
      <c r="W560" s="3308"/>
      <c r="X560" s="3308"/>
      <c r="Y560" s="3308"/>
      <c r="Z560" s="3308"/>
      <c r="AA560" s="3308"/>
      <c r="AB560" s="3308"/>
      <c r="AC560" s="3298">
        <f t="shared" si="329"/>
        <v>0</v>
      </c>
      <c r="AD560" s="3318"/>
      <c r="AE560" s="3318"/>
      <c r="AF560" s="3318"/>
      <c r="AG560" s="3318"/>
      <c r="AH560" s="3318"/>
      <c r="AI560" s="3318"/>
      <c r="AJ560" s="3318"/>
      <c r="AK560" s="3318"/>
      <c r="AL560" s="3318"/>
      <c r="AM560" s="3318"/>
      <c r="AN560" s="3318"/>
      <c r="AO560" s="3318"/>
      <c r="AP560" s="3318"/>
      <c r="AQ560" s="3318"/>
      <c r="AR560" s="3318"/>
      <c r="AS560" s="3318"/>
      <c r="AT560" s="3328"/>
      <c r="AU560" s="3329"/>
      <c r="AV560" s="963">
        <f t="shared" si="330"/>
        <v>0</v>
      </c>
      <c r="AW560" s="963">
        <f t="shared" si="331"/>
        <v>0</v>
      </c>
      <c r="AX560" s="963">
        <f t="shared" si="332"/>
        <v>0</v>
      </c>
      <c r="AY560" s="3343">
        <f t="shared" si="333"/>
        <v>0</v>
      </c>
      <c r="AZ560" s="3298">
        <f t="shared" si="334"/>
        <v>0</v>
      </c>
      <c r="BA560" s="3298">
        <f t="shared" si="335"/>
        <v>0</v>
      </c>
      <c r="BB560" s="3298">
        <f t="shared" si="336"/>
        <v>0</v>
      </c>
      <c r="BC560" s="3298">
        <f t="shared" si="337"/>
        <v>0</v>
      </c>
      <c r="BD560" s="3298">
        <f t="shared" si="338"/>
        <v>0</v>
      </c>
      <c r="BE560" s="3298">
        <f t="shared" si="339"/>
        <v>0</v>
      </c>
      <c r="BF560" s="3298">
        <f t="shared" si="340"/>
        <v>0</v>
      </c>
      <c r="BG560" s="3298">
        <f t="shared" si="341"/>
        <v>0</v>
      </c>
      <c r="BH560" s="3298">
        <f t="shared" si="342"/>
        <v>0</v>
      </c>
      <c r="BI560" s="3298">
        <f t="shared" si="343"/>
        <v>0</v>
      </c>
      <c r="BJ560" s="3298">
        <f t="shared" si="344"/>
        <v>0</v>
      </c>
      <c r="BK560" s="3298">
        <f t="shared" si="345"/>
        <v>0</v>
      </c>
      <c r="BL560" s="3298">
        <f t="shared" si="346"/>
        <v>0</v>
      </c>
      <c r="BM560" s="3298">
        <f t="shared" si="347"/>
        <v>0</v>
      </c>
      <c r="BN560" s="3298">
        <f t="shared" si="348"/>
        <v>0</v>
      </c>
      <c r="BO560" s="3298">
        <f t="shared" si="349"/>
        <v>0</v>
      </c>
      <c r="BP560" s="3298">
        <f t="shared" si="350"/>
        <v>0</v>
      </c>
      <c r="BQ560" s="3298">
        <f t="shared" si="351"/>
        <v>0</v>
      </c>
      <c r="BR560" s="3298">
        <f t="shared" si="352"/>
        <v>0</v>
      </c>
      <c r="BS560" s="3298">
        <f t="shared" si="353"/>
        <v>0</v>
      </c>
      <c r="BT560" s="3350">
        <f t="shared" si="354"/>
        <v>0</v>
      </c>
    </row>
    <row r="561" spans="1:72">
      <c r="A561" s="1407"/>
      <c r="B561" s="3296"/>
      <c r="C561" s="3296"/>
      <c r="D561" s="3297"/>
      <c r="E561" s="3298">
        <f t="shared" si="326"/>
        <v>0</v>
      </c>
      <c r="F561" s="3299"/>
      <c r="G561" s="3300">
        <f t="shared" si="327"/>
        <v>0</v>
      </c>
      <c r="H561" s="3301">
        <f t="shared" si="328"/>
        <v>0</v>
      </c>
      <c r="I561" s="3308"/>
      <c r="J561" s="3308"/>
      <c r="K561" s="3308"/>
      <c r="L561" s="3308"/>
      <c r="M561" s="3308"/>
      <c r="N561" s="3308"/>
      <c r="O561" s="3308"/>
      <c r="P561" s="3308"/>
      <c r="Q561" s="3308"/>
      <c r="R561" s="3308"/>
      <c r="S561" s="3308"/>
      <c r="T561" s="3308"/>
      <c r="U561" s="3308"/>
      <c r="V561" s="3308"/>
      <c r="W561" s="3308"/>
      <c r="X561" s="3308"/>
      <c r="Y561" s="3308"/>
      <c r="Z561" s="3308"/>
      <c r="AA561" s="3308"/>
      <c r="AB561" s="3308"/>
      <c r="AC561" s="3298">
        <f t="shared" si="329"/>
        <v>0</v>
      </c>
      <c r="AD561" s="3318"/>
      <c r="AE561" s="3318"/>
      <c r="AF561" s="3318"/>
      <c r="AG561" s="3318"/>
      <c r="AH561" s="3318"/>
      <c r="AI561" s="3318"/>
      <c r="AJ561" s="3318"/>
      <c r="AK561" s="3318"/>
      <c r="AL561" s="3318"/>
      <c r="AM561" s="3318"/>
      <c r="AN561" s="3318"/>
      <c r="AO561" s="3318"/>
      <c r="AP561" s="3318"/>
      <c r="AQ561" s="3318"/>
      <c r="AR561" s="3318"/>
      <c r="AS561" s="3318"/>
      <c r="AT561" s="3328"/>
      <c r="AU561" s="3329"/>
      <c r="AV561" s="963">
        <f t="shared" si="330"/>
        <v>0</v>
      </c>
      <c r="AW561" s="963">
        <f t="shared" si="331"/>
        <v>0</v>
      </c>
      <c r="AX561" s="963">
        <f t="shared" si="332"/>
        <v>0</v>
      </c>
      <c r="AY561" s="3343">
        <f t="shared" si="333"/>
        <v>0</v>
      </c>
      <c r="AZ561" s="3298">
        <f t="shared" si="334"/>
        <v>0</v>
      </c>
      <c r="BA561" s="3298">
        <f t="shared" si="335"/>
        <v>0</v>
      </c>
      <c r="BB561" s="3298">
        <f t="shared" si="336"/>
        <v>0</v>
      </c>
      <c r="BC561" s="3298">
        <f t="shared" si="337"/>
        <v>0</v>
      </c>
      <c r="BD561" s="3298">
        <f t="shared" si="338"/>
        <v>0</v>
      </c>
      <c r="BE561" s="3298">
        <f t="shared" si="339"/>
        <v>0</v>
      </c>
      <c r="BF561" s="3298">
        <f t="shared" si="340"/>
        <v>0</v>
      </c>
      <c r="BG561" s="3298">
        <f t="shared" si="341"/>
        <v>0</v>
      </c>
      <c r="BH561" s="3298">
        <f t="shared" si="342"/>
        <v>0</v>
      </c>
      <c r="BI561" s="3298">
        <f t="shared" si="343"/>
        <v>0</v>
      </c>
      <c r="BJ561" s="3298">
        <f t="shared" si="344"/>
        <v>0</v>
      </c>
      <c r="BK561" s="3298">
        <f t="shared" si="345"/>
        <v>0</v>
      </c>
      <c r="BL561" s="3298">
        <f t="shared" si="346"/>
        <v>0</v>
      </c>
      <c r="BM561" s="3298">
        <f t="shared" si="347"/>
        <v>0</v>
      </c>
      <c r="BN561" s="3298">
        <f t="shared" si="348"/>
        <v>0</v>
      </c>
      <c r="BO561" s="3298">
        <f t="shared" si="349"/>
        <v>0</v>
      </c>
      <c r="BP561" s="3298">
        <f t="shared" si="350"/>
        <v>0</v>
      </c>
      <c r="BQ561" s="3298">
        <f t="shared" si="351"/>
        <v>0</v>
      </c>
      <c r="BR561" s="3298">
        <f t="shared" si="352"/>
        <v>0</v>
      </c>
      <c r="BS561" s="3298">
        <f t="shared" si="353"/>
        <v>0</v>
      </c>
      <c r="BT561" s="3350">
        <f t="shared" si="354"/>
        <v>0</v>
      </c>
    </row>
    <row r="562" spans="1:72">
      <c r="A562" s="1407"/>
      <c r="B562" s="3296"/>
      <c r="C562" s="3296"/>
      <c r="D562" s="3297"/>
      <c r="E562" s="3298">
        <f t="shared" si="326"/>
        <v>0</v>
      </c>
      <c r="F562" s="3299"/>
      <c r="G562" s="3300">
        <f t="shared" si="327"/>
        <v>0</v>
      </c>
      <c r="H562" s="3301">
        <f t="shared" si="328"/>
        <v>0</v>
      </c>
      <c r="I562" s="3308"/>
      <c r="J562" s="3308"/>
      <c r="K562" s="3308"/>
      <c r="L562" s="3308"/>
      <c r="M562" s="3308"/>
      <c r="N562" s="3308"/>
      <c r="O562" s="3308"/>
      <c r="P562" s="3308"/>
      <c r="Q562" s="3308"/>
      <c r="R562" s="3308"/>
      <c r="S562" s="3308"/>
      <c r="T562" s="3308"/>
      <c r="U562" s="3308"/>
      <c r="V562" s="3308"/>
      <c r="W562" s="3308"/>
      <c r="X562" s="3308"/>
      <c r="Y562" s="3308"/>
      <c r="Z562" s="3308"/>
      <c r="AA562" s="3308"/>
      <c r="AB562" s="3308"/>
      <c r="AC562" s="3298">
        <f t="shared" si="329"/>
        <v>0</v>
      </c>
      <c r="AD562" s="3318"/>
      <c r="AE562" s="3318"/>
      <c r="AF562" s="3318"/>
      <c r="AG562" s="3318"/>
      <c r="AH562" s="3318"/>
      <c r="AI562" s="3318"/>
      <c r="AJ562" s="3318"/>
      <c r="AK562" s="3318"/>
      <c r="AL562" s="3318"/>
      <c r="AM562" s="3318"/>
      <c r="AN562" s="3318"/>
      <c r="AO562" s="3318"/>
      <c r="AP562" s="3318"/>
      <c r="AQ562" s="3318"/>
      <c r="AR562" s="3318"/>
      <c r="AS562" s="3318"/>
      <c r="AT562" s="3328"/>
      <c r="AU562" s="3329"/>
      <c r="AV562" s="963">
        <f t="shared" si="330"/>
        <v>0</v>
      </c>
      <c r="AW562" s="963">
        <f t="shared" si="331"/>
        <v>0</v>
      </c>
      <c r="AX562" s="963">
        <f t="shared" si="332"/>
        <v>0</v>
      </c>
      <c r="AY562" s="3343">
        <f t="shared" si="333"/>
        <v>0</v>
      </c>
      <c r="AZ562" s="3298">
        <f t="shared" si="334"/>
        <v>0</v>
      </c>
      <c r="BA562" s="3298">
        <f t="shared" si="335"/>
        <v>0</v>
      </c>
      <c r="BB562" s="3298">
        <f t="shared" si="336"/>
        <v>0</v>
      </c>
      <c r="BC562" s="3298">
        <f t="shared" si="337"/>
        <v>0</v>
      </c>
      <c r="BD562" s="3298">
        <f t="shared" si="338"/>
        <v>0</v>
      </c>
      <c r="BE562" s="3298">
        <f t="shared" si="339"/>
        <v>0</v>
      </c>
      <c r="BF562" s="3298">
        <f t="shared" si="340"/>
        <v>0</v>
      </c>
      <c r="BG562" s="3298">
        <f t="shared" si="341"/>
        <v>0</v>
      </c>
      <c r="BH562" s="3298">
        <f t="shared" si="342"/>
        <v>0</v>
      </c>
      <c r="BI562" s="3298">
        <f t="shared" si="343"/>
        <v>0</v>
      </c>
      <c r="BJ562" s="3298">
        <f t="shared" si="344"/>
        <v>0</v>
      </c>
      <c r="BK562" s="3298">
        <f t="shared" si="345"/>
        <v>0</v>
      </c>
      <c r="BL562" s="3298">
        <f t="shared" si="346"/>
        <v>0</v>
      </c>
      <c r="BM562" s="3298">
        <f t="shared" si="347"/>
        <v>0</v>
      </c>
      <c r="BN562" s="3298">
        <f t="shared" si="348"/>
        <v>0</v>
      </c>
      <c r="BO562" s="3298">
        <f t="shared" si="349"/>
        <v>0</v>
      </c>
      <c r="BP562" s="3298">
        <f t="shared" si="350"/>
        <v>0</v>
      </c>
      <c r="BQ562" s="3298">
        <f t="shared" si="351"/>
        <v>0</v>
      </c>
      <c r="BR562" s="3298">
        <f t="shared" si="352"/>
        <v>0</v>
      </c>
      <c r="BS562" s="3298">
        <f t="shared" si="353"/>
        <v>0</v>
      </c>
      <c r="BT562" s="3350">
        <f t="shared" si="354"/>
        <v>0</v>
      </c>
    </row>
    <row r="563" spans="1:72">
      <c r="A563" s="1407"/>
      <c r="B563" s="3296"/>
      <c r="C563" s="3296"/>
      <c r="D563" s="3297"/>
      <c r="E563" s="3298">
        <f t="shared" si="326"/>
        <v>0</v>
      </c>
      <c r="F563" s="3299"/>
      <c r="G563" s="3300">
        <f t="shared" si="327"/>
        <v>0</v>
      </c>
      <c r="H563" s="3301">
        <f t="shared" si="328"/>
        <v>0</v>
      </c>
      <c r="I563" s="3308"/>
      <c r="J563" s="3308"/>
      <c r="K563" s="3308"/>
      <c r="L563" s="3308"/>
      <c r="M563" s="3308"/>
      <c r="N563" s="3308"/>
      <c r="O563" s="3308"/>
      <c r="P563" s="3308"/>
      <c r="Q563" s="3308"/>
      <c r="R563" s="3308"/>
      <c r="S563" s="3308"/>
      <c r="T563" s="3308"/>
      <c r="U563" s="3308"/>
      <c r="V563" s="3308"/>
      <c r="W563" s="3308"/>
      <c r="X563" s="3308"/>
      <c r="Y563" s="3308"/>
      <c r="Z563" s="3308"/>
      <c r="AA563" s="3308"/>
      <c r="AB563" s="3308"/>
      <c r="AC563" s="3298">
        <f t="shared" si="329"/>
        <v>0</v>
      </c>
      <c r="AD563" s="3318"/>
      <c r="AE563" s="3318"/>
      <c r="AF563" s="3318"/>
      <c r="AG563" s="3318"/>
      <c r="AH563" s="3318"/>
      <c r="AI563" s="3318"/>
      <c r="AJ563" s="3318"/>
      <c r="AK563" s="3318"/>
      <c r="AL563" s="3318"/>
      <c r="AM563" s="3318"/>
      <c r="AN563" s="3318"/>
      <c r="AO563" s="3318"/>
      <c r="AP563" s="3318"/>
      <c r="AQ563" s="3318"/>
      <c r="AR563" s="3318"/>
      <c r="AS563" s="3318"/>
      <c r="AT563" s="3328"/>
      <c r="AU563" s="3329"/>
      <c r="AV563" s="963">
        <f t="shared" si="330"/>
        <v>0</v>
      </c>
      <c r="AW563" s="963">
        <f t="shared" si="331"/>
        <v>0</v>
      </c>
      <c r="AX563" s="963">
        <f t="shared" si="332"/>
        <v>0</v>
      </c>
      <c r="AY563" s="3343">
        <f t="shared" si="333"/>
        <v>0</v>
      </c>
      <c r="AZ563" s="3298">
        <f t="shared" si="334"/>
        <v>0</v>
      </c>
      <c r="BA563" s="3298">
        <f t="shared" si="335"/>
        <v>0</v>
      </c>
      <c r="BB563" s="3298">
        <f t="shared" si="336"/>
        <v>0</v>
      </c>
      <c r="BC563" s="3298">
        <f t="shared" si="337"/>
        <v>0</v>
      </c>
      <c r="BD563" s="3298">
        <f t="shared" si="338"/>
        <v>0</v>
      </c>
      <c r="BE563" s="3298">
        <f t="shared" si="339"/>
        <v>0</v>
      </c>
      <c r="BF563" s="3298">
        <f t="shared" si="340"/>
        <v>0</v>
      </c>
      <c r="BG563" s="3298">
        <f t="shared" si="341"/>
        <v>0</v>
      </c>
      <c r="BH563" s="3298">
        <f t="shared" si="342"/>
        <v>0</v>
      </c>
      <c r="BI563" s="3298">
        <f t="shared" si="343"/>
        <v>0</v>
      </c>
      <c r="BJ563" s="3298">
        <f t="shared" si="344"/>
        <v>0</v>
      </c>
      <c r="BK563" s="3298">
        <f t="shared" si="345"/>
        <v>0</v>
      </c>
      <c r="BL563" s="3298">
        <f t="shared" si="346"/>
        <v>0</v>
      </c>
      <c r="BM563" s="3298">
        <f t="shared" si="347"/>
        <v>0</v>
      </c>
      <c r="BN563" s="3298">
        <f t="shared" si="348"/>
        <v>0</v>
      </c>
      <c r="BO563" s="3298">
        <f t="shared" si="349"/>
        <v>0</v>
      </c>
      <c r="BP563" s="3298">
        <f t="shared" si="350"/>
        <v>0</v>
      </c>
      <c r="BQ563" s="3298">
        <f t="shared" si="351"/>
        <v>0</v>
      </c>
      <c r="BR563" s="3298">
        <f t="shared" si="352"/>
        <v>0</v>
      </c>
      <c r="BS563" s="3298">
        <f t="shared" si="353"/>
        <v>0</v>
      </c>
      <c r="BT563" s="3350">
        <f t="shared" si="354"/>
        <v>0</v>
      </c>
    </row>
    <row r="564" spans="1:72">
      <c r="A564" s="1407"/>
      <c r="B564" s="3296"/>
      <c r="C564" s="3296"/>
      <c r="D564" s="3297"/>
      <c r="E564" s="3298">
        <f t="shared" si="326"/>
        <v>0</v>
      </c>
      <c r="F564" s="3299"/>
      <c r="G564" s="3300">
        <f t="shared" si="327"/>
        <v>0</v>
      </c>
      <c r="H564" s="3301">
        <f t="shared" si="328"/>
        <v>0</v>
      </c>
      <c r="I564" s="3308"/>
      <c r="J564" s="3308"/>
      <c r="K564" s="3308"/>
      <c r="L564" s="3308"/>
      <c r="M564" s="3308"/>
      <c r="N564" s="3308"/>
      <c r="O564" s="3308"/>
      <c r="P564" s="3308"/>
      <c r="Q564" s="3308"/>
      <c r="R564" s="3308"/>
      <c r="S564" s="3308"/>
      <c r="T564" s="3308"/>
      <c r="U564" s="3308"/>
      <c r="V564" s="3308"/>
      <c r="W564" s="3308"/>
      <c r="X564" s="3308"/>
      <c r="Y564" s="3308"/>
      <c r="Z564" s="3308"/>
      <c r="AA564" s="3308"/>
      <c r="AB564" s="3308"/>
      <c r="AC564" s="3298">
        <f t="shared" si="329"/>
        <v>0</v>
      </c>
      <c r="AD564" s="3318"/>
      <c r="AE564" s="3318"/>
      <c r="AF564" s="3318"/>
      <c r="AG564" s="3318"/>
      <c r="AH564" s="3318"/>
      <c r="AI564" s="3318"/>
      <c r="AJ564" s="3318"/>
      <c r="AK564" s="3318"/>
      <c r="AL564" s="3318"/>
      <c r="AM564" s="3318"/>
      <c r="AN564" s="3318"/>
      <c r="AO564" s="3318"/>
      <c r="AP564" s="3318"/>
      <c r="AQ564" s="3318"/>
      <c r="AR564" s="3318"/>
      <c r="AS564" s="3318"/>
      <c r="AT564" s="3328"/>
      <c r="AU564" s="3329"/>
      <c r="AV564" s="963">
        <f t="shared" si="330"/>
        <v>0</v>
      </c>
      <c r="AW564" s="963">
        <f t="shared" si="331"/>
        <v>0</v>
      </c>
      <c r="AX564" s="963">
        <f t="shared" si="332"/>
        <v>0</v>
      </c>
      <c r="AY564" s="3343">
        <f t="shared" si="333"/>
        <v>0</v>
      </c>
      <c r="AZ564" s="3298">
        <f t="shared" si="334"/>
        <v>0</v>
      </c>
      <c r="BA564" s="3298">
        <f t="shared" si="335"/>
        <v>0</v>
      </c>
      <c r="BB564" s="3298">
        <f t="shared" si="336"/>
        <v>0</v>
      </c>
      <c r="BC564" s="3298">
        <f t="shared" si="337"/>
        <v>0</v>
      </c>
      <c r="BD564" s="3298">
        <f t="shared" si="338"/>
        <v>0</v>
      </c>
      <c r="BE564" s="3298">
        <f t="shared" si="339"/>
        <v>0</v>
      </c>
      <c r="BF564" s="3298">
        <f t="shared" si="340"/>
        <v>0</v>
      </c>
      <c r="BG564" s="3298">
        <f t="shared" si="341"/>
        <v>0</v>
      </c>
      <c r="BH564" s="3298">
        <f t="shared" si="342"/>
        <v>0</v>
      </c>
      <c r="BI564" s="3298">
        <f t="shared" si="343"/>
        <v>0</v>
      </c>
      <c r="BJ564" s="3298">
        <f t="shared" si="344"/>
        <v>0</v>
      </c>
      <c r="BK564" s="3298">
        <f t="shared" si="345"/>
        <v>0</v>
      </c>
      <c r="BL564" s="3298">
        <f t="shared" si="346"/>
        <v>0</v>
      </c>
      <c r="BM564" s="3298">
        <f t="shared" si="347"/>
        <v>0</v>
      </c>
      <c r="BN564" s="3298">
        <f t="shared" si="348"/>
        <v>0</v>
      </c>
      <c r="BO564" s="3298">
        <f t="shared" si="349"/>
        <v>0</v>
      </c>
      <c r="BP564" s="3298">
        <f t="shared" si="350"/>
        <v>0</v>
      </c>
      <c r="BQ564" s="3298">
        <f t="shared" si="351"/>
        <v>0</v>
      </c>
      <c r="BR564" s="3298">
        <f t="shared" si="352"/>
        <v>0</v>
      </c>
      <c r="BS564" s="3298">
        <f t="shared" si="353"/>
        <v>0</v>
      </c>
      <c r="BT564" s="3350">
        <f t="shared" si="354"/>
        <v>0</v>
      </c>
    </row>
    <row r="565" spans="1:72">
      <c r="A565" s="1407"/>
      <c r="B565" s="3296"/>
      <c r="C565" s="3296"/>
      <c r="D565" s="3297"/>
      <c r="E565" s="3298">
        <f t="shared" si="326"/>
        <v>0</v>
      </c>
      <c r="F565" s="3299"/>
      <c r="G565" s="3300">
        <f t="shared" si="327"/>
        <v>0</v>
      </c>
      <c r="H565" s="3301">
        <f t="shared" si="328"/>
        <v>0</v>
      </c>
      <c r="I565" s="3308"/>
      <c r="J565" s="3308"/>
      <c r="K565" s="3308"/>
      <c r="L565" s="3308"/>
      <c r="M565" s="3308"/>
      <c r="N565" s="3308"/>
      <c r="O565" s="3308"/>
      <c r="P565" s="3308"/>
      <c r="Q565" s="3308"/>
      <c r="R565" s="3308"/>
      <c r="S565" s="3308"/>
      <c r="T565" s="3308"/>
      <c r="U565" s="3308"/>
      <c r="V565" s="3308"/>
      <c r="W565" s="3308"/>
      <c r="X565" s="3308"/>
      <c r="Y565" s="3308"/>
      <c r="Z565" s="3308"/>
      <c r="AA565" s="3308"/>
      <c r="AB565" s="3308"/>
      <c r="AC565" s="3298">
        <f t="shared" si="329"/>
        <v>0</v>
      </c>
      <c r="AD565" s="3318"/>
      <c r="AE565" s="3318"/>
      <c r="AF565" s="3318"/>
      <c r="AG565" s="3318"/>
      <c r="AH565" s="3318"/>
      <c r="AI565" s="3318"/>
      <c r="AJ565" s="3318"/>
      <c r="AK565" s="3318"/>
      <c r="AL565" s="3318"/>
      <c r="AM565" s="3318"/>
      <c r="AN565" s="3318"/>
      <c r="AO565" s="3318"/>
      <c r="AP565" s="3318"/>
      <c r="AQ565" s="3318"/>
      <c r="AR565" s="3318"/>
      <c r="AS565" s="3318"/>
      <c r="AT565" s="3328"/>
      <c r="AU565" s="3329"/>
      <c r="AV565" s="963">
        <f t="shared" si="330"/>
        <v>0</v>
      </c>
      <c r="AW565" s="963">
        <f t="shared" si="331"/>
        <v>0</v>
      </c>
      <c r="AX565" s="963">
        <f t="shared" si="332"/>
        <v>0</v>
      </c>
      <c r="AY565" s="3343">
        <f t="shared" si="333"/>
        <v>0</v>
      </c>
      <c r="AZ565" s="3298">
        <f t="shared" si="334"/>
        <v>0</v>
      </c>
      <c r="BA565" s="3298">
        <f t="shared" si="335"/>
        <v>0</v>
      </c>
      <c r="BB565" s="3298">
        <f t="shared" si="336"/>
        <v>0</v>
      </c>
      <c r="BC565" s="3298">
        <f t="shared" si="337"/>
        <v>0</v>
      </c>
      <c r="BD565" s="3298">
        <f t="shared" si="338"/>
        <v>0</v>
      </c>
      <c r="BE565" s="3298">
        <f t="shared" si="339"/>
        <v>0</v>
      </c>
      <c r="BF565" s="3298">
        <f t="shared" si="340"/>
        <v>0</v>
      </c>
      <c r="BG565" s="3298">
        <f t="shared" si="341"/>
        <v>0</v>
      </c>
      <c r="BH565" s="3298">
        <f t="shared" si="342"/>
        <v>0</v>
      </c>
      <c r="BI565" s="3298">
        <f t="shared" si="343"/>
        <v>0</v>
      </c>
      <c r="BJ565" s="3298">
        <f t="shared" si="344"/>
        <v>0</v>
      </c>
      <c r="BK565" s="3298">
        <f t="shared" si="345"/>
        <v>0</v>
      </c>
      <c r="BL565" s="3298">
        <f t="shared" si="346"/>
        <v>0</v>
      </c>
      <c r="BM565" s="3298">
        <f t="shared" si="347"/>
        <v>0</v>
      </c>
      <c r="BN565" s="3298">
        <f t="shared" si="348"/>
        <v>0</v>
      </c>
      <c r="BO565" s="3298">
        <f t="shared" si="349"/>
        <v>0</v>
      </c>
      <c r="BP565" s="3298">
        <f t="shared" si="350"/>
        <v>0</v>
      </c>
      <c r="BQ565" s="3298">
        <f t="shared" si="351"/>
        <v>0</v>
      </c>
      <c r="BR565" s="3298">
        <f t="shared" si="352"/>
        <v>0</v>
      </c>
      <c r="BS565" s="3298">
        <f t="shared" si="353"/>
        <v>0</v>
      </c>
      <c r="BT565" s="3350">
        <f t="shared" si="354"/>
        <v>0</v>
      </c>
    </row>
    <row r="566" spans="1:72">
      <c r="A566" s="1407"/>
      <c r="B566" s="3296"/>
      <c r="C566" s="3296"/>
      <c r="D566" s="3297"/>
      <c r="E566" s="3298">
        <f t="shared" si="326"/>
        <v>0</v>
      </c>
      <c r="F566" s="3299"/>
      <c r="G566" s="3300">
        <f t="shared" si="327"/>
        <v>0</v>
      </c>
      <c r="H566" s="3301">
        <f t="shared" si="328"/>
        <v>0</v>
      </c>
      <c r="I566" s="3308"/>
      <c r="J566" s="3308"/>
      <c r="K566" s="3308"/>
      <c r="L566" s="3308"/>
      <c r="M566" s="3308"/>
      <c r="N566" s="3308"/>
      <c r="O566" s="3308"/>
      <c r="P566" s="3308"/>
      <c r="Q566" s="3308"/>
      <c r="R566" s="3308"/>
      <c r="S566" s="3308"/>
      <c r="T566" s="3308"/>
      <c r="U566" s="3308"/>
      <c r="V566" s="3308"/>
      <c r="W566" s="3308"/>
      <c r="X566" s="3308"/>
      <c r="Y566" s="3308"/>
      <c r="Z566" s="3308"/>
      <c r="AA566" s="3308"/>
      <c r="AB566" s="3308"/>
      <c r="AC566" s="3298">
        <f t="shared" si="329"/>
        <v>0</v>
      </c>
      <c r="AD566" s="3318"/>
      <c r="AE566" s="3318"/>
      <c r="AF566" s="3318"/>
      <c r="AG566" s="3318"/>
      <c r="AH566" s="3318"/>
      <c r="AI566" s="3318"/>
      <c r="AJ566" s="3318"/>
      <c r="AK566" s="3318"/>
      <c r="AL566" s="3318"/>
      <c r="AM566" s="3318"/>
      <c r="AN566" s="3318"/>
      <c r="AO566" s="3318"/>
      <c r="AP566" s="3318"/>
      <c r="AQ566" s="3318"/>
      <c r="AR566" s="3318"/>
      <c r="AS566" s="3318"/>
      <c r="AT566" s="3328"/>
      <c r="AU566" s="3329"/>
      <c r="AV566" s="963">
        <f t="shared" si="330"/>
        <v>0</v>
      </c>
      <c r="AW566" s="963">
        <f t="shared" si="331"/>
        <v>0</v>
      </c>
      <c r="AX566" s="963">
        <f t="shared" si="332"/>
        <v>0</v>
      </c>
      <c r="AY566" s="3343">
        <f t="shared" si="333"/>
        <v>0</v>
      </c>
      <c r="AZ566" s="3298">
        <f t="shared" si="334"/>
        <v>0</v>
      </c>
      <c r="BA566" s="3298">
        <f t="shared" si="335"/>
        <v>0</v>
      </c>
      <c r="BB566" s="3298">
        <f t="shared" si="336"/>
        <v>0</v>
      </c>
      <c r="BC566" s="3298">
        <f t="shared" si="337"/>
        <v>0</v>
      </c>
      <c r="BD566" s="3298">
        <f t="shared" si="338"/>
        <v>0</v>
      </c>
      <c r="BE566" s="3298">
        <f t="shared" si="339"/>
        <v>0</v>
      </c>
      <c r="BF566" s="3298">
        <f t="shared" si="340"/>
        <v>0</v>
      </c>
      <c r="BG566" s="3298">
        <f t="shared" si="341"/>
        <v>0</v>
      </c>
      <c r="BH566" s="3298">
        <f t="shared" si="342"/>
        <v>0</v>
      </c>
      <c r="BI566" s="3298">
        <f t="shared" si="343"/>
        <v>0</v>
      </c>
      <c r="BJ566" s="3298">
        <f t="shared" si="344"/>
        <v>0</v>
      </c>
      <c r="BK566" s="3298">
        <f t="shared" si="345"/>
        <v>0</v>
      </c>
      <c r="BL566" s="3298">
        <f t="shared" si="346"/>
        <v>0</v>
      </c>
      <c r="BM566" s="3298">
        <f t="shared" si="347"/>
        <v>0</v>
      </c>
      <c r="BN566" s="3298">
        <f t="shared" si="348"/>
        <v>0</v>
      </c>
      <c r="BO566" s="3298">
        <f t="shared" si="349"/>
        <v>0</v>
      </c>
      <c r="BP566" s="3298">
        <f t="shared" si="350"/>
        <v>0</v>
      </c>
      <c r="BQ566" s="3298">
        <f t="shared" si="351"/>
        <v>0</v>
      </c>
      <c r="BR566" s="3298">
        <f t="shared" si="352"/>
        <v>0</v>
      </c>
      <c r="BS566" s="3298">
        <f t="shared" si="353"/>
        <v>0</v>
      </c>
      <c r="BT566" s="3350">
        <f t="shared" si="354"/>
        <v>0</v>
      </c>
    </row>
    <row r="567" spans="1:72">
      <c r="A567" s="1407"/>
      <c r="B567" s="3296"/>
      <c r="C567" s="3296"/>
      <c r="D567" s="3297"/>
      <c r="E567" s="3298">
        <f t="shared" si="326"/>
        <v>0</v>
      </c>
      <c r="F567" s="3299"/>
      <c r="G567" s="3300">
        <f t="shared" si="327"/>
        <v>0</v>
      </c>
      <c r="H567" s="3301">
        <f t="shared" si="328"/>
        <v>0</v>
      </c>
      <c r="I567" s="3308"/>
      <c r="J567" s="3308"/>
      <c r="K567" s="3308"/>
      <c r="L567" s="3308"/>
      <c r="M567" s="3308"/>
      <c r="N567" s="3308"/>
      <c r="O567" s="3308"/>
      <c r="P567" s="3308"/>
      <c r="Q567" s="3308"/>
      <c r="R567" s="3308"/>
      <c r="S567" s="3308"/>
      <c r="T567" s="3308"/>
      <c r="U567" s="3308"/>
      <c r="V567" s="3308"/>
      <c r="W567" s="3308"/>
      <c r="X567" s="3308"/>
      <c r="Y567" s="3308"/>
      <c r="Z567" s="3308"/>
      <c r="AA567" s="3308"/>
      <c r="AB567" s="3308"/>
      <c r="AC567" s="3298">
        <f t="shared" si="329"/>
        <v>0</v>
      </c>
      <c r="AD567" s="3318"/>
      <c r="AE567" s="3318"/>
      <c r="AF567" s="3318"/>
      <c r="AG567" s="3318"/>
      <c r="AH567" s="3318"/>
      <c r="AI567" s="3318"/>
      <c r="AJ567" s="3318"/>
      <c r="AK567" s="3318"/>
      <c r="AL567" s="3318"/>
      <c r="AM567" s="3318"/>
      <c r="AN567" s="3318"/>
      <c r="AO567" s="3318"/>
      <c r="AP567" s="3318"/>
      <c r="AQ567" s="3318"/>
      <c r="AR567" s="3318"/>
      <c r="AS567" s="3318"/>
      <c r="AT567" s="3328"/>
      <c r="AU567" s="3329"/>
      <c r="AV567" s="963">
        <f t="shared" si="330"/>
        <v>0</v>
      </c>
      <c r="AW567" s="963">
        <f t="shared" si="331"/>
        <v>0</v>
      </c>
      <c r="AX567" s="963">
        <f t="shared" si="332"/>
        <v>0</v>
      </c>
      <c r="AY567" s="3343">
        <f t="shared" si="333"/>
        <v>0</v>
      </c>
      <c r="AZ567" s="3298">
        <f t="shared" si="334"/>
        <v>0</v>
      </c>
      <c r="BA567" s="3298">
        <f t="shared" si="335"/>
        <v>0</v>
      </c>
      <c r="BB567" s="3298">
        <f t="shared" si="336"/>
        <v>0</v>
      </c>
      <c r="BC567" s="3298">
        <f t="shared" si="337"/>
        <v>0</v>
      </c>
      <c r="BD567" s="3298">
        <f t="shared" si="338"/>
        <v>0</v>
      </c>
      <c r="BE567" s="3298">
        <f t="shared" si="339"/>
        <v>0</v>
      </c>
      <c r="BF567" s="3298">
        <f t="shared" si="340"/>
        <v>0</v>
      </c>
      <c r="BG567" s="3298">
        <f t="shared" si="341"/>
        <v>0</v>
      </c>
      <c r="BH567" s="3298">
        <f t="shared" si="342"/>
        <v>0</v>
      </c>
      <c r="BI567" s="3298">
        <f t="shared" si="343"/>
        <v>0</v>
      </c>
      <c r="BJ567" s="3298">
        <f t="shared" si="344"/>
        <v>0</v>
      </c>
      <c r="BK567" s="3298">
        <f t="shared" si="345"/>
        <v>0</v>
      </c>
      <c r="BL567" s="3298">
        <f t="shared" si="346"/>
        <v>0</v>
      </c>
      <c r="BM567" s="3298">
        <f t="shared" si="347"/>
        <v>0</v>
      </c>
      <c r="BN567" s="3298">
        <f t="shared" si="348"/>
        <v>0</v>
      </c>
      <c r="BO567" s="3298">
        <f t="shared" si="349"/>
        <v>0</v>
      </c>
      <c r="BP567" s="3298">
        <f t="shared" si="350"/>
        <v>0</v>
      </c>
      <c r="BQ567" s="3298">
        <f t="shared" si="351"/>
        <v>0</v>
      </c>
      <c r="BR567" s="3298">
        <f t="shared" si="352"/>
        <v>0</v>
      </c>
      <c r="BS567" s="3298">
        <f t="shared" si="353"/>
        <v>0</v>
      </c>
      <c r="BT567" s="3350">
        <f t="shared" si="354"/>
        <v>0</v>
      </c>
    </row>
    <row r="568" spans="1:72">
      <c r="A568" s="1407"/>
      <c r="B568" s="3296"/>
      <c r="C568" s="3296"/>
      <c r="D568" s="3297"/>
      <c r="E568" s="3298">
        <f t="shared" si="326"/>
        <v>0</v>
      </c>
      <c r="F568" s="3299"/>
      <c r="G568" s="3300">
        <f t="shared" si="327"/>
        <v>0</v>
      </c>
      <c r="H568" s="3301">
        <f t="shared" si="328"/>
        <v>0</v>
      </c>
      <c r="I568" s="3308"/>
      <c r="J568" s="3308"/>
      <c r="K568" s="3308"/>
      <c r="L568" s="3308"/>
      <c r="M568" s="3308"/>
      <c r="N568" s="3308"/>
      <c r="O568" s="3308"/>
      <c r="P568" s="3308"/>
      <c r="Q568" s="3308"/>
      <c r="R568" s="3308"/>
      <c r="S568" s="3308"/>
      <c r="T568" s="3308"/>
      <c r="U568" s="3308"/>
      <c r="V568" s="3308"/>
      <c r="W568" s="3308"/>
      <c r="X568" s="3308"/>
      <c r="Y568" s="3308"/>
      <c r="Z568" s="3308"/>
      <c r="AA568" s="3308"/>
      <c r="AB568" s="3308"/>
      <c r="AC568" s="3298">
        <f t="shared" si="329"/>
        <v>0</v>
      </c>
      <c r="AD568" s="3318"/>
      <c r="AE568" s="3318"/>
      <c r="AF568" s="3318"/>
      <c r="AG568" s="3318"/>
      <c r="AH568" s="3318"/>
      <c r="AI568" s="3318"/>
      <c r="AJ568" s="3318"/>
      <c r="AK568" s="3318"/>
      <c r="AL568" s="3318"/>
      <c r="AM568" s="3318"/>
      <c r="AN568" s="3318"/>
      <c r="AO568" s="3318"/>
      <c r="AP568" s="3318"/>
      <c r="AQ568" s="3318"/>
      <c r="AR568" s="3318"/>
      <c r="AS568" s="3318"/>
      <c r="AT568" s="3328"/>
      <c r="AU568" s="3329"/>
      <c r="AV568" s="963">
        <f t="shared" si="330"/>
        <v>0</v>
      </c>
      <c r="AW568" s="963">
        <f t="shared" si="331"/>
        <v>0</v>
      </c>
      <c r="AX568" s="963">
        <f t="shared" si="332"/>
        <v>0</v>
      </c>
      <c r="AY568" s="3343">
        <f t="shared" si="333"/>
        <v>0</v>
      </c>
      <c r="AZ568" s="3298">
        <f t="shared" si="334"/>
        <v>0</v>
      </c>
      <c r="BA568" s="3298">
        <f t="shared" si="335"/>
        <v>0</v>
      </c>
      <c r="BB568" s="3298">
        <f t="shared" si="336"/>
        <v>0</v>
      </c>
      <c r="BC568" s="3298">
        <f t="shared" si="337"/>
        <v>0</v>
      </c>
      <c r="BD568" s="3298">
        <f t="shared" si="338"/>
        <v>0</v>
      </c>
      <c r="BE568" s="3298">
        <f t="shared" si="339"/>
        <v>0</v>
      </c>
      <c r="BF568" s="3298">
        <f t="shared" si="340"/>
        <v>0</v>
      </c>
      <c r="BG568" s="3298">
        <f t="shared" si="341"/>
        <v>0</v>
      </c>
      <c r="BH568" s="3298">
        <f t="shared" si="342"/>
        <v>0</v>
      </c>
      <c r="BI568" s="3298">
        <f t="shared" si="343"/>
        <v>0</v>
      </c>
      <c r="BJ568" s="3298">
        <f t="shared" si="344"/>
        <v>0</v>
      </c>
      <c r="BK568" s="3298">
        <f t="shared" si="345"/>
        <v>0</v>
      </c>
      <c r="BL568" s="3298">
        <f t="shared" si="346"/>
        <v>0</v>
      </c>
      <c r="BM568" s="3298">
        <f t="shared" si="347"/>
        <v>0</v>
      </c>
      <c r="BN568" s="3298">
        <f t="shared" si="348"/>
        <v>0</v>
      </c>
      <c r="BO568" s="3298">
        <f t="shared" si="349"/>
        <v>0</v>
      </c>
      <c r="BP568" s="3298">
        <f t="shared" si="350"/>
        <v>0</v>
      </c>
      <c r="BQ568" s="3298">
        <f t="shared" si="351"/>
        <v>0</v>
      </c>
      <c r="BR568" s="3298">
        <f t="shared" si="352"/>
        <v>0</v>
      </c>
      <c r="BS568" s="3298">
        <f t="shared" si="353"/>
        <v>0</v>
      </c>
      <c r="BT568" s="3350">
        <f t="shared" si="354"/>
        <v>0</v>
      </c>
    </row>
    <row r="569" spans="1:72">
      <c r="A569" s="1407"/>
      <c r="B569" s="3296"/>
      <c r="C569" s="3296"/>
      <c r="D569" s="3297"/>
      <c r="E569" s="3298">
        <f t="shared" si="326"/>
        <v>0</v>
      </c>
      <c r="F569" s="3299"/>
      <c r="G569" s="3300">
        <f t="shared" si="327"/>
        <v>0</v>
      </c>
      <c r="H569" s="3301">
        <f t="shared" si="328"/>
        <v>0</v>
      </c>
      <c r="I569" s="3308"/>
      <c r="J569" s="3308"/>
      <c r="K569" s="3308"/>
      <c r="L569" s="3308"/>
      <c r="M569" s="3308"/>
      <c r="N569" s="3308"/>
      <c r="O569" s="3308"/>
      <c r="P569" s="3308"/>
      <c r="Q569" s="3308"/>
      <c r="R569" s="3308"/>
      <c r="S569" s="3308"/>
      <c r="T569" s="3308"/>
      <c r="U569" s="3308"/>
      <c r="V569" s="3308"/>
      <c r="W569" s="3308"/>
      <c r="X569" s="3308"/>
      <c r="Y569" s="3308"/>
      <c r="Z569" s="3308"/>
      <c r="AA569" s="3308"/>
      <c r="AB569" s="3308"/>
      <c r="AC569" s="3298">
        <f t="shared" si="329"/>
        <v>0</v>
      </c>
      <c r="AD569" s="3318"/>
      <c r="AE569" s="3318"/>
      <c r="AF569" s="3318"/>
      <c r="AG569" s="3318"/>
      <c r="AH569" s="3318"/>
      <c r="AI569" s="3318"/>
      <c r="AJ569" s="3318"/>
      <c r="AK569" s="3318"/>
      <c r="AL569" s="3318"/>
      <c r="AM569" s="3318"/>
      <c r="AN569" s="3318"/>
      <c r="AO569" s="3318"/>
      <c r="AP569" s="3318"/>
      <c r="AQ569" s="3318"/>
      <c r="AR569" s="3318"/>
      <c r="AS569" s="3318"/>
      <c r="AT569" s="3328"/>
      <c r="AU569" s="3329"/>
      <c r="AV569" s="963">
        <f t="shared" si="330"/>
        <v>0</v>
      </c>
      <c r="AW569" s="963">
        <f t="shared" si="331"/>
        <v>0</v>
      </c>
      <c r="AX569" s="963">
        <f t="shared" si="332"/>
        <v>0</v>
      </c>
      <c r="AY569" s="3343">
        <f t="shared" si="333"/>
        <v>0</v>
      </c>
      <c r="AZ569" s="3298">
        <f t="shared" si="334"/>
        <v>0</v>
      </c>
      <c r="BA569" s="3298">
        <f t="shared" si="335"/>
        <v>0</v>
      </c>
      <c r="BB569" s="3298">
        <f t="shared" si="336"/>
        <v>0</v>
      </c>
      <c r="BC569" s="3298">
        <f t="shared" si="337"/>
        <v>0</v>
      </c>
      <c r="BD569" s="3298">
        <f t="shared" si="338"/>
        <v>0</v>
      </c>
      <c r="BE569" s="3298">
        <f t="shared" si="339"/>
        <v>0</v>
      </c>
      <c r="BF569" s="3298">
        <f t="shared" si="340"/>
        <v>0</v>
      </c>
      <c r="BG569" s="3298">
        <f t="shared" si="341"/>
        <v>0</v>
      </c>
      <c r="BH569" s="3298">
        <f t="shared" si="342"/>
        <v>0</v>
      </c>
      <c r="BI569" s="3298">
        <f t="shared" si="343"/>
        <v>0</v>
      </c>
      <c r="BJ569" s="3298">
        <f t="shared" si="344"/>
        <v>0</v>
      </c>
      <c r="BK569" s="3298">
        <f t="shared" si="345"/>
        <v>0</v>
      </c>
      <c r="BL569" s="3298">
        <f t="shared" si="346"/>
        <v>0</v>
      </c>
      <c r="BM569" s="3298">
        <f t="shared" si="347"/>
        <v>0</v>
      </c>
      <c r="BN569" s="3298">
        <f t="shared" si="348"/>
        <v>0</v>
      </c>
      <c r="BO569" s="3298">
        <f t="shared" si="349"/>
        <v>0</v>
      </c>
      <c r="BP569" s="3298">
        <f t="shared" si="350"/>
        <v>0</v>
      </c>
      <c r="BQ569" s="3298">
        <f t="shared" si="351"/>
        <v>0</v>
      </c>
      <c r="BR569" s="3298">
        <f t="shared" si="352"/>
        <v>0</v>
      </c>
      <c r="BS569" s="3298">
        <f t="shared" si="353"/>
        <v>0</v>
      </c>
      <c r="BT569" s="3350">
        <f t="shared" si="354"/>
        <v>0</v>
      </c>
    </row>
    <row r="570" spans="1:72">
      <c r="A570" s="1407"/>
      <c r="B570" s="3296"/>
      <c r="C570" s="3296"/>
      <c r="D570" s="3297"/>
      <c r="E570" s="3298">
        <f t="shared" si="326"/>
        <v>0</v>
      </c>
      <c r="F570" s="3299"/>
      <c r="G570" s="3300">
        <f t="shared" si="327"/>
        <v>0</v>
      </c>
      <c r="H570" s="3301">
        <f t="shared" si="328"/>
        <v>0</v>
      </c>
      <c r="I570" s="3308"/>
      <c r="J570" s="3308"/>
      <c r="K570" s="3308"/>
      <c r="L570" s="3308"/>
      <c r="M570" s="3308"/>
      <c r="N570" s="3308"/>
      <c r="O570" s="3308"/>
      <c r="P570" s="3308"/>
      <c r="Q570" s="3308"/>
      <c r="R570" s="3308"/>
      <c r="S570" s="3308"/>
      <c r="T570" s="3308"/>
      <c r="U570" s="3308"/>
      <c r="V570" s="3308"/>
      <c r="W570" s="3308"/>
      <c r="X570" s="3308"/>
      <c r="Y570" s="3308"/>
      <c r="Z570" s="3308"/>
      <c r="AA570" s="3308"/>
      <c r="AB570" s="3308"/>
      <c r="AC570" s="3298">
        <f t="shared" si="329"/>
        <v>0</v>
      </c>
      <c r="AD570" s="3318"/>
      <c r="AE570" s="3318"/>
      <c r="AF570" s="3318"/>
      <c r="AG570" s="3318"/>
      <c r="AH570" s="3318"/>
      <c r="AI570" s="3318"/>
      <c r="AJ570" s="3318"/>
      <c r="AK570" s="3318"/>
      <c r="AL570" s="3318"/>
      <c r="AM570" s="3318"/>
      <c r="AN570" s="3318"/>
      <c r="AO570" s="3318"/>
      <c r="AP570" s="3318"/>
      <c r="AQ570" s="3318"/>
      <c r="AR570" s="3318"/>
      <c r="AS570" s="3318"/>
      <c r="AT570" s="3328"/>
      <c r="AU570" s="3329"/>
      <c r="AV570" s="963">
        <f t="shared" si="330"/>
        <v>0</v>
      </c>
      <c r="AW570" s="963">
        <f t="shared" si="331"/>
        <v>0</v>
      </c>
      <c r="AX570" s="963">
        <f t="shared" si="332"/>
        <v>0</v>
      </c>
      <c r="AY570" s="3343">
        <f t="shared" si="333"/>
        <v>0</v>
      </c>
      <c r="AZ570" s="3298">
        <f t="shared" si="334"/>
        <v>0</v>
      </c>
      <c r="BA570" s="3298">
        <f t="shared" si="335"/>
        <v>0</v>
      </c>
      <c r="BB570" s="3298">
        <f t="shared" si="336"/>
        <v>0</v>
      </c>
      <c r="BC570" s="3298">
        <f t="shared" si="337"/>
        <v>0</v>
      </c>
      <c r="BD570" s="3298">
        <f t="shared" si="338"/>
        <v>0</v>
      </c>
      <c r="BE570" s="3298">
        <f t="shared" si="339"/>
        <v>0</v>
      </c>
      <c r="BF570" s="3298">
        <f t="shared" si="340"/>
        <v>0</v>
      </c>
      <c r="BG570" s="3298">
        <f t="shared" si="341"/>
        <v>0</v>
      </c>
      <c r="BH570" s="3298">
        <f t="shared" si="342"/>
        <v>0</v>
      </c>
      <c r="BI570" s="3298">
        <f t="shared" si="343"/>
        <v>0</v>
      </c>
      <c r="BJ570" s="3298">
        <f t="shared" si="344"/>
        <v>0</v>
      </c>
      <c r="BK570" s="3298">
        <f t="shared" si="345"/>
        <v>0</v>
      </c>
      <c r="BL570" s="3298">
        <f t="shared" si="346"/>
        <v>0</v>
      </c>
      <c r="BM570" s="3298">
        <f t="shared" si="347"/>
        <v>0</v>
      </c>
      <c r="BN570" s="3298">
        <f t="shared" si="348"/>
        <v>0</v>
      </c>
      <c r="BO570" s="3298">
        <f t="shared" si="349"/>
        <v>0</v>
      </c>
      <c r="BP570" s="3298">
        <f t="shared" si="350"/>
        <v>0</v>
      </c>
      <c r="BQ570" s="3298">
        <f t="shared" si="351"/>
        <v>0</v>
      </c>
      <c r="BR570" s="3298">
        <f t="shared" si="352"/>
        <v>0</v>
      </c>
      <c r="BS570" s="3298">
        <f t="shared" si="353"/>
        <v>0</v>
      </c>
      <c r="BT570" s="3350">
        <f t="shared" si="354"/>
        <v>0</v>
      </c>
    </row>
    <row r="571" spans="1:72">
      <c r="A571" s="1407"/>
      <c r="B571" s="3296"/>
      <c r="C571" s="3296"/>
      <c r="D571" s="3297"/>
      <c r="E571" s="3298">
        <f t="shared" si="326"/>
        <v>0</v>
      </c>
      <c r="F571" s="3299"/>
      <c r="G571" s="3300">
        <f t="shared" si="327"/>
        <v>0</v>
      </c>
      <c r="H571" s="3301">
        <f t="shared" si="328"/>
        <v>0</v>
      </c>
      <c r="I571" s="3308"/>
      <c r="J571" s="3308"/>
      <c r="K571" s="3308"/>
      <c r="L571" s="3308"/>
      <c r="M571" s="3308"/>
      <c r="N571" s="3308"/>
      <c r="O571" s="3308"/>
      <c r="P571" s="3308"/>
      <c r="Q571" s="3308"/>
      <c r="R571" s="3308"/>
      <c r="S571" s="3308"/>
      <c r="T571" s="3308"/>
      <c r="U571" s="3308"/>
      <c r="V571" s="3308"/>
      <c r="W571" s="3308"/>
      <c r="X571" s="3308"/>
      <c r="Y571" s="3308"/>
      <c r="Z571" s="3308"/>
      <c r="AA571" s="3308"/>
      <c r="AB571" s="3308"/>
      <c r="AC571" s="3298">
        <f t="shared" si="329"/>
        <v>0</v>
      </c>
      <c r="AD571" s="3318"/>
      <c r="AE571" s="3318"/>
      <c r="AF571" s="3318"/>
      <c r="AG571" s="3318"/>
      <c r="AH571" s="3318"/>
      <c r="AI571" s="3318"/>
      <c r="AJ571" s="3318"/>
      <c r="AK571" s="3318"/>
      <c r="AL571" s="3318"/>
      <c r="AM571" s="3318"/>
      <c r="AN571" s="3318"/>
      <c r="AO571" s="3318"/>
      <c r="AP571" s="3318"/>
      <c r="AQ571" s="3318"/>
      <c r="AR571" s="3318"/>
      <c r="AS571" s="3318"/>
      <c r="AT571" s="3328"/>
      <c r="AU571" s="3329"/>
      <c r="AV571" s="963">
        <f t="shared" si="330"/>
        <v>0</v>
      </c>
      <c r="AW571" s="963">
        <f t="shared" si="331"/>
        <v>0</v>
      </c>
      <c r="AX571" s="963">
        <f t="shared" si="332"/>
        <v>0</v>
      </c>
      <c r="AY571" s="3343">
        <f t="shared" si="333"/>
        <v>0</v>
      </c>
      <c r="AZ571" s="3298">
        <f t="shared" si="334"/>
        <v>0</v>
      </c>
      <c r="BA571" s="3298">
        <f t="shared" si="335"/>
        <v>0</v>
      </c>
      <c r="BB571" s="3298">
        <f t="shared" si="336"/>
        <v>0</v>
      </c>
      <c r="BC571" s="3298">
        <f t="shared" si="337"/>
        <v>0</v>
      </c>
      <c r="BD571" s="3298">
        <f t="shared" si="338"/>
        <v>0</v>
      </c>
      <c r="BE571" s="3298">
        <f t="shared" si="339"/>
        <v>0</v>
      </c>
      <c r="BF571" s="3298">
        <f t="shared" si="340"/>
        <v>0</v>
      </c>
      <c r="BG571" s="3298">
        <f t="shared" si="341"/>
        <v>0</v>
      </c>
      <c r="BH571" s="3298">
        <f t="shared" si="342"/>
        <v>0</v>
      </c>
      <c r="BI571" s="3298">
        <f t="shared" si="343"/>
        <v>0</v>
      </c>
      <c r="BJ571" s="3298">
        <f t="shared" si="344"/>
        <v>0</v>
      </c>
      <c r="BK571" s="3298">
        <f t="shared" si="345"/>
        <v>0</v>
      </c>
      <c r="BL571" s="3298">
        <f t="shared" si="346"/>
        <v>0</v>
      </c>
      <c r="BM571" s="3298">
        <f t="shared" si="347"/>
        <v>0</v>
      </c>
      <c r="BN571" s="3298">
        <f t="shared" si="348"/>
        <v>0</v>
      </c>
      <c r="BO571" s="3298">
        <f t="shared" si="349"/>
        <v>0</v>
      </c>
      <c r="BP571" s="3298">
        <f t="shared" si="350"/>
        <v>0</v>
      </c>
      <c r="BQ571" s="3298">
        <f t="shared" si="351"/>
        <v>0</v>
      </c>
      <c r="BR571" s="3298">
        <f t="shared" si="352"/>
        <v>0</v>
      </c>
      <c r="BS571" s="3298">
        <f t="shared" si="353"/>
        <v>0</v>
      </c>
      <c r="BT571" s="3350">
        <f t="shared" si="354"/>
        <v>0</v>
      </c>
    </row>
    <row r="572" spans="1:72">
      <c r="A572" s="1407"/>
      <c r="B572" s="3296"/>
      <c r="C572" s="3296"/>
      <c r="D572" s="3297"/>
      <c r="E572" s="3298">
        <f t="shared" si="326"/>
        <v>0</v>
      </c>
      <c r="F572" s="3299"/>
      <c r="G572" s="3300">
        <f t="shared" si="327"/>
        <v>0</v>
      </c>
      <c r="H572" s="3301">
        <f t="shared" si="328"/>
        <v>0</v>
      </c>
      <c r="I572" s="3308"/>
      <c r="J572" s="3308"/>
      <c r="K572" s="3308"/>
      <c r="L572" s="3308"/>
      <c r="M572" s="3308"/>
      <c r="N572" s="3308"/>
      <c r="O572" s="3308"/>
      <c r="P572" s="3308"/>
      <c r="Q572" s="3308"/>
      <c r="R572" s="3308"/>
      <c r="S572" s="3308"/>
      <c r="T572" s="3308"/>
      <c r="U572" s="3308"/>
      <c r="V572" s="3308"/>
      <c r="W572" s="3308"/>
      <c r="X572" s="3308"/>
      <c r="Y572" s="3308"/>
      <c r="Z572" s="3308"/>
      <c r="AA572" s="3308"/>
      <c r="AB572" s="3308"/>
      <c r="AC572" s="3298">
        <f t="shared" si="329"/>
        <v>0</v>
      </c>
      <c r="AD572" s="3318"/>
      <c r="AE572" s="3318"/>
      <c r="AF572" s="3318"/>
      <c r="AG572" s="3318"/>
      <c r="AH572" s="3318"/>
      <c r="AI572" s="3318"/>
      <c r="AJ572" s="3318"/>
      <c r="AK572" s="3318"/>
      <c r="AL572" s="3318"/>
      <c r="AM572" s="3318"/>
      <c r="AN572" s="3318"/>
      <c r="AO572" s="3318"/>
      <c r="AP572" s="3318"/>
      <c r="AQ572" s="3318"/>
      <c r="AR572" s="3318"/>
      <c r="AS572" s="3318"/>
      <c r="AT572" s="3328"/>
      <c r="AU572" s="3329"/>
      <c r="AV572" s="963">
        <f t="shared" si="330"/>
        <v>0</v>
      </c>
      <c r="AW572" s="963">
        <f t="shared" si="331"/>
        <v>0</v>
      </c>
      <c r="AX572" s="963">
        <f t="shared" si="332"/>
        <v>0</v>
      </c>
      <c r="AY572" s="3343">
        <f t="shared" si="333"/>
        <v>0</v>
      </c>
      <c r="AZ572" s="3298">
        <f t="shared" si="334"/>
        <v>0</v>
      </c>
      <c r="BA572" s="3298">
        <f t="shared" si="335"/>
        <v>0</v>
      </c>
      <c r="BB572" s="3298">
        <f t="shared" si="336"/>
        <v>0</v>
      </c>
      <c r="BC572" s="3298">
        <f t="shared" si="337"/>
        <v>0</v>
      </c>
      <c r="BD572" s="3298">
        <f t="shared" si="338"/>
        <v>0</v>
      </c>
      <c r="BE572" s="3298">
        <f t="shared" si="339"/>
        <v>0</v>
      </c>
      <c r="BF572" s="3298">
        <f t="shared" si="340"/>
        <v>0</v>
      </c>
      <c r="BG572" s="3298">
        <f t="shared" si="341"/>
        <v>0</v>
      </c>
      <c r="BH572" s="3298">
        <f t="shared" si="342"/>
        <v>0</v>
      </c>
      <c r="BI572" s="3298">
        <f t="shared" si="343"/>
        <v>0</v>
      </c>
      <c r="BJ572" s="3298">
        <f t="shared" si="344"/>
        <v>0</v>
      </c>
      <c r="BK572" s="3298">
        <f t="shared" si="345"/>
        <v>0</v>
      </c>
      <c r="BL572" s="3298">
        <f t="shared" si="346"/>
        <v>0</v>
      </c>
      <c r="BM572" s="3298">
        <f t="shared" si="347"/>
        <v>0</v>
      </c>
      <c r="BN572" s="3298">
        <f t="shared" si="348"/>
        <v>0</v>
      </c>
      <c r="BO572" s="3298">
        <f t="shared" si="349"/>
        <v>0</v>
      </c>
      <c r="BP572" s="3298">
        <f t="shared" si="350"/>
        <v>0</v>
      </c>
      <c r="BQ572" s="3298">
        <f t="shared" si="351"/>
        <v>0</v>
      </c>
      <c r="BR572" s="3298">
        <f t="shared" si="352"/>
        <v>0</v>
      </c>
      <c r="BS572" s="3298">
        <f t="shared" si="353"/>
        <v>0</v>
      </c>
      <c r="BT572" s="3350">
        <f t="shared" si="354"/>
        <v>0</v>
      </c>
    </row>
    <row r="573" spans="1:72">
      <c r="A573" s="1407"/>
      <c r="B573" s="3296"/>
      <c r="C573" s="3296"/>
      <c r="D573" s="3297"/>
      <c r="E573" s="3298">
        <f t="shared" si="326"/>
        <v>0</v>
      </c>
      <c r="F573" s="3299"/>
      <c r="G573" s="3300">
        <f t="shared" si="327"/>
        <v>0</v>
      </c>
      <c r="H573" s="3301">
        <f t="shared" si="328"/>
        <v>0</v>
      </c>
      <c r="I573" s="3308"/>
      <c r="J573" s="3308"/>
      <c r="K573" s="3308"/>
      <c r="L573" s="3308"/>
      <c r="M573" s="3308"/>
      <c r="N573" s="3308"/>
      <c r="O573" s="3308"/>
      <c r="P573" s="3308"/>
      <c r="Q573" s="3308"/>
      <c r="R573" s="3308"/>
      <c r="S573" s="3308"/>
      <c r="T573" s="3308"/>
      <c r="U573" s="3308"/>
      <c r="V573" s="3308"/>
      <c r="W573" s="3308"/>
      <c r="X573" s="3308"/>
      <c r="Y573" s="3308"/>
      <c r="Z573" s="3308"/>
      <c r="AA573" s="3308"/>
      <c r="AB573" s="3308"/>
      <c r="AC573" s="3298">
        <f t="shared" si="329"/>
        <v>0</v>
      </c>
      <c r="AD573" s="3318"/>
      <c r="AE573" s="3318"/>
      <c r="AF573" s="3318"/>
      <c r="AG573" s="3318"/>
      <c r="AH573" s="3318"/>
      <c r="AI573" s="3318"/>
      <c r="AJ573" s="3318"/>
      <c r="AK573" s="3318"/>
      <c r="AL573" s="3318"/>
      <c r="AM573" s="3318"/>
      <c r="AN573" s="3318"/>
      <c r="AO573" s="3318"/>
      <c r="AP573" s="3318"/>
      <c r="AQ573" s="3318"/>
      <c r="AR573" s="3318"/>
      <c r="AS573" s="3318"/>
      <c r="AT573" s="3328"/>
      <c r="AU573" s="3329"/>
      <c r="AV573" s="963">
        <f t="shared" si="330"/>
        <v>0</v>
      </c>
      <c r="AW573" s="963">
        <f t="shared" si="331"/>
        <v>0</v>
      </c>
      <c r="AX573" s="963">
        <f t="shared" si="332"/>
        <v>0</v>
      </c>
      <c r="AY573" s="3343">
        <f t="shared" si="333"/>
        <v>0</v>
      </c>
      <c r="AZ573" s="3298">
        <f t="shared" si="334"/>
        <v>0</v>
      </c>
      <c r="BA573" s="3298">
        <f t="shared" si="335"/>
        <v>0</v>
      </c>
      <c r="BB573" s="3298">
        <f t="shared" si="336"/>
        <v>0</v>
      </c>
      <c r="BC573" s="3298">
        <f t="shared" si="337"/>
        <v>0</v>
      </c>
      <c r="BD573" s="3298">
        <f t="shared" si="338"/>
        <v>0</v>
      </c>
      <c r="BE573" s="3298">
        <f t="shared" si="339"/>
        <v>0</v>
      </c>
      <c r="BF573" s="3298">
        <f t="shared" si="340"/>
        <v>0</v>
      </c>
      <c r="BG573" s="3298">
        <f t="shared" si="341"/>
        <v>0</v>
      </c>
      <c r="BH573" s="3298">
        <f t="shared" si="342"/>
        <v>0</v>
      </c>
      <c r="BI573" s="3298">
        <f t="shared" si="343"/>
        <v>0</v>
      </c>
      <c r="BJ573" s="3298">
        <f t="shared" si="344"/>
        <v>0</v>
      </c>
      <c r="BK573" s="3298">
        <f t="shared" si="345"/>
        <v>0</v>
      </c>
      <c r="BL573" s="3298">
        <f t="shared" si="346"/>
        <v>0</v>
      </c>
      <c r="BM573" s="3298">
        <f t="shared" si="347"/>
        <v>0</v>
      </c>
      <c r="BN573" s="3298">
        <f t="shared" si="348"/>
        <v>0</v>
      </c>
      <c r="BO573" s="3298">
        <f t="shared" si="349"/>
        <v>0</v>
      </c>
      <c r="BP573" s="3298">
        <f t="shared" si="350"/>
        <v>0</v>
      </c>
      <c r="BQ573" s="3298">
        <f t="shared" si="351"/>
        <v>0</v>
      </c>
      <c r="BR573" s="3298">
        <f t="shared" si="352"/>
        <v>0</v>
      </c>
      <c r="BS573" s="3298">
        <f t="shared" si="353"/>
        <v>0</v>
      </c>
      <c r="BT573" s="3350">
        <f t="shared" si="354"/>
        <v>0</v>
      </c>
    </row>
    <row r="574" spans="1:72">
      <c r="A574" s="1407"/>
      <c r="B574" s="3296"/>
      <c r="C574" s="3296"/>
      <c r="D574" s="3297"/>
      <c r="E574" s="3298">
        <f t="shared" si="326"/>
        <v>0</v>
      </c>
      <c r="F574" s="3299"/>
      <c r="G574" s="3300">
        <f t="shared" si="327"/>
        <v>0</v>
      </c>
      <c r="H574" s="3301">
        <f t="shared" si="328"/>
        <v>0</v>
      </c>
      <c r="I574" s="3308"/>
      <c r="J574" s="3308"/>
      <c r="K574" s="3308"/>
      <c r="L574" s="3308"/>
      <c r="M574" s="3308"/>
      <c r="N574" s="3308"/>
      <c r="O574" s="3308"/>
      <c r="P574" s="3308"/>
      <c r="Q574" s="3308"/>
      <c r="R574" s="3308"/>
      <c r="S574" s="3308"/>
      <c r="T574" s="3308"/>
      <c r="U574" s="3308"/>
      <c r="V574" s="3308"/>
      <c r="W574" s="3308"/>
      <c r="X574" s="3308"/>
      <c r="Y574" s="3308"/>
      <c r="Z574" s="3308"/>
      <c r="AA574" s="3308"/>
      <c r="AB574" s="3308"/>
      <c r="AC574" s="3298">
        <f t="shared" si="329"/>
        <v>0</v>
      </c>
      <c r="AD574" s="3318"/>
      <c r="AE574" s="3318"/>
      <c r="AF574" s="3318"/>
      <c r="AG574" s="3318"/>
      <c r="AH574" s="3318"/>
      <c r="AI574" s="3318"/>
      <c r="AJ574" s="3318"/>
      <c r="AK574" s="3318"/>
      <c r="AL574" s="3318"/>
      <c r="AM574" s="3318"/>
      <c r="AN574" s="3318"/>
      <c r="AO574" s="3318"/>
      <c r="AP574" s="3318"/>
      <c r="AQ574" s="3318"/>
      <c r="AR574" s="3318"/>
      <c r="AS574" s="3318"/>
      <c r="AT574" s="3328"/>
      <c r="AU574" s="3329"/>
      <c r="AV574" s="963">
        <f t="shared" si="330"/>
        <v>0</v>
      </c>
      <c r="AW574" s="963">
        <f t="shared" si="331"/>
        <v>0</v>
      </c>
      <c r="AX574" s="963">
        <f t="shared" si="332"/>
        <v>0</v>
      </c>
      <c r="AY574" s="3343">
        <f t="shared" si="333"/>
        <v>0</v>
      </c>
      <c r="AZ574" s="3298">
        <f t="shared" si="334"/>
        <v>0</v>
      </c>
      <c r="BA574" s="3298">
        <f t="shared" si="335"/>
        <v>0</v>
      </c>
      <c r="BB574" s="3298">
        <f t="shared" si="336"/>
        <v>0</v>
      </c>
      <c r="BC574" s="3298">
        <f t="shared" si="337"/>
        <v>0</v>
      </c>
      <c r="BD574" s="3298">
        <f t="shared" si="338"/>
        <v>0</v>
      </c>
      <c r="BE574" s="3298">
        <f t="shared" si="339"/>
        <v>0</v>
      </c>
      <c r="BF574" s="3298">
        <f t="shared" si="340"/>
        <v>0</v>
      </c>
      <c r="BG574" s="3298">
        <f t="shared" si="341"/>
        <v>0</v>
      </c>
      <c r="BH574" s="3298">
        <f t="shared" si="342"/>
        <v>0</v>
      </c>
      <c r="BI574" s="3298">
        <f t="shared" si="343"/>
        <v>0</v>
      </c>
      <c r="BJ574" s="3298">
        <f t="shared" si="344"/>
        <v>0</v>
      </c>
      <c r="BK574" s="3298">
        <f t="shared" si="345"/>
        <v>0</v>
      </c>
      <c r="BL574" s="3298">
        <f t="shared" si="346"/>
        <v>0</v>
      </c>
      <c r="BM574" s="3298">
        <f t="shared" si="347"/>
        <v>0</v>
      </c>
      <c r="BN574" s="3298">
        <f t="shared" si="348"/>
        <v>0</v>
      </c>
      <c r="BO574" s="3298">
        <f t="shared" si="349"/>
        <v>0</v>
      </c>
      <c r="BP574" s="3298">
        <f t="shared" si="350"/>
        <v>0</v>
      </c>
      <c r="BQ574" s="3298">
        <f t="shared" si="351"/>
        <v>0</v>
      </c>
      <c r="BR574" s="3298">
        <f t="shared" si="352"/>
        <v>0</v>
      </c>
      <c r="BS574" s="3298">
        <f t="shared" si="353"/>
        <v>0</v>
      </c>
      <c r="BT574" s="3350">
        <f t="shared" si="354"/>
        <v>0</v>
      </c>
    </row>
    <row r="575" spans="1:72">
      <c r="A575" s="1407"/>
      <c r="B575" s="3296"/>
      <c r="C575" s="3296"/>
      <c r="D575" s="3297"/>
      <c r="E575" s="3298">
        <f t="shared" si="326"/>
        <v>0</v>
      </c>
      <c r="F575" s="3299"/>
      <c r="G575" s="3300">
        <f t="shared" si="327"/>
        <v>0</v>
      </c>
      <c r="H575" s="3301">
        <f t="shared" si="328"/>
        <v>0</v>
      </c>
      <c r="I575" s="3308"/>
      <c r="J575" s="3308"/>
      <c r="K575" s="3308"/>
      <c r="L575" s="3308"/>
      <c r="M575" s="3308"/>
      <c r="N575" s="3308"/>
      <c r="O575" s="3308"/>
      <c r="P575" s="3308"/>
      <c r="Q575" s="3308"/>
      <c r="R575" s="3308"/>
      <c r="S575" s="3308"/>
      <c r="T575" s="3308"/>
      <c r="U575" s="3308"/>
      <c r="V575" s="3308"/>
      <c r="W575" s="3308"/>
      <c r="X575" s="3308"/>
      <c r="Y575" s="3308"/>
      <c r="Z575" s="3308"/>
      <c r="AA575" s="3308"/>
      <c r="AB575" s="3308"/>
      <c r="AC575" s="3298">
        <f t="shared" si="329"/>
        <v>0</v>
      </c>
      <c r="AD575" s="3318"/>
      <c r="AE575" s="3318"/>
      <c r="AF575" s="3318"/>
      <c r="AG575" s="3318"/>
      <c r="AH575" s="3318"/>
      <c r="AI575" s="3318"/>
      <c r="AJ575" s="3318"/>
      <c r="AK575" s="3318"/>
      <c r="AL575" s="3318"/>
      <c r="AM575" s="3318"/>
      <c r="AN575" s="3318"/>
      <c r="AO575" s="3318"/>
      <c r="AP575" s="3318"/>
      <c r="AQ575" s="3318"/>
      <c r="AR575" s="3318"/>
      <c r="AS575" s="3318"/>
      <c r="AT575" s="3328"/>
      <c r="AU575" s="3329"/>
      <c r="AV575" s="963">
        <f t="shared" si="330"/>
        <v>0</v>
      </c>
      <c r="AW575" s="963">
        <f t="shared" si="331"/>
        <v>0</v>
      </c>
      <c r="AX575" s="963">
        <f t="shared" si="332"/>
        <v>0</v>
      </c>
      <c r="AY575" s="3343">
        <f t="shared" si="333"/>
        <v>0</v>
      </c>
      <c r="AZ575" s="3298">
        <f t="shared" si="334"/>
        <v>0</v>
      </c>
      <c r="BA575" s="3298">
        <f t="shared" si="335"/>
        <v>0</v>
      </c>
      <c r="BB575" s="3298">
        <f t="shared" si="336"/>
        <v>0</v>
      </c>
      <c r="BC575" s="3298">
        <f t="shared" si="337"/>
        <v>0</v>
      </c>
      <c r="BD575" s="3298">
        <f t="shared" si="338"/>
        <v>0</v>
      </c>
      <c r="BE575" s="3298">
        <f t="shared" si="339"/>
        <v>0</v>
      </c>
      <c r="BF575" s="3298">
        <f t="shared" si="340"/>
        <v>0</v>
      </c>
      <c r="BG575" s="3298">
        <f t="shared" si="341"/>
        <v>0</v>
      </c>
      <c r="BH575" s="3298">
        <f t="shared" si="342"/>
        <v>0</v>
      </c>
      <c r="BI575" s="3298">
        <f t="shared" si="343"/>
        <v>0</v>
      </c>
      <c r="BJ575" s="3298">
        <f t="shared" si="344"/>
        <v>0</v>
      </c>
      <c r="BK575" s="3298">
        <f t="shared" si="345"/>
        <v>0</v>
      </c>
      <c r="BL575" s="3298">
        <f t="shared" si="346"/>
        <v>0</v>
      </c>
      <c r="BM575" s="3298">
        <f t="shared" si="347"/>
        <v>0</v>
      </c>
      <c r="BN575" s="3298">
        <f t="shared" si="348"/>
        <v>0</v>
      </c>
      <c r="BO575" s="3298">
        <f t="shared" si="349"/>
        <v>0</v>
      </c>
      <c r="BP575" s="3298">
        <f t="shared" si="350"/>
        <v>0</v>
      </c>
      <c r="BQ575" s="3298">
        <f t="shared" si="351"/>
        <v>0</v>
      </c>
      <c r="BR575" s="3298">
        <f t="shared" si="352"/>
        <v>0</v>
      </c>
      <c r="BS575" s="3298">
        <f t="shared" si="353"/>
        <v>0</v>
      </c>
      <c r="BT575" s="3350">
        <f t="shared" si="354"/>
        <v>0</v>
      </c>
    </row>
    <row r="576" spans="1:72">
      <c r="A576" s="1407"/>
      <c r="B576" s="3296"/>
      <c r="C576" s="3296"/>
      <c r="D576" s="3297"/>
      <c r="E576" s="3298">
        <f t="shared" si="326"/>
        <v>0</v>
      </c>
      <c r="F576" s="3299"/>
      <c r="G576" s="3300">
        <f t="shared" si="327"/>
        <v>0</v>
      </c>
      <c r="H576" s="3301">
        <f t="shared" si="328"/>
        <v>0</v>
      </c>
      <c r="I576" s="3308"/>
      <c r="J576" s="3308"/>
      <c r="K576" s="3308"/>
      <c r="L576" s="3308"/>
      <c r="M576" s="3308"/>
      <c r="N576" s="3308"/>
      <c r="O576" s="3308"/>
      <c r="P576" s="3308"/>
      <c r="Q576" s="3308"/>
      <c r="R576" s="3308"/>
      <c r="S576" s="3308"/>
      <c r="T576" s="3308"/>
      <c r="U576" s="3308"/>
      <c r="V576" s="3308"/>
      <c r="W576" s="3308"/>
      <c r="X576" s="3308"/>
      <c r="Y576" s="3308"/>
      <c r="Z576" s="3308"/>
      <c r="AA576" s="3308"/>
      <c r="AB576" s="3308"/>
      <c r="AC576" s="3298">
        <f t="shared" si="329"/>
        <v>0</v>
      </c>
      <c r="AD576" s="3318"/>
      <c r="AE576" s="3318"/>
      <c r="AF576" s="3318"/>
      <c r="AG576" s="3318"/>
      <c r="AH576" s="3318"/>
      <c r="AI576" s="3318"/>
      <c r="AJ576" s="3318"/>
      <c r="AK576" s="3318"/>
      <c r="AL576" s="3318"/>
      <c r="AM576" s="3318"/>
      <c r="AN576" s="3318"/>
      <c r="AO576" s="3318"/>
      <c r="AP576" s="3318"/>
      <c r="AQ576" s="3318"/>
      <c r="AR576" s="3318"/>
      <c r="AS576" s="3318"/>
      <c r="AT576" s="3328"/>
      <c r="AU576" s="3329"/>
      <c r="AV576" s="963">
        <f t="shared" si="330"/>
        <v>0</v>
      </c>
      <c r="AW576" s="963">
        <f t="shared" si="331"/>
        <v>0</v>
      </c>
      <c r="AX576" s="963">
        <f t="shared" si="332"/>
        <v>0</v>
      </c>
      <c r="AY576" s="3343">
        <f t="shared" si="333"/>
        <v>0</v>
      </c>
      <c r="AZ576" s="3298">
        <f t="shared" si="334"/>
        <v>0</v>
      </c>
      <c r="BA576" s="3298">
        <f t="shared" si="335"/>
        <v>0</v>
      </c>
      <c r="BB576" s="3298">
        <f t="shared" si="336"/>
        <v>0</v>
      </c>
      <c r="BC576" s="3298">
        <f t="shared" si="337"/>
        <v>0</v>
      </c>
      <c r="BD576" s="3298">
        <f t="shared" si="338"/>
        <v>0</v>
      </c>
      <c r="BE576" s="3298">
        <f t="shared" si="339"/>
        <v>0</v>
      </c>
      <c r="BF576" s="3298">
        <f t="shared" si="340"/>
        <v>0</v>
      </c>
      <c r="BG576" s="3298">
        <f t="shared" si="341"/>
        <v>0</v>
      </c>
      <c r="BH576" s="3298">
        <f t="shared" si="342"/>
        <v>0</v>
      </c>
      <c r="BI576" s="3298">
        <f t="shared" si="343"/>
        <v>0</v>
      </c>
      <c r="BJ576" s="3298">
        <f t="shared" si="344"/>
        <v>0</v>
      </c>
      <c r="BK576" s="3298">
        <f t="shared" si="345"/>
        <v>0</v>
      </c>
      <c r="BL576" s="3298">
        <f t="shared" si="346"/>
        <v>0</v>
      </c>
      <c r="BM576" s="3298">
        <f t="shared" si="347"/>
        <v>0</v>
      </c>
      <c r="BN576" s="3298">
        <f t="shared" si="348"/>
        <v>0</v>
      </c>
      <c r="BO576" s="3298">
        <f t="shared" si="349"/>
        <v>0</v>
      </c>
      <c r="BP576" s="3298">
        <f t="shared" si="350"/>
        <v>0</v>
      </c>
      <c r="BQ576" s="3298">
        <f t="shared" si="351"/>
        <v>0</v>
      </c>
      <c r="BR576" s="3298">
        <f t="shared" si="352"/>
        <v>0</v>
      </c>
      <c r="BS576" s="3298">
        <f t="shared" si="353"/>
        <v>0</v>
      </c>
      <c r="BT576" s="3350">
        <f t="shared" si="354"/>
        <v>0</v>
      </c>
    </row>
    <row r="577" spans="1:72">
      <c r="A577" s="1407"/>
      <c r="B577" s="3296"/>
      <c r="C577" s="3296"/>
      <c r="D577" s="3297"/>
      <c r="E577" s="3298">
        <f t="shared" si="326"/>
        <v>0</v>
      </c>
      <c r="F577" s="3299"/>
      <c r="G577" s="3300">
        <f t="shared" si="327"/>
        <v>0</v>
      </c>
      <c r="H577" s="3301">
        <f t="shared" si="328"/>
        <v>0</v>
      </c>
      <c r="I577" s="3308"/>
      <c r="J577" s="3308"/>
      <c r="K577" s="3308"/>
      <c r="L577" s="3308"/>
      <c r="M577" s="3308"/>
      <c r="N577" s="3308"/>
      <c r="O577" s="3308"/>
      <c r="P577" s="3308"/>
      <c r="Q577" s="3308"/>
      <c r="R577" s="3308"/>
      <c r="S577" s="3308"/>
      <c r="T577" s="3308"/>
      <c r="U577" s="3308"/>
      <c r="V577" s="3308"/>
      <c r="W577" s="3308"/>
      <c r="X577" s="3308"/>
      <c r="Y577" s="3308"/>
      <c r="Z577" s="3308"/>
      <c r="AA577" s="3308"/>
      <c r="AB577" s="3308"/>
      <c r="AC577" s="3298">
        <f t="shared" si="329"/>
        <v>0</v>
      </c>
      <c r="AD577" s="3318"/>
      <c r="AE577" s="3318"/>
      <c r="AF577" s="3318"/>
      <c r="AG577" s="3318"/>
      <c r="AH577" s="3318"/>
      <c r="AI577" s="3318"/>
      <c r="AJ577" s="3318"/>
      <c r="AK577" s="3318"/>
      <c r="AL577" s="3318"/>
      <c r="AM577" s="3318"/>
      <c r="AN577" s="3318"/>
      <c r="AO577" s="3318"/>
      <c r="AP577" s="3318"/>
      <c r="AQ577" s="3318"/>
      <c r="AR577" s="3318"/>
      <c r="AS577" s="3318"/>
      <c r="AT577" s="3328"/>
      <c r="AU577" s="3329"/>
      <c r="AV577" s="963">
        <f t="shared" si="330"/>
        <v>0</v>
      </c>
      <c r="AW577" s="963">
        <f t="shared" si="331"/>
        <v>0</v>
      </c>
      <c r="AX577" s="963">
        <f t="shared" si="332"/>
        <v>0</v>
      </c>
      <c r="AY577" s="3343">
        <f t="shared" si="333"/>
        <v>0</v>
      </c>
      <c r="AZ577" s="3298">
        <f t="shared" si="334"/>
        <v>0</v>
      </c>
      <c r="BA577" s="3298">
        <f t="shared" si="335"/>
        <v>0</v>
      </c>
      <c r="BB577" s="3298">
        <f t="shared" si="336"/>
        <v>0</v>
      </c>
      <c r="BC577" s="3298">
        <f t="shared" si="337"/>
        <v>0</v>
      </c>
      <c r="BD577" s="3298">
        <f t="shared" si="338"/>
        <v>0</v>
      </c>
      <c r="BE577" s="3298">
        <f t="shared" si="339"/>
        <v>0</v>
      </c>
      <c r="BF577" s="3298">
        <f t="shared" si="340"/>
        <v>0</v>
      </c>
      <c r="BG577" s="3298">
        <f t="shared" si="341"/>
        <v>0</v>
      </c>
      <c r="BH577" s="3298">
        <f t="shared" si="342"/>
        <v>0</v>
      </c>
      <c r="BI577" s="3298">
        <f t="shared" si="343"/>
        <v>0</v>
      </c>
      <c r="BJ577" s="3298">
        <f t="shared" si="344"/>
        <v>0</v>
      </c>
      <c r="BK577" s="3298">
        <f t="shared" si="345"/>
        <v>0</v>
      </c>
      <c r="BL577" s="3298">
        <f t="shared" si="346"/>
        <v>0</v>
      </c>
      <c r="BM577" s="3298">
        <f t="shared" si="347"/>
        <v>0</v>
      </c>
      <c r="BN577" s="3298">
        <f t="shared" si="348"/>
        <v>0</v>
      </c>
      <c r="BO577" s="3298">
        <f t="shared" si="349"/>
        <v>0</v>
      </c>
      <c r="BP577" s="3298">
        <f t="shared" si="350"/>
        <v>0</v>
      </c>
      <c r="BQ577" s="3298">
        <f t="shared" si="351"/>
        <v>0</v>
      </c>
      <c r="BR577" s="3298">
        <f t="shared" si="352"/>
        <v>0</v>
      </c>
      <c r="BS577" s="3298">
        <f t="shared" si="353"/>
        <v>0</v>
      </c>
      <c r="BT577" s="3350">
        <f t="shared" si="354"/>
        <v>0</v>
      </c>
    </row>
    <row r="578" spans="1:72">
      <c r="A578" s="1407"/>
      <c r="B578" s="3296"/>
      <c r="C578" s="3296"/>
      <c r="D578" s="3297"/>
      <c r="E578" s="3298">
        <f t="shared" si="326"/>
        <v>0</v>
      </c>
      <c r="F578" s="3299"/>
      <c r="G578" s="3300">
        <f t="shared" si="327"/>
        <v>0</v>
      </c>
      <c r="H578" s="3301">
        <f t="shared" si="328"/>
        <v>0</v>
      </c>
      <c r="I578" s="3308"/>
      <c r="J578" s="3308"/>
      <c r="K578" s="3308"/>
      <c r="L578" s="3308"/>
      <c r="M578" s="3308"/>
      <c r="N578" s="3308"/>
      <c r="O578" s="3308"/>
      <c r="P578" s="3308"/>
      <c r="Q578" s="3308"/>
      <c r="R578" s="3308"/>
      <c r="S578" s="3308"/>
      <c r="T578" s="3308"/>
      <c r="U578" s="3308"/>
      <c r="V578" s="3308"/>
      <c r="W578" s="3308"/>
      <c r="X578" s="3308"/>
      <c r="Y578" s="3308"/>
      <c r="Z578" s="3308"/>
      <c r="AA578" s="3308"/>
      <c r="AB578" s="3308"/>
      <c r="AC578" s="3298">
        <f t="shared" si="329"/>
        <v>0</v>
      </c>
      <c r="AD578" s="3318"/>
      <c r="AE578" s="3318"/>
      <c r="AF578" s="3318"/>
      <c r="AG578" s="3318"/>
      <c r="AH578" s="3318"/>
      <c r="AI578" s="3318"/>
      <c r="AJ578" s="3318"/>
      <c r="AK578" s="3318"/>
      <c r="AL578" s="3318"/>
      <c r="AM578" s="3318"/>
      <c r="AN578" s="3318"/>
      <c r="AO578" s="3318"/>
      <c r="AP578" s="3318"/>
      <c r="AQ578" s="3318"/>
      <c r="AR578" s="3318"/>
      <c r="AS578" s="3318"/>
      <c r="AT578" s="3328"/>
      <c r="AU578" s="3329"/>
      <c r="AV578" s="963">
        <f t="shared" si="330"/>
        <v>0</v>
      </c>
      <c r="AW578" s="963">
        <f t="shared" si="331"/>
        <v>0</v>
      </c>
      <c r="AX578" s="963">
        <f t="shared" si="332"/>
        <v>0</v>
      </c>
      <c r="AY578" s="3343">
        <f t="shared" si="333"/>
        <v>0</v>
      </c>
      <c r="AZ578" s="3298">
        <f t="shared" si="334"/>
        <v>0</v>
      </c>
      <c r="BA578" s="3298">
        <f t="shared" si="335"/>
        <v>0</v>
      </c>
      <c r="BB578" s="3298">
        <f t="shared" si="336"/>
        <v>0</v>
      </c>
      <c r="BC578" s="3298">
        <f t="shared" si="337"/>
        <v>0</v>
      </c>
      <c r="BD578" s="3298">
        <f t="shared" si="338"/>
        <v>0</v>
      </c>
      <c r="BE578" s="3298">
        <f t="shared" si="339"/>
        <v>0</v>
      </c>
      <c r="BF578" s="3298">
        <f t="shared" si="340"/>
        <v>0</v>
      </c>
      <c r="BG578" s="3298">
        <f t="shared" si="341"/>
        <v>0</v>
      </c>
      <c r="BH578" s="3298">
        <f t="shared" si="342"/>
        <v>0</v>
      </c>
      <c r="BI578" s="3298">
        <f t="shared" si="343"/>
        <v>0</v>
      </c>
      <c r="BJ578" s="3298">
        <f t="shared" si="344"/>
        <v>0</v>
      </c>
      <c r="BK578" s="3298">
        <f t="shared" si="345"/>
        <v>0</v>
      </c>
      <c r="BL578" s="3298">
        <f t="shared" si="346"/>
        <v>0</v>
      </c>
      <c r="BM578" s="3298">
        <f t="shared" si="347"/>
        <v>0</v>
      </c>
      <c r="BN578" s="3298">
        <f t="shared" si="348"/>
        <v>0</v>
      </c>
      <c r="BO578" s="3298">
        <f t="shared" si="349"/>
        <v>0</v>
      </c>
      <c r="BP578" s="3298">
        <f t="shared" si="350"/>
        <v>0</v>
      </c>
      <c r="BQ578" s="3298">
        <f t="shared" si="351"/>
        <v>0</v>
      </c>
      <c r="BR578" s="3298">
        <f t="shared" si="352"/>
        <v>0</v>
      </c>
      <c r="BS578" s="3298">
        <f t="shared" si="353"/>
        <v>0</v>
      </c>
      <c r="BT578" s="3350">
        <f t="shared" si="354"/>
        <v>0</v>
      </c>
    </row>
    <row r="579" spans="1:72">
      <c r="A579" s="1407"/>
      <c r="B579" s="3296"/>
      <c r="C579" s="3296"/>
      <c r="D579" s="3297"/>
      <c r="E579" s="3298">
        <f t="shared" si="326"/>
        <v>0</v>
      </c>
      <c r="F579" s="3299"/>
      <c r="G579" s="3300">
        <f t="shared" si="327"/>
        <v>0</v>
      </c>
      <c r="H579" s="3301">
        <f t="shared" si="328"/>
        <v>0</v>
      </c>
      <c r="I579" s="3308"/>
      <c r="J579" s="3308"/>
      <c r="K579" s="3308"/>
      <c r="L579" s="3308"/>
      <c r="M579" s="3308"/>
      <c r="N579" s="3308"/>
      <c r="O579" s="3308"/>
      <c r="P579" s="3308"/>
      <c r="Q579" s="3308"/>
      <c r="R579" s="3308"/>
      <c r="S579" s="3308"/>
      <c r="T579" s="3308"/>
      <c r="U579" s="3308"/>
      <c r="V579" s="3308"/>
      <c r="W579" s="3308"/>
      <c r="X579" s="3308"/>
      <c r="Y579" s="3308"/>
      <c r="Z579" s="3308"/>
      <c r="AA579" s="3308"/>
      <c r="AB579" s="3308"/>
      <c r="AC579" s="3298">
        <f t="shared" si="329"/>
        <v>0</v>
      </c>
      <c r="AD579" s="3318"/>
      <c r="AE579" s="3318"/>
      <c r="AF579" s="3318"/>
      <c r="AG579" s="3318"/>
      <c r="AH579" s="3318"/>
      <c r="AI579" s="3318"/>
      <c r="AJ579" s="3318"/>
      <c r="AK579" s="3318"/>
      <c r="AL579" s="3318"/>
      <c r="AM579" s="3318"/>
      <c r="AN579" s="3318"/>
      <c r="AO579" s="3318"/>
      <c r="AP579" s="3318"/>
      <c r="AQ579" s="3318"/>
      <c r="AR579" s="3318"/>
      <c r="AS579" s="3318"/>
      <c r="AT579" s="3328"/>
      <c r="AU579" s="3329"/>
      <c r="AV579" s="963">
        <f t="shared" si="330"/>
        <v>0</v>
      </c>
      <c r="AW579" s="963">
        <f t="shared" si="331"/>
        <v>0</v>
      </c>
      <c r="AX579" s="963">
        <f t="shared" si="332"/>
        <v>0</v>
      </c>
      <c r="AY579" s="3343">
        <f t="shared" si="333"/>
        <v>0</v>
      </c>
      <c r="AZ579" s="3298">
        <f t="shared" si="334"/>
        <v>0</v>
      </c>
      <c r="BA579" s="3298">
        <f t="shared" si="335"/>
        <v>0</v>
      </c>
      <c r="BB579" s="3298">
        <f t="shared" si="336"/>
        <v>0</v>
      </c>
      <c r="BC579" s="3298">
        <f t="shared" si="337"/>
        <v>0</v>
      </c>
      <c r="BD579" s="3298">
        <f t="shared" si="338"/>
        <v>0</v>
      </c>
      <c r="BE579" s="3298">
        <f t="shared" si="339"/>
        <v>0</v>
      </c>
      <c r="BF579" s="3298">
        <f t="shared" si="340"/>
        <v>0</v>
      </c>
      <c r="BG579" s="3298">
        <f t="shared" si="341"/>
        <v>0</v>
      </c>
      <c r="BH579" s="3298">
        <f t="shared" si="342"/>
        <v>0</v>
      </c>
      <c r="BI579" s="3298">
        <f t="shared" si="343"/>
        <v>0</v>
      </c>
      <c r="BJ579" s="3298">
        <f t="shared" si="344"/>
        <v>0</v>
      </c>
      <c r="BK579" s="3298">
        <f t="shared" si="345"/>
        <v>0</v>
      </c>
      <c r="BL579" s="3298">
        <f t="shared" si="346"/>
        <v>0</v>
      </c>
      <c r="BM579" s="3298">
        <f t="shared" si="347"/>
        <v>0</v>
      </c>
      <c r="BN579" s="3298">
        <f t="shared" si="348"/>
        <v>0</v>
      </c>
      <c r="BO579" s="3298">
        <f t="shared" si="349"/>
        <v>0</v>
      </c>
      <c r="BP579" s="3298">
        <f t="shared" si="350"/>
        <v>0</v>
      </c>
      <c r="BQ579" s="3298">
        <f t="shared" si="351"/>
        <v>0</v>
      </c>
      <c r="BR579" s="3298">
        <f t="shared" si="352"/>
        <v>0</v>
      </c>
      <c r="BS579" s="3298">
        <f t="shared" si="353"/>
        <v>0</v>
      </c>
      <c r="BT579" s="3350">
        <f t="shared" si="354"/>
        <v>0</v>
      </c>
    </row>
    <row r="580" spans="1:72">
      <c r="A580" s="1407"/>
      <c r="B580" s="3296"/>
      <c r="C580" s="3296"/>
      <c r="D580" s="3297"/>
      <c r="E580" s="3298">
        <f t="shared" si="326"/>
        <v>0</v>
      </c>
      <c r="F580" s="3299"/>
      <c r="G580" s="3300">
        <f t="shared" si="327"/>
        <v>0</v>
      </c>
      <c r="H580" s="3301">
        <f t="shared" si="328"/>
        <v>0</v>
      </c>
      <c r="I580" s="3308"/>
      <c r="J580" s="3308"/>
      <c r="K580" s="3308"/>
      <c r="L580" s="3308"/>
      <c r="M580" s="3308"/>
      <c r="N580" s="3308"/>
      <c r="O580" s="3308"/>
      <c r="P580" s="3308"/>
      <c r="Q580" s="3308"/>
      <c r="R580" s="3308"/>
      <c r="S580" s="3308"/>
      <c r="T580" s="3308"/>
      <c r="U580" s="3308"/>
      <c r="V580" s="3308"/>
      <c r="W580" s="3308"/>
      <c r="X580" s="3308"/>
      <c r="Y580" s="3308"/>
      <c r="Z580" s="3308"/>
      <c r="AA580" s="3308"/>
      <c r="AB580" s="3308"/>
      <c r="AC580" s="3298">
        <f t="shared" si="329"/>
        <v>0</v>
      </c>
      <c r="AD580" s="3318"/>
      <c r="AE580" s="3318"/>
      <c r="AF580" s="3318"/>
      <c r="AG580" s="3318"/>
      <c r="AH580" s="3318"/>
      <c r="AI580" s="3318"/>
      <c r="AJ580" s="3318"/>
      <c r="AK580" s="3318"/>
      <c r="AL580" s="3318"/>
      <c r="AM580" s="3318"/>
      <c r="AN580" s="3318"/>
      <c r="AO580" s="3318"/>
      <c r="AP580" s="3318"/>
      <c r="AQ580" s="3318"/>
      <c r="AR580" s="3318"/>
      <c r="AS580" s="3318"/>
      <c r="AT580" s="3328"/>
      <c r="AU580" s="3329"/>
      <c r="AV580" s="963">
        <f t="shared" si="330"/>
        <v>0</v>
      </c>
      <c r="AW580" s="963">
        <f t="shared" si="331"/>
        <v>0</v>
      </c>
      <c r="AX580" s="963">
        <f t="shared" si="332"/>
        <v>0</v>
      </c>
      <c r="AY580" s="3343">
        <f t="shared" si="333"/>
        <v>0</v>
      </c>
      <c r="AZ580" s="3298">
        <f t="shared" si="334"/>
        <v>0</v>
      </c>
      <c r="BA580" s="3298">
        <f t="shared" si="335"/>
        <v>0</v>
      </c>
      <c r="BB580" s="3298">
        <f t="shared" si="336"/>
        <v>0</v>
      </c>
      <c r="BC580" s="3298">
        <f t="shared" si="337"/>
        <v>0</v>
      </c>
      <c r="BD580" s="3298">
        <f t="shared" si="338"/>
        <v>0</v>
      </c>
      <c r="BE580" s="3298">
        <f t="shared" si="339"/>
        <v>0</v>
      </c>
      <c r="BF580" s="3298">
        <f t="shared" si="340"/>
        <v>0</v>
      </c>
      <c r="BG580" s="3298">
        <f t="shared" si="341"/>
        <v>0</v>
      </c>
      <c r="BH580" s="3298">
        <f t="shared" si="342"/>
        <v>0</v>
      </c>
      <c r="BI580" s="3298">
        <f t="shared" si="343"/>
        <v>0</v>
      </c>
      <c r="BJ580" s="3298">
        <f t="shared" si="344"/>
        <v>0</v>
      </c>
      <c r="BK580" s="3298">
        <f t="shared" si="345"/>
        <v>0</v>
      </c>
      <c r="BL580" s="3298">
        <f t="shared" si="346"/>
        <v>0</v>
      </c>
      <c r="BM580" s="3298">
        <f t="shared" si="347"/>
        <v>0</v>
      </c>
      <c r="BN580" s="3298">
        <f t="shared" si="348"/>
        <v>0</v>
      </c>
      <c r="BO580" s="3298">
        <f t="shared" si="349"/>
        <v>0</v>
      </c>
      <c r="BP580" s="3298">
        <f t="shared" si="350"/>
        <v>0</v>
      </c>
      <c r="BQ580" s="3298">
        <f t="shared" si="351"/>
        <v>0</v>
      </c>
      <c r="BR580" s="3298">
        <f t="shared" si="352"/>
        <v>0</v>
      </c>
      <c r="BS580" s="3298">
        <f t="shared" si="353"/>
        <v>0</v>
      </c>
      <c r="BT580" s="3350">
        <f t="shared" si="354"/>
        <v>0</v>
      </c>
    </row>
    <row r="581" spans="1:72">
      <c r="A581" s="1407"/>
      <c r="B581" s="3296"/>
      <c r="C581" s="3296"/>
      <c r="D581" s="3297"/>
      <c r="E581" s="3298">
        <f t="shared" si="326"/>
        <v>0</v>
      </c>
      <c r="F581" s="3299"/>
      <c r="G581" s="3300">
        <f t="shared" si="327"/>
        <v>0</v>
      </c>
      <c r="H581" s="3301">
        <f t="shared" si="328"/>
        <v>0</v>
      </c>
      <c r="I581" s="3308"/>
      <c r="J581" s="3308"/>
      <c r="K581" s="3308"/>
      <c r="L581" s="3308"/>
      <c r="M581" s="3308"/>
      <c r="N581" s="3308"/>
      <c r="O581" s="3308"/>
      <c r="P581" s="3308"/>
      <c r="Q581" s="3308"/>
      <c r="R581" s="3308"/>
      <c r="S581" s="3308"/>
      <c r="T581" s="3308"/>
      <c r="U581" s="3308"/>
      <c r="V581" s="3308"/>
      <c r="W581" s="3308"/>
      <c r="X581" s="3308"/>
      <c r="Y581" s="3308"/>
      <c r="Z581" s="3308"/>
      <c r="AA581" s="3308"/>
      <c r="AB581" s="3308"/>
      <c r="AC581" s="3298">
        <f t="shared" si="329"/>
        <v>0</v>
      </c>
      <c r="AD581" s="3318"/>
      <c r="AE581" s="3318"/>
      <c r="AF581" s="3318"/>
      <c r="AG581" s="3318"/>
      <c r="AH581" s="3318"/>
      <c r="AI581" s="3318"/>
      <c r="AJ581" s="3318"/>
      <c r="AK581" s="3318"/>
      <c r="AL581" s="3318"/>
      <c r="AM581" s="3318"/>
      <c r="AN581" s="3318"/>
      <c r="AO581" s="3318"/>
      <c r="AP581" s="3318"/>
      <c r="AQ581" s="3318"/>
      <c r="AR581" s="3318"/>
      <c r="AS581" s="3318"/>
      <c r="AT581" s="3328"/>
      <c r="AU581" s="3329"/>
      <c r="AV581" s="963">
        <f t="shared" si="330"/>
        <v>0</v>
      </c>
      <c r="AW581" s="963">
        <f t="shared" si="331"/>
        <v>0</v>
      </c>
      <c r="AX581" s="963">
        <f t="shared" si="332"/>
        <v>0</v>
      </c>
      <c r="AY581" s="3343">
        <f t="shared" si="333"/>
        <v>0</v>
      </c>
      <c r="AZ581" s="3298">
        <f t="shared" si="334"/>
        <v>0</v>
      </c>
      <c r="BA581" s="3298">
        <f t="shared" si="335"/>
        <v>0</v>
      </c>
      <c r="BB581" s="3298">
        <f t="shared" si="336"/>
        <v>0</v>
      </c>
      <c r="BC581" s="3298">
        <f t="shared" si="337"/>
        <v>0</v>
      </c>
      <c r="BD581" s="3298">
        <f t="shared" si="338"/>
        <v>0</v>
      </c>
      <c r="BE581" s="3298">
        <f t="shared" si="339"/>
        <v>0</v>
      </c>
      <c r="BF581" s="3298">
        <f t="shared" si="340"/>
        <v>0</v>
      </c>
      <c r="BG581" s="3298">
        <f t="shared" si="341"/>
        <v>0</v>
      </c>
      <c r="BH581" s="3298">
        <f t="shared" si="342"/>
        <v>0</v>
      </c>
      <c r="BI581" s="3298">
        <f t="shared" si="343"/>
        <v>0</v>
      </c>
      <c r="BJ581" s="3298">
        <f t="shared" si="344"/>
        <v>0</v>
      </c>
      <c r="BK581" s="3298">
        <f t="shared" si="345"/>
        <v>0</v>
      </c>
      <c r="BL581" s="3298">
        <f t="shared" si="346"/>
        <v>0</v>
      </c>
      <c r="BM581" s="3298">
        <f t="shared" si="347"/>
        <v>0</v>
      </c>
      <c r="BN581" s="3298">
        <f t="shared" si="348"/>
        <v>0</v>
      </c>
      <c r="BO581" s="3298">
        <f t="shared" si="349"/>
        <v>0</v>
      </c>
      <c r="BP581" s="3298">
        <f t="shared" si="350"/>
        <v>0</v>
      </c>
      <c r="BQ581" s="3298">
        <f t="shared" si="351"/>
        <v>0</v>
      </c>
      <c r="BR581" s="3298">
        <f t="shared" si="352"/>
        <v>0</v>
      </c>
      <c r="BS581" s="3298">
        <f t="shared" si="353"/>
        <v>0</v>
      </c>
      <c r="BT581" s="3350">
        <f t="shared" si="354"/>
        <v>0</v>
      </c>
    </row>
    <row r="582" spans="1:72">
      <c r="A582" s="1407"/>
      <c r="B582" s="3296"/>
      <c r="C582" s="3296"/>
      <c r="D582" s="3297"/>
      <c r="E582" s="3298">
        <f t="shared" si="326"/>
        <v>0</v>
      </c>
      <c r="F582" s="3299"/>
      <c r="G582" s="3300">
        <f t="shared" si="327"/>
        <v>0</v>
      </c>
      <c r="H582" s="3301">
        <f t="shared" si="328"/>
        <v>0</v>
      </c>
      <c r="I582" s="3308"/>
      <c r="J582" s="3308"/>
      <c r="K582" s="3308"/>
      <c r="L582" s="3308"/>
      <c r="M582" s="3308"/>
      <c r="N582" s="3308"/>
      <c r="O582" s="3308"/>
      <c r="P582" s="3308"/>
      <c r="Q582" s="3308"/>
      <c r="R582" s="3308"/>
      <c r="S582" s="3308"/>
      <c r="T582" s="3308"/>
      <c r="U582" s="3308"/>
      <c r="V582" s="3308"/>
      <c r="W582" s="3308"/>
      <c r="X582" s="3308"/>
      <c r="Y582" s="3308"/>
      <c r="Z582" s="3308"/>
      <c r="AA582" s="3308"/>
      <c r="AB582" s="3308"/>
      <c r="AC582" s="3298">
        <f t="shared" si="329"/>
        <v>0</v>
      </c>
      <c r="AD582" s="3318"/>
      <c r="AE582" s="3318"/>
      <c r="AF582" s="3318"/>
      <c r="AG582" s="3318"/>
      <c r="AH582" s="3318"/>
      <c r="AI582" s="3318"/>
      <c r="AJ582" s="3318"/>
      <c r="AK582" s="3318"/>
      <c r="AL582" s="3318"/>
      <c r="AM582" s="3318"/>
      <c r="AN582" s="3318"/>
      <c r="AO582" s="3318"/>
      <c r="AP582" s="3318"/>
      <c r="AQ582" s="3318"/>
      <c r="AR582" s="3318"/>
      <c r="AS582" s="3318"/>
      <c r="AT582" s="3328"/>
      <c r="AU582" s="3329"/>
      <c r="AV582" s="963">
        <f t="shared" si="330"/>
        <v>0</v>
      </c>
      <c r="AW582" s="963">
        <f t="shared" si="331"/>
        <v>0</v>
      </c>
      <c r="AX582" s="963">
        <f t="shared" si="332"/>
        <v>0</v>
      </c>
      <c r="AY582" s="3343">
        <f t="shared" si="333"/>
        <v>0</v>
      </c>
      <c r="AZ582" s="3298">
        <f t="shared" si="334"/>
        <v>0</v>
      </c>
      <c r="BA582" s="3298">
        <f t="shared" si="335"/>
        <v>0</v>
      </c>
      <c r="BB582" s="3298">
        <f t="shared" si="336"/>
        <v>0</v>
      </c>
      <c r="BC582" s="3298">
        <f t="shared" si="337"/>
        <v>0</v>
      </c>
      <c r="BD582" s="3298">
        <f t="shared" si="338"/>
        <v>0</v>
      </c>
      <c r="BE582" s="3298">
        <f t="shared" si="339"/>
        <v>0</v>
      </c>
      <c r="BF582" s="3298">
        <f t="shared" si="340"/>
        <v>0</v>
      </c>
      <c r="BG582" s="3298">
        <f t="shared" si="341"/>
        <v>0</v>
      </c>
      <c r="BH582" s="3298">
        <f t="shared" si="342"/>
        <v>0</v>
      </c>
      <c r="BI582" s="3298">
        <f t="shared" si="343"/>
        <v>0</v>
      </c>
      <c r="BJ582" s="3298">
        <f t="shared" si="344"/>
        <v>0</v>
      </c>
      <c r="BK582" s="3298">
        <f t="shared" si="345"/>
        <v>0</v>
      </c>
      <c r="BL582" s="3298">
        <f t="shared" si="346"/>
        <v>0</v>
      </c>
      <c r="BM582" s="3298">
        <f t="shared" si="347"/>
        <v>0</v>
      </c>
      <c r="BN582" s="3298">
        <f t="shared" si="348"/>
        <v>0</v>
      </c>
      <c r="BO582" s="3298">
        <f t="shared" si="349"/>
        <v>0</v>
      </c>
      <c r="BP582" s="3298">
        <f t="shared" si="350"/>
        <v>0</v>
      </c>
      <c r="BQ582" s="3298">
        <f t="shared" si="351"/>
        <v>0</v>
      </c>
      <c r="BR582" s="3298">
        <f t="shared" si="352"/>
        <v>0</v>
      </c>
      <c r="BS582" s="3298">
        <f t="shared" si="353"/>
        <v>0</v>
      </c>
      <c r="BT582" s="3350">
        <f t="shared" si="354"/>
        <v>0</v>
      </c>
    </row>
    <row r="583" spans="1:72">
      <c r="A583" s="1407"/>
      <c r="B583" s="3296"/>
      <c r="C583" s="3296"/>
      <c r="D583" s="3297"/>
      <c r="E583" s="3298">
        <f t="shared" si="326"/>
        <v>0</v>
      </c>
      <c r="F583" s="3299"/>
      <c r="G583" s="3300">
        <f t="shared" si="327"/>
        <v>0</v>
      </c>
      <c r="H583" s="3301">
        <f t="shared" si="328"/>
        <v>0</v>
      </c>
      <c r="I583" s="3308"/>
      <c r="J583" s="3308"/>
      <c r="K583" s="3308"/>
      <c r="L583" s="3308"/>
      <c r="M583" s="3308"/>
      <c r="N583" s="3308"/>
      <c r="O583" s="3308"/>
      <c r="P583" s="3308"/>
      <c r="Q583" s="3308"/>
      <c r="R583" s="3308"/>
      <c r="S583" s="3308"/>
      <c r="T583" s="3308"/>
      <c r="U583" s="3308"/>
      <c r="V583" s="3308"/>
      <c r="W583" s="3308"/>
      <c r="X583" s="3308"/>
      <c r="Y583" s="3308"/>
      <c r="Z583" s="3308"/>
      <c r="AA583" s="3308"/>
      <c r="AB583" s="3308"/>
      <c r="AC583" s="3298">
        <f t="shared" si="329"/>
        <v>0</v>
      </c>
      <c r="AD583" s="3318"/>
      <c r="AE583" s="3318"/>
      <c r="AF583" s="3318"/>
      <c r="AG583" s="3318"/>
      <c r="AH583" s="3318"/>
      <c r="AI583" s="3318"/>
      <c r="AJ583" s="3318"/>
      <c r="AK583" s="3318"/>
      <c r="AL583" s="3318"/>
      <c r="AM583" s="3318"/>
      <c r="AN583" s="3318"/>
      <c r="AO583" s="3318"/>
      <c r="AP583" s="3318"/>
      <c r="AQ583" s="3318"/>
      <c r="AR583" s="3318"/>
      <c r="AS583" s="3318"/>
      <c r="AT583" s="3328"/>
      <c r="AU583" s="3329"/>
      <c r="AV583" s="963">
        <f t="shared" si="330"/>
        <v>0</v>
      </c>
      <c r="AW583" s="963">
        <f t="shared" si="331"/>
        <v>0</v>
      </c>
      <c r="AX583" s="963">
        <f t="shared" si="332"/>
        <v>0</v>
      </c>
      <c r="AY583" s="3343">
        <f t="shared" si="333"/>
        <v>0</v>
      </c>
      <c r="AZ583" s="3298">
        <f t="shared" si="334"/>
        <v>0</v>
      </c>
      <c r="BA583" s="3298">
        <f t="shared" si="335"/>
        <v>0</v>
      </c>
      <c r="BB583" s="3298">
        <f t="shared" si="336"/>
        <v>0</v>
      </c>
      <c r="BC583" s="3298">
        <f t="shared" si="337"/>
        <v>0</v>
      </c>
      <c r="BD583" s="3298">
        <f t="shared" si="338"/>
        <v>0</v>
      </c>
      <c r="BE583" s="3298">
        <f t="shared" si="339"/>
        <v>0</v>
      </c>
      <c r="BF583" s="3298">
        <f t="shared" si="340"/>
        <v>0</v>
      </c>
      <c r="BG583" s="3298">
        <f t="shared" si="341"/>
        <v>0</v>
      </c>
      <c r="BH583" s="3298">
        <f t="shared" si="342"/>
        <v>0</v>
      </c>
      <c r="BI583" s="3298">
        <f t="shared" si="343"/>
        <v>0</v>
      </c>
      <c r="BJ583" s="3298">
        <f t="shared" si="344"/>
        <v>0</v>
      </c>
      <c r="BK583" s="3298">
        <f t="shared" si="345"/>
        <v>0</v>
      </c>
      <c r="BL583" s="3298">
        <f t="shared" si="346"/>
        <v>0</v>
      </c>
      <c r="BM583" s="3298">
        <f t="shared" si="347"/>
        <v>0</v>
      </c>
      <c r="BN583" s="3298">
        <f t="shared" si="348"/>
        <v>0</v>
      </c>
      <c r="BO583" s="3298">
        <f t="shared" si="349"/>
        <v>0</v>
      </c>
      <c r="BP583" s="3298">
        <f t="shared" si="350"/>
        <v>0</v>
      </c>
      <c r="BQ583" s="3298">
        <f t="shared" si="351"/>
        <v>0</v>
      </c>
      <c r="BR583" s="3298">
        <f t="shared" si="352"/>
        <v>0</v>
      </c>
      <c r="BS583" s="3298">
        <f t="shared" si="353"/>
        <v>0</v>
      </c>
      <c r="BT583" s="3350">
        <f t="shared" si="354"/>
        <v>0</v>
      </c>
    </row>
    <row r="584" spans="1:72">
      <c r="A584" s="1407"/>
      <c r="B584" s="3296"/>
      <c r="C584" s="3296"/>
      <c r="D584" s="3297"/>
      <c r="E584" s="3298">
        <f t="shared" si="326"/>
        <v>0</v>
      </c>
      <c r="F584" s="3299"/>
      <c r="G584" s="3300">
        <f t="shared" si="327"/>
        <v>0</v>
      </c>
      <c r="H584" s="3301">
        <f t="shared" si="328"/>
        <v>0</v>
      </c>
      <c r="I584" s="3308"/>
      <c r="J584" s="3308"/>
      <c r="K584" s="3308"/>
      <c r="L584" s="3308"/>
      <c r="M584" s="3308"/>
      <c r="N584" s="3308"/>
      <c r="O584" s="3308"/>
      <c r="P584" s="3308"/>
      <c r="Q584" s="3308"/>
      <c r="R584" s="3308"/>
      <c r="S584" s="3308"/>
      <c r="T584" s="3308"/>
      <c r="U584" s="3308"/>
      <c r="V584" s="3308"/>
      <c r="W584" s="3308"/>
      <c r="X584" s="3308"/>
      <c r="Y584" s="3308"/>
      <c r="Z584" s="3308"/>
      <c r="AA584" s="3308"/>
      <c r="AB584" s="3308"/>
      <c r="AC584" s="3298">
        <f t="shared" si="329"/>
        <v>0</v>
      </c>
      <c r="AD584" s="3318"/>
      <c r="AE584" s="3318"/>
      <c r="AF584" s="3318"/>
      <c r="AG584" s="3318"/>
      <c r="AH584" s="3318"/>
      <c r="AI584" s="3318"/>
      <c r="AJ584" s="3318"/>
      <c r="AK584" s="3318"/>
      <c r="AL584" s="3318"/>
      <c r="AM584" s="3318"/>
      <c r="AN584" s="3318"/>
      <c r="AO584" s="3318"/>
      <c r="AP584" s="3318"/>
      <c r="AQ584" s="3318"/>
      <c r="AR584" s="3318"/>
      <c r="AS584" s="3318"/>
      <c r="AT584" s="3328"/>
      <c r="AU584" s="3329"/>
      <c r="AV584" s="963">
        <f t="shared" si="330"/>
        <v>0</v>
      </c>
      <c r="AW584" s="963">
        <f t="shared" si="331"/>
        <v>0</v>
      </c>
      <c r="AX584" s="963">
        <f t="shared" si="332"/>
        <v>0</v>
      </c>
      <c r="AY584" s="3343">
        <f t="shared" si="333"/>
        <v>0</v>
      </c>
      <c r="AZ584" s="3298">
        <f t="shared" si="334"/>
        <v>0</v>
      </c>
      <c r="BA584" s="3298">
        <f t="shared" si="335"/>
        <v>0</v>
      </c>
      <c r="BB584" s="3298">
        <f t="shared" si="336"/>
        <v>0</v>
      </c>
      <c r="BC584" s="3298">
        <f t="shared" si="337"/>
        <v>0</v>
      </c>
      <c r="BD584" s="3298">
        <f t="shared" si="338"/>
        <v>0</v>
      </c>
      <c r="BE584" s="3298">
        <f t="shared" si="339"/>
        <v>0</v>
      </c>
      <c r="BF584" s="3298">
        <f t="shared" si="340"/>
        <v>0</v>
      </c>
      <c r="BG584" s="3298">
        <f t="shared" si="341"/>
        <v>0</v>
      </c>
      <c r="BH584" s="3298">
        <f t="shared" si="342"/>
        <v>0</v>
      </c>
      <c r="BI584" s="3298">
        <f t="shared" si="343"/>
        <v>0</v>
      </c>
      <c r="BJ584" s="3298">
        <f t="shared" si="344"/>
        <v>0</v>
      </c>
      <c r="BK584" s="3298">
        <f t="shared" si="345"/>
        <v>0</v>
      </c>
      <c r="BL584" s="3298">
        <f t="shared" si="346"/>
        <v>0</v>
      </c>
      <c r="BM584" s="3298">
        <f t="shared" si="347"/>
        <v>0</v>
      </c>
      <c r="BN584" s="3298">
        <f t="shared" si="348"/>
        <v>0</v>
      </c>
      <c r="BO584" s="3298">
        <f t="shared" si="349"/>
        <v>0</v>
      </c>
      <c r="BP584" s="3298">
        <f t="shared" si="350"/>
        <v>0</v>
      </c>
      <c r="BQ584" s="3298">
        <f t="shared" si="351"/>
        <v>0</v>
      </c>
      <c r="BR584" s="3298">
        <f t="shared" si="352"/>
        <v>0</v>
      </c>
      <c r="BS584" s="3298">
        <f t="shared" si="353"/>
        <v>0</v>
      </c>
      <c r="BT584" s="3350">
        <f t="shared" si="354"/>
        <v>0</v>
      </c>
    </row>
    <row r="585" spans="1:72">
      <c r="A585" s="1407"/>
      <c r="B585" s="1407"/>
      <c r="C585" s="1407"/>
      <c r="D585" s="3297"/>
      <c r="E585" s="3298">
        <f t="shared" si="326"/>
        <v>0</v>
      </c>
      <c r="F585" s="3351"/>
      <c r="G585" s="3300">
        <f t="shared" si="327"/>
        <v>0</v>
      </c>
      <c r="H585" s="3301">
        <f t="shared" si="328"/>
        <v>0</v>
      </c>
      <c r="I585" s="3352"/>
      <c r="J585" s="3352"/>
      <c r="K585" s="3308"/>
      <c r="L585" s="3308"/>
      <c r="M585" s="3308"/>
      <c r="N585" s="3308"/>
      <c r="O585" s="3308"/>
      <c r="P585" s="3308"/>
      <c r="Q585" s="3308"/>
      <c r="R585" s="3308"/>
      <c r="S585" s="3308"/>
      <c r="T585" s="3308"/>
      <c r="U585" s="3308"/>
      <c r="V585" s="3308"/>
      <c r="W585" s="3308"/>
      <c r="X585" s="3308"/>
      <c r="Y585" s="3308"/>
      <c r="Z585" s="3308"/>
      <c r="AA585" s="3308"/>
      <c r="AB585" s="3308"/>
      <c r="AC585" s="3298">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53"/>
      <c r="AV585" s="963">
        <f t="shared" si="330"/>
        <v>0</v>
      </c>
      <c r="AW585" s="963">
        <f t="shared" si="331"/>
        <v>0</v>
      </c>
      <c r="AX585" s="963">
        <f t="shared" si="332"/>
        <v>0</v>
      </c>
      <c r="AY585" s="3343">
        <f t="shared" si="333"/>
        <v>0</v>
      </c>
      <c r="AZ585" s="3298">
        <f t="shared" si="334"/>
        <v>0</v>
      </c>
      <c r="BA585" s="3298">
        <f t="shared" si="335"/>
        <v>0</v>
      </c>
      <c r="BB585" s="3298">
        <f t="shared" si="336"/>
        <v>0</v>
      </c>
      <c r="BC585" s="3298">
        <f t="shared" si="337"/>
        <v>0</v>
      </c>
      <c r="BD585" s="3298">
        <f t="shared" si="338"/>
        <v>0</v>
      </c>
      <c r="BE585" s="3298">
        <f t="shared" si="339"/>
        <v>0</v>
      </c>
      <c r="BF585" s="3298">
        <f t="shared" si="340"/>
        <v>0</v>
      </c>
      <c r="BG585" s="3298">
        <f t="shared" si="341"/>
        <v>0</v>
      </c>
      <c r="BH585" s="3298">
        <f t="shared" si="342"/>
        <v>0</v>
      </c>
      <c r="BI585" s="3298">
        <f t="shared" si="343"/>
        <v>0</v>
      </c>
      <c r="BJ585" s="3298">
        <f t="shared" si="344"/>
        <v>0</v>
      </c>
      <c r="BK585" s="3298">
        <f t="shared" si="345"/>
        <v>0</v>
      </c>
      <c r="BL585" s="3298">
        <f t="shared" si="346"/>
        <v>0</v>
      </c>
      <c r="BM585" s="3298">
        <f t="shared" si="347"/>
        <v>0</v>
      </c>
      <c r="BN585" s="3298">
        <f t="shared" si="348"/>
        <v>0</v>
      </c>
      <c r="BO585" s="3298">
        <f t="shared" si="349"/>
        <v>0</v>
      </c>
      <c r="BP585" s="3298">
        <f t="shared" si="350"/>
        <v>0</v>
      </c>
      <c r="BQ585" s="3298">
        <f t="shared" si="351"/>
        <v>0</v>
      </c>
      <c r="BR585" s="3298">
        <f t="shared" si="352"/>
        <v>0</v>
      </c>
      <c r="BS585" s="3298">
        <f t="shared" si="353"/>
        <v>0</v>
      </c>
      <c r="BT585" s="3350">
        <f t="shared" si="354"/>
        <v>0</v>
      </c>
    </row>
    <row r="586" spans="1:72">
      <c r="A586" s="1407"/>
      <c r="B586" s="1407"/>
      <c r="C586" s="1407"/>
      <c r="D586" s="3297"/>
      <c r="E586" s="3298">
        <f t="shared" si="326"/>
        <v>0</v>
      </c>
      <c r="F586" s="3351"/>
      <c r="G586" s="3300">
        <f t="shared" si="327"/>
        <v>0</v>
      </c>
      <c r="H586" s="3301">
        <f t="shared" si="328"/>
        <v>0</v>
      </c>
      <c r="I586" s="3308"/>
      <c r="J586" s="3308"/>
      <c r="K586" s="3308"/>
      <c r="L586" s="3308"/>
      <c r="M586" s="3308"/>
      <c r="N586" s="3308"/>
      <c r="O586" s="3308"/>
      <c r="P586" s="3308"/>
      <c r="Q586" s="3308"/>
      <c r="R586" s="3308"/>
      <c r="S586" s="3308"/>
      <c r="T586" s="3308"/>
      <c r="U586" s="3308"/>
      <c r="V586" s="3308"/>
      <c r="W586" s="3308"/>
      <c r="X586" s="3308"/>
      <c r="Y586" s="3308"/>
      <c r="Z586" s="3308"/>
      <c r="AA586" s="3308"/>
      <c r="AB586" s="3308"/>
      <c r="AC586" s="3298">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53"/>
      <c r="AV586" s="963">
        <f t="shared" si="330"/>
        <v>0</v>
      </c>
      <c r="AW586" s="963">
        <f t="shared" si="331"/>
        <v>0</v>
      </c>
      <c r="AX586" s="963">
        <f t="shared" si="332"/>
        <v>0</v>
      </c>
      <c r="AY586" s="3343">
        <f t="shared" si="333"/>
        <v>0</v>
      </c>
      <c r="AZ586" s="3298">
        <f t="shared" si="334"/>
        <v>0</v>
      </c>
      <c r="BA586" s="3298">
        <f t="shared" si="335"/>
        <v>0</v>
      </c>
      <c r="BB586" s="3298">
        <f t="shared" si="336"/>
        <v>0</v>
      </c>
      <c r="BC586" s="3298">
        <f t="shared" si="337"/>
        <v>0</v>
      </c>
      <c r="BD586" s="3298">
        <f t="shared" si="338"/>
        <v>0</v>
      </c>
      <c r="BE586" s="3298">
        <f t="shared" si="339"/>
        <v>0</v>
      </c>
      <c r="BF586" s="3298">
        <f t="shared" si="340"/>
        <v>0</v>
      </c>
      <c r="BG586" s="3298">
        <f t="shared" si="341"/>
        <v>0</v>
      </c>
      <c r="BH586" s="3298">
        <f t="shared" si="342"/>
        <v>0</v>
      </c>
      <c r="BI586" s="3298">
        <f t="shared" si="343"/>
        <v>0</v>
      </c>
      <c r="BJ586" s="3298">
        <f t="shared" si="344"/>
        <v>0</v>
      </c>
      <c r="BK586" s="3298">
        <f t="shared" si="345"/>
        <v>0</v>
      </c>
      <c r="BL586" s="3298">
        <f t="shared" si="346"/>
        <v>0</v>
      </c>
      <c r="BM586" s="3298">
        <f t="shared" si="347"/>
        <v>0</v>
      </c>
      <c r="BN586" s="3298">
        <f t="shared" si="348"/>
        <v>0</v>
      </c>
      <c r="BO586" s="3298">
        <f t="shared" si="349"/>
        <v>0</v>
      </c>
      <c r="BP586" s="3298">
        <f t="shared" si="350"/>
        <v>0</v>
      </c>
      <c r="BQ586" s="3298">
        <f t="shared" si="351"/>
        <v>0</v>
      </c>
      <c r="BR586" s="3298">
        <f t="shared" si="352"/>
        <v>0</v>
      </c>
      <c r="BS586" s="3298">
        <f t="shared" si="353"/>
        <v>0</v>
      </c>
      <c r="BT586" s="3350">
        <f t="shared" si="354"/>
        <v>0</v>
      </c>
    </row>
    <row r="587" spans="1:72">
      <c r="A587" s="1407"/>
      <c r="B587" s="1407"/>
      <c r="C587" s="1407"/>
      <c r="D587" s="3297"/>
      <c r="E587" s="3298">
        <f t="shared" si="326"/>
        <v>0</v>
      </c>
      <c r="F587" s="3351"/>
      <c r="G587" s="3300">
        <f t="shared" si="327"/>
        <v>0</v>
      </c>
      <c r="H587" s="3301">
        <f t="shared" si="328"/>
        <v>0</v>
      </c>
      <c r="I587" s="3308"/>
      <c r="J587" s="3308"/>
      <c r="K587" s="3308"/>
      <c r="L587" s="3308"/>
      <c r="M587" s="3308"/>
      <c r="N587" s="3308"/>
      <c r="O587" s="3308"/>
      <c r="P587" s="3308"/>
      <c r="Q587" s="3308"/>
      <c r="R587" s="3308"/>
      <c r="S587" s="3308"/>
      <c r="T587" s="3308"/>
      <c r="U587" s="3308"/>
      <c r="V587" s="3308"/>
      <c r="W587" s="3308"/>
      <c r="X587" s="3308"/>
      <c r="Y587" s="3308"/>
      <c r="Z587" s="3308"/>
      <c r="AA587" s="3308"/>
      <c r="AB587" s="3308"/>
      <c r="AC587" s="3298">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53"/>
      <c r="AV587" s="963">
        <f t="shared" si="330"/>
        <v>0</v>
      </c>
      <c r="AW587" s="963">
        <f t="shared" si="331"/>
        <v>0</v>
      </c>
      <c r="AX587" s="963">
        <f t="shared" si="332"/>
        <v>0</v>
      </c>
      <c r="AY587" s="3343">
        <f t="shared" si="333"/>
        <v>0</v>
      </c>
      <c r="AZ587" s="3298">
        <f t="shared" si="334"/>
        <v>0</v>
      </c>
      <c r="BA587" s="3298">
        <f t="shared" si="335"/>
        <v>0</v>
      </c>
      <c r="BB587" s="3298">
        <f t="shared" si="336"/>
        <v>0</v>
      </c>
      <c r="BC587" s="3298">
        <f t="shared" si="337"/>
        <v>0</v>
      </c>
      <c r="BD587" s="3298">
        <f t="shared" si="338"/>
        <v>0</v>
      </c>
      <c r="BE587" s="3298">
        <f t="shared" si="339"/>
        <v>0</v>
      </c>
      <c r="BF587" s="3298">
        <f t="shared" si="340"/>
        <v>0</v>
      </c>
      <c r="BG587" s="3298">
        <f t="shared" si="341"/>
        <v>0</v>
      </c>
      <c r="BH587" s="3298">
        <f t="shared" si="342"/>
        <v>0</v>
      </c>
      <c r="BI587" s="3298">
        <f t="shared" si="343"/>
        <v>0</v>
      </c>
      <c r="BJ587" s="3298">
        <f t="shared" si="344"/>
        <v>0</v>
      </c>
      <c r="BK587" s="3298">
        <f t="shared" si="345"/>
        <v>0</v>
      </c>
      <c r="BL587" s="3298">
        <f t="shared" si="346"/>
        <v>0</v>
      </c>
      <c r="BM587" s="3298">
        <f t="shared" si="347"/>
        <v>0</v>
      </c>
      <c r="BN587" s="3298">
        <f t="shared" si="348"/>
        <v>0</v>
      </c>
      <c r="BO587" s="3298">
        <f t="shared" si="349"/>
        <v>0</v>
      </c>
      <c r="BP587" s="3298">
        <f t="shared" si="350"/>
        <v>0</v>
      </c>
      <c r="BQ587" s="3298">
        <f t="shared" si="351"/>
        <v>0</v>
      </c>
      <c r="BR587" s="3298">
        <f t="shared" si="352"/>
        <v>0</v>
      </c>
      <c r="BS587" s="3298">
        <f t="shared" si="353"/>
        <v>0</v>
      </c>
      <c r="BT587" s="3350">
        <f t="shared" si="354"/>
        <v>0</v>
      </c>
    </row>
    <row r="588" s="3265" customFormat="1" spans="1:50">
      <c r="A588" s="3354"/>
      <c r="B588" s="3354"/>
      <c r="C588" s="3354"/>
      <c r="D588" s="3354"/>
      <c r="E588" s="3355"/>
      <c r="F588" s="3355"/>
      <c r="G588" s="3354"/>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4"/>
      <c r="AV588" s="3354"/>
      <c r="AW588" s="3354"/>
      <c r="AX588" s="3354"/>
    </row>
    <row r="589" s="3266" customFormat="1" spans="3:4">
      <c r="C589" s="3356"/>
      <c r="D589" s="3356"/>
    </row>
    <row r="590" s="3266" customFormat="1" spans="3:4">
      <c r="C590" s="3356"/>
      <c r="D590" s="3356"/>
    </row>
    <row r="593" spans="2:2">
      <c r="B593" s="33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4"/>
  <sheetViews>
    <sheetView view="pageBreakPreview" zoomScale="70" zoomScaleNormal="100" workbookViewId="0">
      <selection activeCell="H47" sqref="H47"/>
    </sheetView>
  </sheetViews>
  <sheetFormatPr defaultColWidth="9.25454545454545" defaultRowHeight="14"/>
  <cols>
    <col min="1" max="1" width="12.1272727272727" style="3167" customWidth="1"/>
    <col min="2" max="2" width="10.2545454545455" style="3167" customWidth="1"/>
    <col min="3" max="3" width="18.5" style="3167" customWidth="1"/>
    <col min="4" max="4" width="11.6272727272727" style="3167" customWidth="1"/>
    <col min="5" max="5" width="13.3727272727273" style="3167" customWidth="1"/>
    <col min="6" max="8" width="11.5" style="3167" customWidth="1"/>
    <col min="9" max="9" width="11.1272727272727" style="3167" customWidth="1"/>
    <col min="10" max="10" width="3.12727272727273" style="3168" customWidth="1"/>
    <col min="11" max="16" width="10" style="3167" customWidth="1"/>
    <col min="17" max="17" width="2.62727272727273" style="3167" customWidth="1"/>
    <col min="18" max="18" width="9.37272727272727" style="3167" customWidth="1"/>
    <col min="19" max="19" width="10.5" style="3167" customWidth="1"/>
    <col min="20" max="16384" width="9.25454545454545" style="3167"/>
  </cols>
  <sheetData>
    <row r="1" ht="18.25" spans="1:16">
      <c r="A1" s="2510" t="s">
        <v>560</v>
      </c>
      <c r="B1" s="2598"/>
      <c r="C1" s="2598"/>
      <c r="D1" s="2598"/>
      <c r="E1" s="2598"/>
      <c r="F1" s="2598"/>
      <c r="G1" s="2598"/>
      <c r="H1" s="2598"/>
      <c r="I1" s="2598"/>
      <c r="J1" s="2598"/>
      <c r="K1" s="2598"/>
      <c r="L1" s="2598"/>
      <c r="M1" s="2598"/>
      <c r="N1" s="2598"/>
      <c r="O1" s="2598"/>
      <c r="P1" s="2598"/>
    </row>
    <row r="2" spans="1:16">
      <c r="A2" s="2033" t="s">
        <v>561</v>
      </c>
      <c r="B2" s="2033"/>
      <c r="C2" s="2033"/>
      <c r="D2" s="2033" t="s">
        <v>562</v>
      </c>
      <c r="E2" s="3169" t="s">
        <v>563</v>
      </c>
      <c r="F2" s="3170"/>
      <c r="G2" s="3171"/>
      <c r="H2" s="3172"/>
      <c r="I2" s="2776" t="s">
        <v>564</v>
      </c>
      <c r="J2" s="3170"/>
      <c r="K2" s="3170"/>
      <c r="L2" s="3170"/>
      <c r="M2" s="3170"/>
      <c r="N2" s="1095"/>
      <c r="O2" s="3170"/>
      <c r="P2" s="3170"/>
    </row>
    <row r="3" ht="14.75" spans="1:16">
      <c r="A3" s="3173" t="s">
        <v>565</v>
      </c>
      <c r="B3" s="3173"/>
      <c r="C3" s="3173"/>
      <c r="D3" s="3174">
        <f>'数据-基础表'!AY6</f>
        <v>11645.87</v>
      </c>
      <c r="E3" s="3174">
        <f>'数据-基础表'!AZ5</f>
        <v>68156.19</v>
      </c>
      <c r="F3" s="3170"/>
      <c r="G3" s="3175"/>
      <c r="H3" s="2544" t="s">
        <v>566</v>
      </c>
      <c r="I3" s="3238">
        <f>ROUND('数据-基础表'!B3/'数据-基础表'!A3,2)</f>
        <v>5.85</v>
      </c>
      <c r="J3" s="3170"/>
      <c r="K3" s="3170"/>
      <c r="L3" s="3170"/>
      <c r="M3" s="3170"/>
      <c r="N3" s="1095"/>
      <c r="O3" s="3170"/>
      <c r="P3" s="3170"/>
    </row>
    <row r="4" spans="1:16">
      <c r="A4" s="2774"/>
      <c r="B4" s="2775"/>
      <c r="C4" s="3176"/>
      <c r="D4" s="3177" t="s">
        <v>562</v>
      </c>
      <c r="E4" s="3178" t="s">
        <v>563</v>
      </c>
      <c r="F4" s="3170"/>
      <c r="G4" s="3179" t="s">
        <v>567</v>
      </c>
      <c r="H4" s="2544" t="s">
        <v>568</v>
      </c>
      <c r="I4" s="3238">
        <f>ROUND(SUMIF('数据-基础表'!I9:AS9,"地上",'数据-基础表'!I5:AS5)/'数据-基础表'!A3,2)</f>
        <v>4.82</v>
      </c>
      <c r="J4" s="3170"/>
      <c r="K4" s="3170"/>
      <c r="L4" s="3170"/>
      <c r="M4" s="3170"/>
      <c r="N4" s="1095"/>
      <c r="O4" s="3170"/>
      <c r="P4" s="3170"/>
    </row>
    <row r="5" spans="1:16">
      <c r="A5" s="3180" t="s">
        <v>569</v>
      </c>
      <c r="B5" s="979" t="s">
        <v>570</v>
      </c>
      <c r="C5" s="979"/>
      <c r="D5" s="3181">
        <f>ROUND($D$3*E5/$E$3,2)</f>
        <v>0</v>
      </c>
      <c r="E5" s="3182">
        <f>SUMIF('数据-基础表'!$11:$11,"住宅",'数据-基础表'!$5:$5)</f>
        <v>0</v>
      </c>
      <c r="F5" s="3170"/>
      <c r="G5" s="3175"/>
      <c r="H5" s="2544" t="s">
        <v>566</v>
      </c>
      <c r="I5" s="3238">
        <f>ROUND(E31/D31,2)</f>
        <v>5.85</v>
      </c>
      <c r="J5" s="3170"/>
      <c r="K5" s="3170"/>
      <c r="L5" s="3170"/>
      <c r="M5" s="3170"/>
      <c r="N5" s="3170"/>
      <c r="O5" s="3170"/>
      <c r="P5" s="3170"/>
    </row>
    <row r="6" ht="14.75" spans="1:16">
      <c r="A6" s="3183"/>
      <c r="B6" s="979" t="s">
        <v>571</v>
      </c>
      <c r="C6" s="979"/>
      <c r="D6" s="3181">
        <f>ROUND($D$3*E6/$E$3,2)</f>
        <v>11645.87</v>
      </c>
      <c r="E6" s="3182">
        <f>E3-E5</f>
        <v>68156.19</v>
      </c>
      <c r="F6" s="3170"/>
      <c r="G6" s="3184" t="s">
        <v>572</v>
      </c>
      <c r="H6" s="3185" t="s">
        <v>568</v>
      </c>
      <c r="I6" s="3239">
        <f>ROUND(F31/D31,2)</f>
        <v>4.82</v>
      </c>
      <c r="J6" s="3170"/>
      <c r="K6" s="3170"/>
      <c r="L6" s="3170"/>
      <c r="M6" s="3170"/>
      <c r="N6" s="3170"/>
      <c r="O6" s="3170"/>
      <c r="P6" s="3170"/>
    </row>
    <row r="7" ht="14.75" spans="1:16">
      <c r="A7" s="3186"/>
      <c r="B7" s="3187"/>
      <c r="C7" s="3188"/>
      <c r="D7" s="3177" t="s">
        <v>562</v>
      </c>
      <c r="E7" s="3189" t="s">
        <v>573</v>
      </c>
      <c r="F7" s="3170"/>
      <c r="G7" s="3190" t="s">
        <v>574</v>
      </c>
      <c r="H7" s="3191"/>
      <c r="I7" s="3240">
        <f>ROUND(269902/56008,2)</f>
        <v>4.82</v>
      </c>
      <c r="J7" s="3170"/>
      <c r="K7" s="3170"/>
      <c r="L7" s="3170"/>
      <c r="M7" s="3170"/>
      <c r="N7" s="3170"/>
      <c r="O7" s="3170"/>
      <c r="P7" s="3170"/>
    </row>
    <row r="8" spans="1:16">
      <c r="A8" s="3180" t="s">
        <v>575</v>
      </c>
      <c r="B8" s="3192" t="s">
        <v>576</v>
      </c>
      <c r="C8" s="3181" t="s">
        <v>577</v>
      </c>
      <c r="D8" s="3181">
        <f t="shared" ref="D8:D15" si="0">ROUND($D$3*E8/$E$3,2)</f>
        <v>9589.47</v>
      </c>
      <c r="E8" s="3193">
        <f>SUMIF('数据-基础表'!BB10:BK10,"地上",'数据-基础表'!BB5:BK5)</f>
        <v>56121.31</v>
      </c>
      <c r="F8" s="3170"/>
      <c r="G8" s="3194"/>
      <c r="H8" s="3194"/>
      <c r="I8" s="3170"/>
      <c r="J8" s="3170"/>
      <c r="K8" s="3170"/>
      <c r="L8" s="3170"/>
      <c r="M8" s="3170"/>
      <c r="N8" s="3170"/>
      <c r="O8" s="3170"/>
      <c r="P8" s="3170"/>
    </row>
    <row r="9" spans="1:16">
      <c r="A9" s="3195"/>
      <c r="B9" s="3196"/>
      <c r="C9" s="3181" t="s">
        <v>578</v>
      </c>
      <c r="D9" s="3181">
        <f t="shared" si="0"/>
        <v>0</v>
      </c>
      <c r="E9" s="3197">
        <v>0</v>
      </c>
      <c r="F9" s="3170"/>
      <c r="G9" s="3194"/>
      <c r="H9" s="3194"/>
      <c r="I9" s="3170"/>
      <c r="J9" s="3170"/>
      <c r="K9" s="3170"/>
      <c r="L9" s="3170"/>
      <c r="M9" s="3170"/>
      <c r="N9" s="3170"/>
      <c r="O9" s="3170"/>
      <c r="P9" s="3170"/>
    </row>
    <row r="10" spans="1:16">
      <c r="A10" s="3195"/>
      <c r="B10" s="3196"/>
      <c r="C10" s="3181" t="s">
        <v>579</v>
      </c>
      <c r="D10" s="3181">
        <f t="shared" si="0"/>
        <v>0</v>
      </c>
      <c r="E10" s="3193">
        <f>SUMPRODUCT(('数据-基础表'!BB10:BK10="地下")*('数据-基础表'!BB11:BK11="商业")*('数据-基础表'!BB5:BK5))</f>
        <v>0</v>
      </c>
      <c r="F10" s="3170"/>
      <c r="G10" s="3194"/>
      <c r="H10" s="3194"/>
      <c r="I10" s="3170"/>
      <c r="J10" s="3170"/>
      <c r="K10" s="3170"/>
      <c r="L10" s="3170"/>
      <c r="M10" s="3170"/>
      <c r="N10" s="3170"/>
      <c r="O10" s="3170"/>
      <c r="P10" s="3170"/>
    </row>
    <row r="11" spans="1:16">
      <c r="A11" s="3195"/>
      <c r="B11" s="3196"/>
      <c r="C11" s="3181" t="s">
        <v>580</v>
      </c>
      <c r="D11" s="3181">
        <f t="shared" si="0"/>
        <v>0</v>
      </c>
      <c r="E11" s="3193">
        <f>SUMPRODUCT(('数据-基础表'!BB10:BK10="地下")*('数据-基础表'!BB11:BK11="办公")*('数据-基础表'!BB5:BK5))+'数据-基础表'!BP5</f>
        <v>0</v>
      </c>
      <c r="F11" s="3170"/>
      <c r="G11" s="3194"/>
      <c r="H11" s="3194"/>
      <c r="I11" s="3170"/>
      <c r="J11" s="3170"/>
      <c r="K11" s="3170"/>
      <c r="L11" s="3170"/>
      <c r="M11" s="3170"/>
      <c r="N11" s="3170"/>
      <c r="O11" s="3170"/>
      <c r="P11" s="3170"/>
    </row>
    <row r="12" spans="1:16">
      <c r="A12" s="3195"/>
      <c r="B12" s="3196"/>
      <c r="C12" s="3181" t="s">
        <v>581</v>
      </c>
      <c r="D12" s="3181">
        <f t="shared" si="0"/>
        <v>0</v>
      </c>
      <c r="E12" s="3193">
        <f>SUMPRODUCT(('数据-基础表'!BB10:BK10="地下")*('数据-基础表'!BB11:BK11="仓储")*('数据-基础表'!BB5:BK5))</f>
        <v>0</v>
      </c>
      <c r="F12" s="3170"/>
      <c r="G12" s="3194"/>
      <c r="H12" s="3194"/>
      <c r="I12" s="3170"/>
      <c r="J12" s="3170"/>
      <c r="K12" s="3170"/>
      <c r="L12" s="3170"/>
      <c r="M12" s="3170"/>
      <c r="N12" s="3170"/>
      <c r="O12" s="3170"/>
      <c r="P12" s="3170"/>
    </row>
    <row r="13" spans="1:16">
      <c r="A13" s="3195"/>
      <c r="B13" s="3196"/>
      <c r="C13" s="3181" t="s">
        <v>582</v>
      </c>
      <c r="D13" s="3181">
        <f t="shared" si="0"/>
        <v>0</v>
      </c>
      <c r="E13" s="3193">
        <f>SUMPRODUCT(('数据-基础表'!BB10:BK10="地下")*('数据-基础表'!BB11:BK11="车库")*('数据-基础表'!BB5:BK5))</f>
        <v>0</v>
      </c>
      <c r="F13" s="3170"/>
      <c r="G13" s="3194"/>
      <c r="H13" s="3194"/>
      <c r="I13" s="3170"/>
      <c r="J13" s="3170"/>
      <c r="K13" s="3170"/>
      <c r="L13" s="3170"/>
      <c r="M13" s="3170"/>
      <c r="N13" s="3170"/>
      <c r="O13" s="3170"/>
      <c r="P13" s="3170"/>
    </row>
    <row r="14" spans="1:16">
      <c r="A14" s="3195"/>
      <c r="B14" s="3196"/>
      <c r="C14" s="3181" t="s">
        <v>583</v>
      </c>
      <c r="D14" s="3181">
        <f t="shared" si="0"/>
        <v>1750.05</v>
      </c>
      <c r="E14" s="3193">
        <f>SUMPRODUCT(('数据-基础表'!BB10:BK10="地下")*('数据-基础表'!BB11:BK11="车库—商业")*('数据-基础表'!BB5:BK5))</f>
        <v>10241.95</v>
      </c>
      <c r="F14" s="3170"/>
      <c r="G14" s="3194"/>
      <c r="H14" s="3194"/>
      <c r="I14" s="3170"/>
      <c r="J14" s="3170"/>
      <c r="K14" s="3170"/>
      <c r="L14" s="3170"/>
      <c r="M14" s="3170"/>
      <c r="N14" s="3170"/>
      <c r="O14" s="3170"/>
      <c r="P14" s="3170"/>
    </row>
    <row r="15" ht="14.75" spans="1:16">
      <c r="A15" s="3195"/>
      <c r="B15" s="3196"/>
      <c r="C15" s="3181" t="s">
        <v>584</v>
      </c>
      <c r="D15" s="3181">
        <f t="shared" si="0"/>
        <v>0</v>
      </c>
      <c r="E15" s="3193">
        <f>SUMPRODUCT(('数据-基础表'!BB10:BK10="地下")*('数据-基础表'!BB11:BK11="车库—办公")*('数据-基础表'!BB5:BK5))</f>
        <v>0</v>
      </c>
      <c r="F15" s="3170"/>
      <c r="G15" s="3194"/>
      <c r="H15" s="3194"/>
      <c r="I15" s="3170"/>
      <c r="J15" s="3170"/>
      <c r="K15" s="3170"/>
      <c r="L15" s="3170"/>
      <c r="M15" s="3170"/>
      <c r="N15" s="3170"/>
      <c r="O15" s="3170"/>
      <c r="P15" s="3170"/>
    </row>
    <row r="16" ht="14.75" spans="1:16">
      <c r="A16" s="3183"/>
      <c r="B16" s="3196"/>
      <c r="C16" s="3192" t="s">
        <v>585</v>
      </c>
      <c r="D16" s="3192">
        <f>SUM(D8:D15)</f>
        <v>11339.52</v>
      </c>
      <c r="E16" s="3198">
        <f>SUM(E8:E15)</f>
        <v>66363.26</v>
      </c>
      <c r="F16" s="3170"/>
      <c r="G16" s="3194"/>
      <c r="H16" s="3199" t="s">
        <v>586</v>
      </c>
      <c r="I16" s="3241"/>
      <c r="J16" s="2598"/>
      <c r="K16" s="3242" t="s">
        <v>586</v>
      </c>
      <c r="L16" s="3201"/>
      <c r="M16" s="3201"/>
      <c r="N16" s="3201"/>
      <c r="O16" s="3201"/>
      <c r="P16" s="3243"/>
    </row>
    <row r="17" spans="1:19">
      <c r="A17" s="3127" t="s">
        <v>587</v>
      </c>
      <c r="B17" s="3200" t="s">
        <v>588</v>
      </c>
      <c r="C17" s="3126" t="s">
        <v>589</v>
      </c>
      <c r="D17" s="3201" t="s">
        <v>562</v>
      </c>
      <c r="E17" s="3202" t="s">
        <v>563</v>
      </c>
      <c r="F17" s="3203"/>
      <c r="G17" s="3204"/>
      <c r="H17" s="3205" t="s">
        <v>590</v>
      </c>
      <c r="I17" s="3244" t="s">
        <v>591</v>
      </c>
      <c r="J17" s="2598"/>
      <c r="K17" s="3245" t="s">
        <v>592</v>
      </c>
      <c r="L17" s="3246"/>
      <c r="M17" s="3247"/>
      <c r="N17" s="3245" t="s">
        <v>593</v>
      </c>
      <c r="O17" s="3246"/>
      <c r="P17" s="3247"/>
      <c r="R17" s="3260" t="s">
        <v>594</v>
      </c>
      <c r="S17" s="2531"/>
    </row>
    <row r="18" spans="1:19">
      <c r="A18" s="3195"/>
      <c r="B18" s="3206"/>
      <c r="C18" s="3207"/>
      <c r="D18" s="3208"/>
      <c r="E18" s="3209" t="s">
        <v>595</v>
      </c>
      <c r="F18" s="3210" t="s">
        <v>568</v>
      </c>
      <c r="G18" s="3211" t="s">
        <v>596</v>
      </c>
      <c r="H18" s="3132" t="s">
        <v>597</v>
      </c>
      <c r="I18" s="3248" t="s">
        <v>598</v>
      </c>
      <c r="J18" s="2598"/>
      <c r="K18" s="3132" t="s">
        <v>599</v>
      </c>
      <c r="L18" s="2795" t="s">
        <v>600</v>
      </c>
      <c r="M18" s="3238" t="s">
        <v>601</v>
      </c>
      <c r="N18" s="3132" t="s">
        <v>599</v>
      </c>
      <c r="O18" s="2795" t="s">
        <v>600</v>
      </c>
      <c r="P18" s="3238" t="s">
        <v>601</v>
      </c>
      <c r="R18" s="2544" t="s">
        <v>597</v>
      </c>
      <c r="S18" s="2544" t="s">
        <v>598</v>
      </c>
    </row>
    <row r="19" spans="1:19">
      <c r="A19" s="3212"/>
      <c r="B19" s="3192" t="s">
        <v>602</v>
      </c>
      <c r="C19" s="3213" t="s">
        <v>549</v>
      </c>
      <c r="D19" s="3181">
        <f>ROUND($D$3*E19/$E$3,2)</f>
        <v>11339.51</v>
      </c>
      <c r="E19" s="3214">
        <f t="shared" ref="E19:E26" si="1">SUM(F19:G19)</f>
        <v>66363.26</v>
      </c>
      <c r="F19" s="3215">
        <f>'数据-基础表'!I13</f>
        <v>56121.31</v>
      </c>
      <c r="G19" s="3216">
        <f>'数据-基础表'!K13+'数据-基础表'!M13</f>
        <v>10241.95</v>
      </c>
      <c r="H19" s="3114">
        <f>ROUND($D$3*I19/$E$3,2)</f>
        <v>306.36</v>
      </c>
      <c r="I19" s="3193">
        <f t="shared" ref="I19:I26" si="2">IF($I$17="自定义",P19,M19)</f>
        <v>1792.93</v>
      </c>
      <c r="J19" s="2598"/>
      <c r="K19" s="3249">
        <f t="shared" ref="K19:K26" si="3">ROUND(E$28*E19/E$27,2)</f>
        <v>1792.93</v>
      </c>
      <c r="L19" s="2544">
        <f t="shared" ref="L19:L26" si="4">ROUND(IF(COUNTIF(C19,"*住宅*")&gt;0,E$29*E19/E$32,0),2)</f>
        <v>0</v>
      </c>
      <c r="M19" s="3250">
        <f>K19+L19</f>
        <v>1792.93</v>
      </c>
      <c r="N19" s="3251"/>
      <c r="O19" s="3252"/>
      <c r="P19" s="3250">
        <f>N19+O19</f>
        <v>0</v>
      </c>
      <c r="R19" s="2544">
        <f t="shared" ref="R19:S26" si="5">D19+H19</f>
        <v>11645.87</v>
      </c>
      <c r="S19" s="3261">
        <f t="shared" si="5"/>
        <v>68156.19</v>
      </c>
    </row>
    <row r="20" spans="1:19">
      <c r="A20" s="3217"/>
      <c r="B20" s="3192" t="s">
        <v>602</v>
      </c>
      <c r="C20" s="3213"/>
      <c r="D20" s="3181">
        <f t="shared" ref="D20:D26" si="6">ROUND($D$3*E20/$E$3,2)</f>
        <v>0</v>
      </c>
      <c r="E20" s="3214">
        <f t="shared" si="1"/>
        <v>0</v>
      </c>
      <c r="F20" s="3215"/>
      <c r="G20" s="3216"/>
      <c r="H20" s="3114">
        <f t="shared" ref="H20:H26" si="7">ROUND($D$3*I20/$E$3,2)</f>
        <v>0</v>
      </c>
      <c r="I20" s="3193">
        <f t="shared" si="2"/>
        <v>0</v>
      </c>
      <c r="J20" s="2598"/>
      <c r="K20" s="3249">
        <f t="shared" si="3"/>
        <v>0</v>
      </c>
      <c r="L20" s="2544">
        <f t="shared" si="4"/>
        <v>0</v>
      </c>
      <c r="M20" s="3250">
        <f t="shared" ref="M20:M26" si="8">K20+L20</f>
        <v>0</v>
      </c>
      <c r="N20" s="3251"/>
      <c r="O20" s="3252"/>
      <c r="P20" s="3250">
        <f t="shared" ref="P20:P26" si="9">N20+O20</f>
        <v>0</v>
      </c>
      <c r="R20" s="2544">
        <f t="shared" si="5"/>
        <v>0</v>
      </c>
      <c r="S20" s="3261">
        <f t="shared" si="5"/>
        <v>0</v>
      </c>
    </row>
    <row r="21" spans="1:19">
      <c r="A21" s="3217"/>
      <c r="B21" s="3192" t="s">
        <v>602</v>
      </c>
      <c r="C21" s="3213"/>
      <c r="D21" s="3181">
        <f t="shared" si="6"/>
        <v>0</v>
      </c>
      <c r="E21" s="3214">
        <f t="shared" si="1"/>
        <v>0</v>
      </c>
      <c r="F21" s="3215"/>
      <c r="G21" s="3216"/>
      <c r="H21" s="3114">
        <f t="shared" si="7"/>
        <v>0</v>
      </c>
      <c r="I21" s="3193">
        <f t="shared" si="2"/>
        <v>0</v>
      </c>
      <c r="J21" s="2598"/>
      <c r="K21" s="3249">
        <f t="shared" si="3"/>
        <v>0</v>
      </c>
      <c r="L21" s="2544">
        <f t="shared" si="4"/>
        <v>0</v>
      </c>
      <c r="M21" s="3250">
        <f t="shared" si="8"/>
        <v>0</v>
      </c>
      <c r="N21" s="3251"/>
      <c r="O21" s="3252"/>
      <c r="P21" s="3250">
        <f t="shared" si="9"/>
        <v>0</v>
      </c>
      <c r="R21" s="2544">
        <f t="shared" si="5"/>
        <v>0</v>
      </c>
      <c r="S21" s="3261">
        <f t="shared" si="5"/>
        <v>0</v>
      </c>
    </row>
    <row r="22" spans="1:19">
      <c r="A22" s="3217"/>
      <c r="B22" s="3192" t="s">
        <v>602</v>
      </c>
      <c r="C22" s="3218"/>
      <c r="D22" s="3181">
        <f t="shared" si="6"/>
        <v>0</v>
      </c>
      <c r="E22" s="3214">
        <f t="shared" si="1"/>
        <v>0</v>
      </c>
      <c r="F22" s="3219"/>
      <c r="G22" s="3220"/>
      <c r="H22" s="3114">
        <f t="shared" si="7"/>
        <v>0</v>
      </c>
      <c r="I22" s="3193">
        <f t="shared" si="2"/>
        <v>0</v>
      </c>
      <c r="J22" s="2598"/>
      <c r="K22" s="3249">
        <f t="shared" si="3"/>
        <v>0</v>
      </c>
      <c r="L22" s="2544">
        <f t="shared" si="4"/>
        <v>0</v>
      </c>
      <c r="M22" s="3250">
        <f t="shared" si="8"/>
        <v>0</v>
      </c>
      <c r="N22" s="3251"/>
      <c r="O22" s="3252"/>
      <c r="P22" s="3250">
        <f t="shared" si="9"/>
        <v>0</v>
      </c>
      <c r="R22" s="2544">
        <f t="shared" si="5"/>
        <v>0</v>
      </c>
      <c r="S22" s="3261">
        <f t="shared" si="5"/>
        <v>0</v>
      </c>
    </row>
    <row r="23" spans="1:19">
      <c r="A23" s="3217"/>
      <c r="B23" s="3192" t="s">
        <v>602</v>
      </c>
      <c r="C23" s="3218"/>
      <c r="D23" s="3181">
        <f t="shared" si="6"/>
        <v>0</v>
      </c>
      <c r="E23" s="3214">
        <f t="shared" si="1"/>
        <v>0</v>
      </c>
      <c r="F23" s="3219"/>
      <c r="G23" s="3220"/>
      <c r="H23" s="3114">
        <f t="shared" si="7"/>
        <v>0</v>
      </c>
      <c r="I23" s="3193">
        <f t="shared" si="2"/>
        <v>0</v>
      </c>
      <c r="J23" s="2598"/>
      <c r="K23" s="3249">
        <f t="shared" si="3"/>
        <v>0</v>
      </c>
      <c r="L23" s="2544">
        <f t="shared" si="4"/>
        <v>0</v>
      </c>
      <c r="M23" s="3250">
        <f t="shared" si="8"/>
        <v>0</v>
      </c>
      <c r="N23" s="3251"/>
      <c r="O23" s="3252"/>
      <c r="P23" s="3250">
        <f t="shared" si="9"/>
        <v>0</v>
      </c>
      <c r="R23" s="2544">
        <f t="shared" si="5"/>
        <v>0</v>
      </c>
      <c r="S23" s="3261">
        <f t="shared" si="5"/>
        <v>0</v>
      </c>
    </row>
    <row r="24" spans="1:19">
      <c r="A24" s="3217"/>
      <c r="B24" s="3192" t="s">
        <v>602</v>
      </c>
      <c r="C24" s="3218"/>
      <c r="D24" s="3181">
        <f t="shared" si="6"/>
        <v>0</v>
      </c>
      <c r="E24" s="3214">
        <f t="shared" si="1"/>
        <v>0</v>
      </c>
      <c r="F24" s="3219"/>
      <c r="G24" s="3220"/>
      <c r="H24" s="3114">
        <f t="shared" si="7"/>
        <v>0</v>
      </c>
      <c r="I24" s="3193">
        <f t="shared" si="2"/>
        <v>0</v>
      </c>
      <c r="J24" s="2598"/>
      <c r="K24" s="3249">
        <f t="shared" si="3"/>
        <v>0</v>
      </c>
      <c r="L24" s="2544">
        <f t="shared" si="4"/>
        <v>0</v>
      </c>
      <c r="M24" s="3250">
        <f t="shared" si="8"/>
        <v>0</v>
      </c>
      <c r="N24" s="3251"/>
      <c r="O24" s="3252"/>
      <c r="P24" s="3250">
        <f t="shared" si="9"/>
        <v>0</v>
      </c>
      <c r="R24" s="2544">
        <f t="shared" si="5"/>
        <v>0</v>
      </c>
      <c r="S24" s="3261">
        <f t="shared" si="5"/>
        <v>0</v>
      </c>
    </row>
    <row r="25" spans="1:19">
      <c r="A25" s="3217"/>
      <c r="B25" s="3192" t="s">
        <v>602</v>
      </c>
      <c r="C25" s="3218"/>
      <c r="D25" s="3181">
        <f t="shared" si="6"/>
        <v>0</v>
      </c>
      <c r="E25" s="3214">
        <f t="shared" si="1"/>
        <v>0</v>
      </c>
      <c r="F25" s="3219"/>
      <c r="G25" s="3220"/>
      <c r="H25" s="3180">
        <f t="shared" si="7"/>
        <v>0</v>
      </c>
      <c r="I25" s="3193">
        <f t="shared" si="2"/>
        <v>0</v>
      </c>
      <c r="J25" s="2598"/>
      <c r="K25" s="3249">
        <f t="shared" si="3"/>
        <v>0</v>
      </c>
      <c r="L25" s="2544">
        <f t="shared" si="4"/>
        <v>0</v>
      </c>
      <c r="M25" s="3250">
        <f t="shared" si="8"/>
        <v>0</v>
      </c>
      <c r="N25" s="3251"/>
      <c r="O25" s="3252"/>
      <c r="P25" s="3250">
        <f t="shared" si="9"/>
        <v>0</v>
      </c>
      <c r="R25" s="2544">
        <f t="shared" si="5"/>
        <v>0</v>
      </c>
      <c r="S25" s="3261">
        <f t="shared" si="5"/>
        <v>0</v>
      </c>
    </row>
    <row r="26" spans="1:19">
      <c r="A26" s="3217"/>
      <c r="B26" s="3192" t="s">
        <v>602</v>
      </c>
      <c r="C26" s="3221"/>
      <c r="D26" s="3181">
        <f t="shared" si="6"/>
        <v>0</v>
      </c>
      <c r="E26" s="3214">
        <f t="shared" si="1"/>
        <v>0</v>
      </c>
      <c r="F26" s="3219"/>
      <c r="G26" s="3220"/>
      <c r="H26" s="3180">
        <f t="shared" si="7"/>
        <v>0</v>
      </c>
      <c r="I26" s="3193">
        <f t="shared" si="2"/>
        <v>0</v>
      </c>
      <c r="J26" s="2598"/>
      <c r="K26" s="3175">
        <f t="shared" si="3"/>
        <v>0</v>
      </c>
      <c r="L26" s="3185">
        <f t="shared" si="4"/>
        <v>0</v>
      </c>
      <c r="M26" s="3228">
        <f t="shared" si="8"/>
        <v>0</v>
      </c>
      <c r="N26" s="3253"/>
      <c r="O26" s="3254"/>
      <c r="P26" s="3228">
        <f t="shared" si="9"/>
        <v>0</v>
      </c>
      <c r="R26" s="2544">
        <f t="shared" si="5"/>
        <v>0</v>
      </c>
      <c r="S26" s="3261">
        <f t="shared" si="5"/>
        <v>0</v>
      </c>
    </row>
    <row r="27" ht="14.75" spans="1:19">
      <c r="A27" s="3217"/>
      <c r="B27" s="3181"/>
      <c r="C27" s="2781" t="s">
        <v>603</v>
      </c>
      <c r="D27" s="3222">
        <f>SUM(D19:D26)</f>
        <v>11339.51</v>
      </c>
      <c r="E27" s="3223">
        <f>IF(SUM(E19:E26)='数据-基础表'!BA5,SUM(E19:E26),IF(F27="地上面积有误","面积有误","地下面积有误"))</f>
        <v>66363.26</v>
      </c>
      <c r="F27" s="3222">
        <f>IF(SUM(F19:F26)=E8,SUM(F19:F26),"地上面积有误")</f>
        <v>56121.31</v>
      </c>
      <c r="G27" s="3224">
        <f>SUM(G19:G26)</f>
        <v>10241.95</v>
      </c>
      <c r="H27" s="3225">
        <f>SUM(H19:H26)</f>
        <v>306.36</v>
      </c>
      <c r="I27" s="3255">
        <f>SUM(I19:I26)</f>
        <v>1792.93</v>
      </c>
      <c r="J27" s="2598"/>
      <c r="K27" s="3256">
        <f>SUM(K19:K26)</f>
        <v>1792.93</v>
      </c>
      <c r="L27" s="3257">
        <f>SUM(L19:L26)</f>
        <v>0</v>
      </c>
      <c r="M27" s="3258">
        <f>SUM(M19:M26)</f>
        <v>1792.93</v>
      </c>
      <c r="N27" s="3256">
        <f t="shared" ref="N27:P27" si="10">SUM(N19:N26)</f>
        <v>0</v>
      </c>
      <c r="O27" s="3257">
        <f t="shared" si="10"/>
        <v>0</v>
      </c>
      <c r="P27" s="3259">
        <f t="shared" si="10"/>
        <v>0</v>
      </c>
      <c r="R27" s="3161">
        <f>IF(SUM(R19:R26)=$D$3,SUM(R19:R26),SUM(R19:R26)&amp;"误差"&amp;ROUND(SUM(R19:R26)-$D$3,2))</f>
        <v>11645.87</v>
      </c>
      <c r="S27" s="2544">
        <f>IF(SUM(S19:S26)=$E$3,SUM(S19:S26),SUM(S19:S26)&amp;"误差"&amp;ROUND(SUM(S19:S26)-E3,2))</f>
        <v>68156.19</v>
      </c>
    </row>
    <row r="28" spans="1:16">
      <c r="A28" s="3217"/>
      <c r="B28" s="3192" t="s">
        <v>604</v>
      </c>
      <c r="C28" s="3135" t="s">
        <v>605</v>
      </c>
      <c r="D28" s="3181">
        <f>ROUND($D$3*E28/$E$3,2)</f>
        <v>306.36</v>
      </c>
      <c r="E28" s="3214">
        <f>SUM(F28:G28)</f>
        <v>1792.93</v>
      </c>
      <c r="F28" s="2531">
        <f>'数据-基础表'!BQ5+'数据-基础表'!BS5</f>
        <v>54.74</v>
      </c>
      <c r="G28" s="3226">
        <f>'数据-基础表'!BR5+'数据-基础表'!BT5</f>
        <v>1738.19</v>
      </c>
      <c r="H28" s="3170"/>
      <c r="I28" s="3170"/>
      <c r="J28" s="3170"/>
      <c r="K28" s="3170"/>
      <c r="L28" s="3170"/>
      <c r="M28" s="3170"/>
      <c r="N28" s="3170"/>
      <c r="O28" s="3170"/>
      <c r="P28" s="3170"/>
    </row>
    <row r="29" spans="1:16">
      <c r="A29" s="3217"/>
      <c r="B29" s="3192" t="s">
        <v>604</v>
      </c>
      <c r="C29" s="2596" t="s">
        <v>606</v>
      </c>
      <c r="D29" s="3181">
        <f>ROUND($D$3*E29/$E$3,2)</f>
        <v>0</v>
      </c>
      <c r="E29" s="3214">
        <f>SUM(F29:G29)</f>
        <v>0</v>
      </c>
      <c r="F29" s="3227">
        <f>'数据-基础表'!BM5+'数据-基础表'!BO5</f>
        <v>0</v>
      </c>
      <c r="G29" s="3228">
        <f>'数据-基础表'!BN5+'数据-基础表'!BP5</f>
        <v>0</v>
      </c>
      <c r="H29" s="3170"/>
      <c r="I29" s="3170"/>
      <c r="J29" s="3170"/>
      <c r="K29" s="3170"/>
      <c r="L29" s="3170"/>
      <c r="M29" s="3170"/>
      <c r="N29" s="3170"/>
      <c r="O29" s="3170"/>
      <c r="P29" s="3170"/>
    </row>
    <row r="30" spans="1:16">
      <c r="A30" s="3217"/>
      <c r="B30" s="3192"/>
      <c r="C30" s="3229" t="s">
        <v>603</v>
      </c>
      <c r="D30" s="3222">
        <f>SUM(D28:D29)</f>
        <v>306.36</v>
      </c>
      <c r="E30" s="3222">
        <f>SUM(E28:E29)</f>
        <v>1792.93</v>
      </c>
      <c r="F30" s="3222">
        <f>SUM(F28:F29)</f>
        <v>54.74</v>
      </c>
      <c r="G30" s="3224">
        <f>SUM(G28:G29)</f>
        <v>1738.19</v>
      </c>
      <c r="H30" s="3170"/>
      <c r="I30" s="3170"/>
      <c r="J30" s="3170"/>
      <c r="K30" s="3170"/>
      <c r="L30" s="3170"/>
      <c r="M30" s="3170"/>
      <c r="N30" s="3170"/>
      <c r="O30" s="3170"/>
      <c r="P30" s="3170"/>
    </row>
    <row r="31" ht="14.75" spans="1:16">
      <c r="A31" s="3230"/>
      <c r="B31" s="3231"/>
      <c r="C31" s="2075" t="s">
        <v>607</v>
      </c>
      <c r="D31" s="3232">
        <f>D27+D30</f>
        <v>11645.87</v>
      </c>
      <c r="E31" s="3232">
        <f>E27+E30</f>
        <v>68156.19</v>
      </c>
      <c r="F31" s="3233">
        <f>F27+F30</f>
        <v>56176.05</v>
      </c>
      <c r="G31" s="3234">
        <f>G27+G30</f>
        <v>11980.14</v>
      </c>
      <c r="H31" s="3170"/>
      <c r="I31" s="3170"/>
      <c r="J31" s="3170"/>
      <c r="K31" s="3170"/>
      <c r="L31" s="3170"/>
      <c r="M31" s="3170"/>
      <c r="N31" s="3170"/>
      <c r="O31" s="3170"/>
      <c r="P31" s="3170"/>
    </row>
    <row r="32" spans="1:16">
      <c r="A32" s="3235"/>
      <c r="B32" s="3235" t="s">
        <v>608</v>
      </c>
      <c r="C32" s="3235"/>
      <c r="D32" s="3235"/>
      <c r="E32" s="3236">
        <f>SUMIF(C19:C26,"*住宅*",E19:E26)</f>
        <v>0</v>
      </c>
      <c r="F32" s="3235"/>
      <c r="G32" s="3235"/>
      <c r="H32" s="3170"/>
      <c r="I32" s="3170"/>
      <c r="J32" s="3170"/>
      <c r="K32" s="3170"/>
      <c r="L32" s="3170"/>
      <c r="M32" s="3170"/>
      <c r="N32" s="3170"/>
      <c r="O32" s="3170"/>
      <c r="P32" s="3170"/>
    </row>
    <row r="33" spans="4:4">
      <c r="D33" s="3237"/>
    </row>
    <row r="39" spans="9:9">
      <c r="I39" s="3167">
        <v>2100</v>
      </c>
    </row>
    <row r="40" spans="9:9">
      <c r="I40" s="3167">
        <v>1985</v>
      </c>
    </row>
    <row r="41" spans="9:9">
      <c r="I41" s="3167">
        <v>4000</v>
      </c>
    </row>
    <row r="42" spans="9:9">
      <c r="I42" s="3167">
        <v>135</v>
      </c>
    </row>
    <row r="43" spans="9:9">
      <c r="I43" s="3167">
        <v>50</v>
      </c>
    </row>
    <row r="44" spans="9:9">
      <c r="I44" s="3167">
        <f>I39+I40+I41+I42+I43</f>
        <v>8270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H6" sqref="AH6"/>
    </sheetView>
  </sheetViews>
  <sheetFormatPr defaultColWidth="13.7545454545455" defaultRowHeight="12.5"/>
  <cols>
    <col min="1" max="1" width="20.8727272727273" style="2954" customWidth="1"/>
    <col min="2" max="2" width="12" style="2955" customWidth="1"/>
    <col min="3" max="3" width="12.7545454545455" style="2955" customWidth="1"/>
    <col min="4" max="4" width="9.12727272727273" style="2956" customWidth="1"/>
    <col min="5" max="5" width="15" style="2955" customWidth="1"/>
    <col min="6" max="10" width="8.87272727272727" style="2955" customWidth="1"/>
    <col min="11" max="12" width="12.3727272727273" style="2957" customWidth="1"/>
    <col min="13" max="13" width="8.62727272727273" style="2955" customWidth="1"/>
    <col min="14" max="14" width="11.8727272727273" style="2955" customWidth="1"/>
    <col min="15" max="15" width="8.5" style="2955" customWidth="1"/>
    <col min="16" max="17" width="10.8727272727273" style="2955" customWidth="1"/>
    <col min="18" max="19" width="12.5" style="2955" customWidth="1"/>
    <col min="20" max="20" width="12.1272727272727" style="2955" customWidth="1"/>
    <col min="21" max="21" width="7.5" style="2955" customWidth="1"/>
    <col min="22" max="22" width="6.37272727272727" style="2955" customWidth="1"/>
    <col min="23" max="30" width="6.75454545454545" style="2955" customWidth="1"/>
    <col min="31" max="31" width="8" style="2955" customWidth="1"/>
    <col min="32" max="33" width="7.25454545454545" style="2955" customWidth="1"/>
    <col min="34" max="34" width="11.3727272727273" style="2955" customWidth="1"/>
    <col min="35" max="35" width="11.7545454545455" style="2955" customWidth="1"/>
    <col min="36" max="39" width="8" style="2955" customWidth="1"/>
    <col min="40" max="40" width="13.7545454545455" style="2953"/>
    <col min="41" max="41" width="11.6272727272727" style="2953" customWidth="1"/>
    <col min="42" max="42" width="9.75454545454545" style="2953" customWidth="1"/>
    <col min="43" max="67" width="13.7545454545455" style="2953"/>
    <col min="68" max="16384" width="13.7545454545455" style="2955"/>
  </cols>
  <sheetData>
    <row r="1" ht="18.25" spans="1:44">
      <c r="A1" s="2958" t="s">
        <v>609</v>
      </c>
      <c r="B1" s="2959"/>
      <c r="C1" s="1787"/>
      <c r="D1" s="2960"/>
      <c r="E1" s="1787"/>
      <c r="F1" s="1787"/>
      <c r="G1" s="1787"/>
      <c r="H1" s="1787"/>
      <c r="I1" s="1787"/>
      <c r="J1" s="1787"/>
      <c r="K1" s="633"/>
      <c r="L1" s="63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16"/>
      <c r="AO1" s="2016"/>
      <c r="AP1" s="2016"/>
      <c r="AQ1" s="2016"/>
      <c r="AR1" s="2016"/>
    </row>
    <row r="2" s="2950" customFormat="1" ht="14.75" spans="1:67">
      <c r="A2" s="2961" t="s">
        <v>610</v>
      </c>
      <c r="B2" s="2962">
        <f>项目基本情况!D3</f>
        <v>45644</v>
      </c>
      <c r="C2" s="2963"/>
      <c r="D2" s="2964"/>
      <c r="E2" s="2963"/>
      <c r="F2" s="2963"/>
      <c r="G2" s="2963"/>
      <c r="H2" s="2963"/>
      <c r="I2" s="2963"/>
      <c r="J2" s="2963"/>
      <c r="K2" s="3064"/>
      <c r="L2" s="3064"/>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7"/>
      <c r="AO2" s="2997"/>
      <c r="AP2" s="2997"/>
      <c r="AQ2" s="2997"/>
      <c r="AR2" s="2997"/>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5"/>
      <c r="B3" s="2966"/>
      <c r="C3" s="2963"/>
      <c r="D3" s="2964"/>
      <c r="E3" s="2963"/>
      <c r="F3" s="2963"/>
      <c r="G3" s="2963"/>
      <c r="H3" s="2963"/>
      <c r="I3" s="2963"/>
      <c r="J3" s="2963"/>
      <c r="K3" s="3064"/>
      <c r="L3" s="3064"/>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7"/>
      <c r="AO3" s="2997"/>
      <c r="AP3" s="2997"/>
      <c r="AQ3" s="2997"/>
      <c r="AR3" s="2997"/>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1122" t="s">
        <v>611</v>
      </c>
      <c r="B4" s="2551"/>
      <c r="C4" s="2967"/>
      <c r="D4" s="2968"/>
      <c r="E4" s="2967" t="s">
        <v>612</v>
      </c>
      <c r="F4" s="2967"/>
      <c r="G4" s="2967"/>
      <c r="H4" s="2967"/>
      <c r="I4" s="2967"/>
      <c r="J4" s="3065"/>
      <c r="K4" s="3066"/>
      <c r="L4" s="3067"/>
      <c r="M4" s="2967"/>
      <c r="N4" s="2967" t="s">
        <v>613</v>
      </c>
      <c r="O4" s="2967"/>
      <c r="P4" s="2967"/>
      <c r="Q4" s="2967"/>
      <c r="R4" s="2967"/>
      <c r="S4" s="3065"/>
      <c r="T4" s="3094" t="str">
        <f>'数据-汇总表'!I17</f>
        <v>按面积比例</v>
      </c>
      <c r="U4" s="2551" t="s">
        <v>614</v>
      </c>
      <c r="V4" s="2967"/>
      <c r="W4" s="2967"/>
      <c r="X4" s="2967"/>
      <c r="Y4" s="3065"/>
      <c r="Z4" s="3126" t="s">
        <v>615</v>
      </c>
      <c r="AA4" s="3126"/>
      <c r="AB4" s="3126"/>
      <c r="AC4" s="3126"/>
      <c r="AD4" s="3126"/>
      <c r="AE4" s="3127" t="s">
        <v>616</v>
      </c>
      <c r="AF4" s="3126"/>
      <c r="AG4" s="3139"/>
      <c r="AH4" s="2551"/>
      <c r="AI4" s="2967"/>
      <c r="AJ4" s="2967"/>
      <c r="AK4" s="2967"/>
      <c r="AL4" s="2967"/>
      <c r="AM4" s="3065"/>
      <c r="AN4" s="2997"/>
      <c r="AO4" s="2997"/>
      <c r="AP4" s="2997"/>
      <c r="AQ4" s="2997"/>
      <c r="AR4" s="2997"/>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589</v>
      </c>
      <c r="B5" s="2970" t="s">
        <v>588</v>
      </c>
      <c r="C5" s="2971" t="s">
        <v>617</v>
      </c>
      <c r="D5" s="2972" t="s">
        <v>618</v>
      </c>
      <c r="E5" s="2973" t="s">
        <v>619</v>
      </c>
      <c r="F5" s="2974" t="s">
        <v>620</v>
      </c>
      <c r="G5" s="2973" t="s">
        <v>621</v>
      </c>
      <c r="H5" s="2973" t="s">
        <v>622</v>
      </c>
      <c r="I5" s="2973" t="s">
        <v>623</v>
      </c>
      <c r="J5" s="3068" t="s">
        <v>624</v>
      </c>
      <c r="K5" s="3069" t="s">
        <v>598</v>
      </c>
      <c r="L5" s="3070" t="s">
        <v>625</v>
      </c>
      <c r="M5" s="3071" t="s">
        <v>626</v>
      </c>
      <c r="N5" s="3072" t="s">
        <v>627</v>
      </c>
      <c r="O5" s="3070" t="s">
        <v>628</v>
      </c>
      <c r="P5" s="3073" t="s">
        <v>629</v>
      </c>
      <c r="Q5" s="1229" t="s">
        <v>630</v>
      </c>
      <c r="R5" s="3095" t="s">
        <v>631</v>
      </c>
      <c r="S5" s="3096" t="s">
        <v>632</v>
      </c>
      <c r="T5" s="3097" t="s">
        <v>633</v>
      </c>
      <c r="U5" s="3098" t="s">
        <v>634</v>
      </c>
      <c r="V5" s="2973" t="s">
        <v>635</v>
      </c>
      <c r="W5" s="2973" t="s">
        <v>636</v>
      </c>
      <c r="X5" s="757"/>
      <c r="Y5" s="1149" t="s">
        <v>637</v>
      </c>
      <c r="Z5" s="3128" t="s">
        <v>634</v>
      </c>
      <c r="AA5" s="2973" t="s">
        <v>635</v>
      </c>
      <c r="AB5" s="2973" t="s">
        <v>636</v>
      </c>
      <c r="AC5" s="757"/>
      <c r="AD5" s="757" t="s">
        <v>637</v>
      </c>
      <c r="AE5" s="3098" t="s">
        <v>638</v>
      </c>
      <c r="AF5" s="2973" t="s">
        <v>639</v>
      </c>
      <c r="AG5" s="1149" t="s">
        <v>640</v>
      </c>
      <c r="AH5" s="3098" t="s">
        <v>641</v>
      </c>
      <c r="AI5" s="3128" t="s">
        <v>642</v>
      </c>
      <c r="AJ5" s="3128" t="s">
        <v>643</v>
      </c>
      <c r="AK5" s="2973" t="s">
        <v>644</v>
      </c>
      <c r="AL5" s="2973" t="s">
        <v>645</v>
      </c>
      <c r="AM5" s="1149" t="s">
        <v>646</v>
      </c>
      <c r="AN5" s="3140" t="s">
        <v>647</v>
      </c>
      <c r="AO5" s="3160" t="s">
        <v>648</v>
      </c>
      <c r="AP5" s="3161" t="s">
        <v>649</v>
      </c>
      <c r="AQ5" s="3162" t="s">
        <v>650</v>
      </c>
      <c r="AR5" s="3162" t="s">
        <v>651</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75" t="str">
        <f>'数据-汇总表'!C19</f>
        <v>商业</v>
      </c>
      <c r="B6" s="2976" t="str">
        <f>IF(A6=0,"","经营性")</f>
        <v>经营性</v>
      </c>
      <c r="C6" s="2977" t="s">
        <v>549</v>
      </c>
      <c r="D6" s="2978">
        <f>SUMIF(项目基本情况!C$12:I$12,C6,项目基本情况!C$14:I$14)</f>
        <v>40</v>
      </c>
      <c r="E6" s="2979">
        <f>IF(B6="","",SUMIF(项目基本情况!C$12:I$12,C6,项目基本情况!C$13:I$13))</f>
        <v>55146</v>
      </c>
      <c r="F6" s="2980">
        <f>SUMIF(项目基本情况!C$12:I$12,C6,项目基本情况!C$15:I$15)</f>
        <v>26.03</v>
      </c>
      <c r="G6" s="2981">
        <f>IF(ISERROR(ROUND(POWER(1+H6,D6-F6)*(POWER(1+H6,F6)-1)/(POWER(1+H6,D6)-1),3)),0,ROUND(POWER(1+H6,D6-F6)*(POWER(1+H6,F6)-1)/(POWER(1+H6,D6)-1),3))</f>
        <v>0.838</v>
      </c>
      <c r="H6" s="2982">
        <v>0.05</v>
      </c>
      <c r="I6" s="2982">
        <v>0.055</v>
      </c>
      <c r="J6" s="2984">
        <v>0.07</v>
      </c>
      <c r="K6" s="3074">
        <f>SUMIF('数据-汇总表'!C$19:C$33,A6,'数据-汇总表'!E$19:E$33)</f>
        <v>66363.26</v>
      </c>
      <c r="L6" s="3075">
        <v>4500</v>
      </c>
      <c r="M6" s="3076">
        <f t="shared" ref="M6:M14" si="0">ROUND(K6*L6/10000,0)</f>
        <v>29863</v>
      </c>
      <c r="N6" s="3077">
        <v>0.99</v>
      </c>
      <c r="O6" s="3076">
        <f>IF($N$5="成新度","——",ROUND(M6*N6,0))</f>
        <v>29564</v>
      </c>
      <c r="P6" s="3078">
        <f>IF($N$5="成新度","——",M6-O6)</f>
        <v>299</v>
      </c>
      <c r="Q6" s="3099">
        <v>0.1</v>
      </c>
      <c r="R6" s="3100">
        <f ca="1">SUMIF('数据-汇总表'!C$19:C$33,A6,'数据-汇总表'!R$19:R$27)</f>
        <v>11645.87</v>
      </c>
      <c r="S6" s="3101">
        <f>IF('数据-汇总表'!$I$17="按面积比例",SUMIF('数据-汇总表'!C$19:C$33,A6,'数据-汇总表'!K$19:K$33),SUMIF('数据-汇总表'!C$19:C$33,A6,'数据-汇总表'!N$19:N$33))</f>
        <v>1792.93</v>
      </c>
      <c r="T6" s="3102">
        <f>ROUND($L$14*S6/10000,0)</f>
        <v>807</v>
      </c>
      <c r="U6" s="3103">
        <v>1.5</v>
      </c>
      <c r="V6" s="3104">
        <v>0.02</v>
      </c>
      <c r="W6" s="3105">
        <v>0.1</v>
      </c>
      <c r="X6" s="3106"/>
      <c r="Y6" s="3129">
        <v>1</v>
      </c>
      <c r="Z6" s="3130"/>
      <c r="AA6" s="2984"/>
      <c r="AB6" s="2984"/>
      <c r="AC6" s="3106"/>
      <c r="AD6" s="3131"/>
      <c r="AE6" s="3132">
        <f ca="1">IF(AN6="",0,SUMIF(INDIRECT("'"&amp;AN6&amp;"'"&amp;"!E:E"),$AE$5,INDIRECT("'"&amp;AN6&amp;"'"&amp;"!F:F")))</f>
        <v>26.01</v>
      </c>
      <c r="AF6" s="2526"/>
      <c r="AG6" s="1427">
        <f ca="1">IF(AF6="",0,AE6-AF6)</f>
        <v>0</v>
      </c>
      <c r="AH6" s="3141">
        <f>'数据-汇总表'!F27</f>
        <v>56121.31</v>
      </c>
      <c r="AI6" s="3142">
        <v>365</v>
      </c>
      <c r="AJ6" s="3143"/>
      <c r="AK6" s="3144">
        <v>0.002</v>
      </c>
      <c r="AL6" s="3145">
        <v>0.001</v>
      </c>
      <c r="AM6" s="3146">
        <v>0.005</v>
      </c>
      <c r="AN6" s="3147" t="s">
        <v>652</v>
      </c>
      <c r="AO6" s="979">
        <f ca="1">SUMIF(INDIRECT("'"&amp;AN6&amp;"'"&amp;"!A:A"),"总价",INDIRECT("'"&amp;AN6&amp;"'"&amp;"!B:B"))</f>
        <v>40137</v>
      </c>
      <c r="AP6" s="3163">
        <f>IF(C6="住宅",K6*L6,0)</f>
        <v>0</v>
      </c>
      <c r="AQ6" s="979">
        <f>ROUND($L$14*$N$14*S6/10000,0)</f>
        <v>799</v>
      </c>
      <c r="AR6" s="979">
        <f>ROUND($L$14*(1-$N$14)*S6/10000,0)</f>
        <v>8</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3"/>
      <c r="I7" s="2983"/>
      <c r="J7" s="2984"/>
      <c r="K7" s="3074">
        <f>SUMIF('数据-汇总表'!C$19:C$33,A7,'数据-汇总表'!E$19:E$33)</f>
        <v>0</v>
      </c>
      <c r="L7" s="3079"/>
      <c r="M7" s="3076">
        <f t="shared" si="0"/>
        <v>0</v>
      </c>
      <c r="N7" s="3077"/>
      <c r="O7" s="3076">
        <f t="shared" ref="O7:O14" si="3">IF($N$5="成新度","——",ROUND(M7*N7,0))</f>
        <v>0</v>
      </c>
      <c r="P7" s="3078">
        <f t="shared" ref="P7:P14" si="4">IF($N$5="成新度","——",M7-O7)</f>
        <v>0</v>
      </c>
      <c r="Q7" s="3107"/>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8"/>
      <c r="V7" s="3105"/>
      <c r="W7" s="3105"/>
      <c r="X7" s="3106"/>
      <c r="Y7" s="3129"/>
      <c r="Z7" s="3130"/>
      <c r="AA7" s="2984"/>
      <c r="AB7" s="2984"/>
      <c r="AC7" s="3106"/>
      <c r="AD7" s="3131"/>
      <c r="AE7" s="3132">
        <f ca="1" t="shared" ref="AE7:AE13" si="6">IF(AN7="",0,SUMIF(INDIRECT("'"&amp;AN7&amp;"'"&amp;"!E:E"),$AE$5,INDIRECT("'"&amp;AN7&amp;"'"&amp;"!F:F")))</f>
        <v>0</v>
      </c>
      <c r="AF7" s="2526"/>
      <c r="AG7" s="1427">
        <f ca="1" t="shared" ref="AG7:AG13" si="7">IF(AF7="",0,AE7-AF7)</f>
        <v>0</v>
      </c>
      <c r="AH7" s="3148"/>
      <c r="AI7" s="3142"/>
      <c r="AJ7" s="3143"/>
      <c r="AK7" s="3149"/>
      <c r="AL7" s="3145"/>
      <c r="AM7" s="3146"/>
      <c r="AN7" s="3147"/>
      <c r="AO7" s="979" t="e">
        <f ca="1" t="shared" ref="AO7:AO13" si="8">SUMIF(INDIRECT("'"&amp;AN7&amp;"'"&amp;"!A:A"),"总价",INDIRECT("'"&amp;AN7&amp;"'"&amp;"!B:B"))</f>
        <v>#REF!</v>
      </c>
      <c r="AP7" s="3163">
        <f t="shared" ref="AP7:AP13" si="9">IF(C7="住宅",K7*L7,0)</f>
        <v>0</v>
      </c>
      <c r="AQ7" s="979">
        <f t="shared" ref="AQ7:AQ13" si="10">ROUND($L$14*$N$14*S7/10000,0)</f>
        <v>0</v>
      </c>
      <c r="AR7" s="979">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3"/>
      <c r="I8" s="2983"/>
      <c r="J8" s="2984"/>
      <c r="K8" s="3074">
        <f>SUMIF('数据-汇总表'!C$19:C$33,A8,'数据-汇总表'!E$19:E$33)</f>
        <v>0</v>
      </c>
      <c r="L8" s="3079"/>
      <c r="M8" s="3076">
        <f t="shared" si="0"/>
        <v>0</v>
      </c>
      <c r="N8" s="3077"/>
      <c r="O8" s="3076">
        <f t="shared" si="3"/>
        <v>0</v>
      </c>
      <c r="P8" s="3078">
        <f t="shared" si="4"/>
        <v>0</v>
      </c>
      <c r="Q8" s="3107"/>
      <c r="R8" s="3100">
        <f ca="1">SUMIF('数据-汇总表'!C$19:C$33,A8,'数据-汇总表'!R$19:R$27)</f>
        <v>0</v>
      </c>
      <c r="S8" s="3101">
        <f>IF('数据-汇总表'!$I$17="按面积比例",SUMIF('数据-汇总表'!C$19:C$33,A8,'数据-汇总表'!K$19:K$33),SUMIF('数据-汇总表'!C$19:C$33,A8,'数据-汇总表'!N$19:N$33))</f>
        <v>0</v>
      </c>
      <c r="T8" s="3102">
        <f t="shared" si="5"/>
        <v>0</v>
      </c>
      <c r="U8" s="3109"/>
      <c r="V8" s="3110"/>
      <c r="W8" s="3110"/>
      <c r="X8" s="3106"/>
      <c r="Y8" s="3129"/>
      <c r="Z8" s="3130"/>
      <c r="AA8" s="2984"/>
      <c r="AB8" s="2984"/>
      <c r="AC8" s="3106"/>
      <c r="AD8" s="3131"/>
      <c r="AE8" s="3132">
        <f ca="1" t="shared" si="6"/>
        <v>0</v>
      </c>
      <c r="AF8" s="2526"/>
      <c r="AG8" s="1427">
        <f ca="1" t="shared" si="7"/>
        <v>0</v>
      </c>
      <c r="AH8" s="3150"/>
      <c r="AI8" s="3142"/>
      <c r="AJ8" s="3143"/>
      <c r="AK8" s="3151"/>
      <c r="AL8" s="3152"/>
      <c r="AM8" s="3153"/>
      <c r="AN8" s="3147"/>
      <c r="AO8" s="979" t="e">
        <f ca="1" t="shared" si="8"/>
        <v>#REF!</v>
      </c>
      <c r="AP8" s="3163">
        <f t="shared" si="9"/>
        <v>0</v>
      </c>
      <c r="AQ8" s="979">
        <f t="shared" si="10"/>
        <v>0</v>
      </c>
      <c r="AR8" s="979">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4"/>
      <c r="I9" s="2984"/>
      <c r="J9" s="2984"/>
      <c r="K9" s="3074">
        <f>SUMIF('数据-汇总表'!C$19:C$33,A9,'数据-汇总表'!E$19:E$33)</f>
        <v>0</v>
      </c>
      <c r="L9" s="3079"/>
      <c r="M9" s="3076">
        <f t="shared" si="0"/>
        <v>0</v>
      </c>
      <c r="N9" s="3077"/>
      <c r="O9" s="3076">
        <f t="shared" si="3"/>
        <v>0</v>
      </c>
      <c r="P9" s="3078">
        <f t="shared" si="4"/>
        <v>0</v>
      </c>
      <c r="Q9" s="3111"/>
      <c r="R9" s="3100">
        <f ca="1">SUMIF('数据-汇总表'!C$19:C$33,A9,'数据-汇总表'!R$19:R$27)</f>
        <v>0</v>
      </c>
      <c r="S9" s="3101">
        <f>IF('数据-汇总表'!$I$17="按面积比例",SUMIF('数据-汇总表'!C$19:C$33,A9,'数据-汇总表'!K$19:K$33),SUMIF('数据-汇总表'!C$19:C$33,A9,'数据-汇总表'!N$19:N$33))</f>
        <v>0</v>
      </c>
      <c r="T9" s="3102">
        <f t="shared" si="5"/>
        <v>0</v>
      </c>
      <c r="U9" s="3108"/>
      <c r="V9" s="3105"/>
      <c r="W9" s="3105"/>
      <c r="X9" s="3106"/>
      <c r="Y9" s="3129"/>
      <c r="Z9" s="3130"/>
      <c r="AA9" s="2984"/>
      <c r="AB9" s="2984"/>
      <c r="AC9" s="3106"/>
      <c r="AD9" s="3131"/>
      <c r="AE9" s="3132">
        <f ca="1" t="shared" si="6"/>
        <v>0</v>
      </c>
      <c r="AF9" s="2526"/>
      <c r="AG9" s="1427">
        <f ca="1" t="shared" si="7"/>
        <v>0</v>
      </c>
      <c r="AH9" s="3148"/>
      <c r="AI9" s="3142"/>
      <c r="AJ9" s="3143"/>
      <c r="AK9" s="3149"/>
      <c r="AL9" s="3145"/>
      <c r="AM9" s="3146"/>
      <c r="AN9" s="3147"/>
      <c r="AO9" s="979" t="e">
        <f ca="1" t="shared" si="8"/>
        <v>#REF!</v>
      </c>
      <c r="AP9" s="3163">
        <f t="shared" si="9"/>
        <v>0</v>
      </c>
      <c r="AQ9" s="979">
        <f t="shared" si="10"/>
        <v>0</v>
      </c>
      <c r="AR9" s="979">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4"/>
      <c r="I10" s="2984"/>
      <c r="J10" s="2984"/>
      <c r="K10" s="3074">
        <f>SUMIF('数据-汇总表'!C$19:C$33,A10,'数据-汇总表'!E$19:E$33)</f>
        <v>0</v>
      </c>
      <c r="L10" s="3079"/>
      <c r="M10" s="3076">
        <f t="shared" si="0"/>
        <v>0</v>
      </c>
      <c r="N10" s="3077"/>
      <c r="O10" s="3076">
        <f t="shared" si="3"/>
        <v>0</v>
      </c>
      <c r="P10" s="3078">
        <f t="shared" si="4"/>
        <v>0</v>
      </c>
      <c r="Q10" s="3111"/>
      <c r="R10" s="3100">
        <f ca="1">SUMIF('数据-汇总表'!C$19:C$33,A10,'数据-汇总表'!R$19:R$27)</f>
        <v>0</v>
      </c>
      <c r="S10" s="3101">
        <f>IF('数据-汇总表'!$I$17="按面积比例",SUMIF('数据-汇总表'!C$19:C$33,A10,'数据-汇总表'!K$19:K$33),SUMIF('数据-汇总表'!C$19:C$33,A10,'数据-汇总表'!N$19:N$33))</f>
        <v>0</v>
      </c>
      <c r="T10" s="3102">
        <f t="shared" si="5"/>
        <v>0</v>
      </c>
      <c r="U10" s="3108"/>
      <c r="V10" s="3105"/>
      <c r="W10" s="3105"/>
      <c r="X10" s="3106"/>
      <c r="Y10" s="3129"/>
      <c r="Z10" s="3130"/>
      <c r="AA10" s="2984"/>
      <c r="AB10" s="2984"/>
      <c r="AC10" s="3106"/>
      <c r="AD10" s="3131"/>
      <c r="AE10" s="3132">
        <f ca="1" t="shared" si="6"/>
        <v>0</v>
      </c>
      <c r="AF10" s="2526"/>
      <c r="AG10" s="1427">
        <f ca="1" t="shared" si="7"/>
        <v>0</v>
      </c>
      <c r="AH10" s="3148"/>
      <c r="AI10" s="3142"/>
      <c r="AJ10" s="3143"/>
      <c r="AK10" s="3149"/>
      <c r="AL10" s="3145"/>
      <c r="AM10" s="3146"/>
      <c r="AN10" s="3147"/>
      <c r="AO10" s="979" t="e">
        <f ca="1" t="shared" si="8"/>
        <v>#REF!</v>
      </c>
      <c r="AP10" s="3163">
        <f t="shared" si="9"/>
        <v>0</v>
      </c>
      <c r="AQ10" s="979">
        <f t="shared" si="10"/>
        <v>0</v>
      </c>
      <c r="AR10" s="979">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4"/>
      <c r="I11" s="2984"/>
      <c r="J11" s="2984"/>
      <c r="K11" s="3074">
        <f>SUMIF('数据-汇总表'!C$19:C$33,A11,'数据-汇总表'!E$19:E$33)</f>
        <v>0</v>
      </c>
      <c r="L11" s="3080"/>
      <c r="M11" s="3076">
        <f t="shared" si="0"/>
        <v>0</v>
      </c>
      <c r="N11" s="3077"/>
      <c r="O11" s="3076">
        <f t="shared" si="3"/>
        <v>0</v>
      </c>
      <c r="P11" s="3078">
        <f t="shared" si="4"/>
        <v>0</v>
      </c>
      <c r="Q11" s="3111"/>
      <c r="R11" s="3100">
        <f ca="1">SUMIF('数据-汇总表'!C$19:C$33,A11,'数据-汇总表'!R$19:R$27)</f>
        <v>0</v>
      </c>
      <c r="S11" s="3101">
        <f>IF('数据-汇总表'!$I$17="按面积比例",SUMIF('数据-汇总表'!C$19:C$33,A11,'数据-汇总表'!K$19:K$33),SUMIF('数据-汇总表'!C$19:C$33,A11,'数据-汇总表'!N$19:N$33))</f>
        <v>0</v>
      </c>
      <c r="T11" s="3102">
        <f t="shared" si="5"/>
        <v>0</v>
      </c>
      <c r="U11" s="3108"/>
      <c r="V11" s="2984"/>
      <c r="W11" s="2984"/>
      <c r="X11" s="3106"/>
      <c r="Y11" s="3129"/>
      <c r="Z11" s="3133"/>
      <c r="AA11" s="2984"/>
      <c r="AB11" s="2984"/>
      <c r="AC11" s="3106"/>
      <c r="AD11" s="3131"/>
      <c r="AE11" s="3132">
        <f ca="1" t="shared" si="6"/>
        <v>0</v>
      </c>
      <c r="AF11" s="2526"/>
      <c r="AG11" s="1427">
        <f ca="1" t="shared" si="7"/>
        <v>0</v>
      </c>
      <c r="AH11" s="3148"/>
      <c r="AI11" s="3142"/>
      <c r="AJ11" s="3143"/>
      <c r="AK11" s="3154"/>
      <c r="AL11" s="3155"/>
      <c r="AM11" s="3156"/>
      <c r="AN11" s="3147"/>
      <c r="AO11" s="979" t="e">
        <f ca="1" t="shared" si="8"/>
        <v>#REF!</v>
      </c>
      <c r="AP11" s="3163">
        <f t="shared" si="9"/>
        <v>0</v>
      </c>
      <c r="AQ11" s="979">
        <f t="shared" si="10"/>
        <v>0</v>
      </c>
      <c r="AR11" s="979">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4"/>
      <c r="I12" s="2984"/>
      <c r="J12" s="2984"/>
      <c r="K12" s="3074">
        <f>SUMIF('数据-汇总表'!C$19:C$33,A12,'数据-汇总表'!E$19:E$33)</f>
        <v>0</v>
      </c>
      <c r="L12" s="3080"/>
      <c r="M12" s="3076">
        <f t="shared" si="0"/>
        <v>0</v>
      </c>
      <c r="N12" s="3077"/>
      <c r="O12" s="3076">
        <f t="shared" si="3"/>
        <v>0</v>
      </c>
      <c r="P12" s="3078">
        <f t="shared" si="4"/>
        <v>0</v>
      </c>
      <c r="Q12" s="3111"/>
      <c r="R12" s="3100">
        <f ca="1">SUMIF('数据-汇总表'!C$19:C$33,A12,'数据-汇总表'!R$19:R$27)</f>
        <v>0</v>
      </c>
      <c r="S12" s="3101">
        <f>IF('数据-汇总表'!$I$17="按面积比例",SUMIF('数据-汇总表'!C$19:C$33,A12,'数据-汇总表'!K$19:K$33),SUMIF('数据-汇总表'!C$19:C$33,A12,'数据-汇总表'!N$19:N$33))</f>
        <v>0</v>
      </c>
      <c r="T12" s="3102">
        <f t="shared" si="5"/>
        <v>0</v>
      </c>
      <c r="U12" s="3108"/>
      <c r="V12" s="2984"/>
      <c r="W12" s="2984"/>
      <c r="X12" s="3106"/>
      <c r="Y12" s="3129"/>
      <c r="Z12" s="3133"/>
      <c r="AA12" s="2984"/>
      <c r="AB12" s="2984"/>
      <c r="AC12" s="3106"/>
      <c r="AD12" s="3131"/>
      <c r="AE12" s="3132">
        <f ca="1" t="shared" si="6"/>
        <v>0</v>
      </c>
      <c r="AF12" s="2526"/>
      <c r="AG12" s="1427">
        <f ca="1" t="shared" si="7"/>
        <v>0</v>
      </c>
      <c r="AH12" s="3148"/>
      <c r="AI12" s="3142"/>
      <c r="AJ12" s="3143"/>
      <c r="AK12" s="3154"/>
      <c r="AL12" s="3155"/>
      <c r="AM12" s="3156"/>
      <c r="AN12" s="3147"/>
      <c r="AO12" s="979" t="e">
        <f ca="1" t="shared" si="8"/>
        <v>#REF!</v>
      </c>
      <c r="AP12" s="3163">
        <f t="shared" si="9"/>
        <v>0</v>
      </c>
      <c r="AQ12" s="979">
        <f t="shared" si="10"/>
        <v>0</v>
      </c>
      <c r="AR12" s="979">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4"/>
      <c r="I13" s="2984"/>
      <c r="J13" s="2984"/>
      <c r="K13" s="3074">
        <f>SUMIF('数据-汇总表'!C$19:C$33,A13,'数据-汇总表'!E$19:E$33)</f>
        <v>0</v>
      </c>
      <c r="L13" s="3080"/>
      <c r="M13" s="3076">
        <f t="shared" si="0"/>
        <v>0</v>
      </c>
      <c r="N13" s="3081"/>
      <c r="O13" s="3076">
        <f t="shared" si="3"/>
        <v>0</v>
      </c>
      <c r="P13" s="3078">
        <f t="shared" si="4"/>
        <v>0</v>
      </c>
      <c r="Q13" s="3111"/>
      <c r="R13" s="3100">
        <f ca="1">SUMIF('数据-汇总表'!C$19:C$33,A13,'数据-汇总表'!R$19:R$27)</f>
        <v>0</v>
      </c>
      <c r="S13" s="3101">
        <f>IF('数据-汇总表'!$I$17="按面积比例",SUMIF('数据-汇总表'!C$19:C$33,A13,'数据-汇总表'!K$19:K$33),SUMIF('数据-汇总表'!C$19:C$33,A13,'数据-汇总表'!N$19:N$33))</f>
        <v>0</v>
      </c>
      <c r="T13" s="3102">
        <f t="shared" si="5"/>
        <v>0</v>
      </c>
      <c r="U13" s="3112"/>
      <c r="V13" s="3105"/>
      <c r="W13" s="3105"/>
      <c r="X13" s="3106"/>
      <c r="Y13" s="3129"/>
      <c r="Z13" s="3130"/>
      <c r="AA13" s="2984"/>
      <c r="AB13" s="2984"/>
      <c r="AC13" s="3106"/>
      <c r="AD13" s="3131"/>
      <c r="AE13" s="3132">
        <f ca="1" t="shared" si="6"/>
        <v>0</v>
      </c>
      <c r="AF13" s="2526"/>
      <c r="AG13" s="1427">
        <f ca="1" t="shared" si="7"/>
        <v>0</v>
      </c>
      <c r="AH13" s="3148"/>
      <c r="AI13" s="3142"/>
      <c r="AJ13" s="3143"/>
      <c r="AK13" s="3149"/>
      <c r="AL13" s="3145"/>
      <c r="AM13" s="3146"/>
      <c r="AN13" s="3147"/>
      <c r="AO13" s="979" t="e">
        <f ca="1" t="shared" si="8"/>
        <v>#REF!</v>
      </c>
      <c r="AP13" s="3163">
        <f t="shared" si="9"/>
        <v>0</v>
      </c>
      <c r="AQ13" s="979">
        <f t="shared" si="10"/>
        <v>0</v>
      </c>
      <c r="AR13" s="979">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2985" t="s">
        <v>605</v>
      </c>
      <c r="B14" s="2976" t="s">
        <v>604</v>
      </c>
      <c r="C14" s="2986" t="s">
        <v>605</v>
      </c>
      <c r="D14" s="2978"/>
      <c r="E14" s="2979"/>
      <c r="F14" s="2980"/>
      <c r="G14" s="2981"/>
      <c r="H14" s="2987"/>
      <c r="I14" s="2987"/>
      <c r="J14" s="2987"/>
      <c r="K14" s="3074">
        <f>SUMIF('数据-汇总表'!C$19:C$33,A14,'数据-汇总表'!E$19:E$33)</f>
        <v>1792.93</v>
      </c>
      <c r="L14" s="3080">
        <f>L6</f>
        <v>4500</v>
      </c>
      <c r="M14" s="3076">
        <f t="shared" si="0"/>
        <v>807</v>
      </c>
      <c r="N14" s="3081">
        <f>N6</f>
        <v>0.99</v>
      </c>
      <c r="O14" s="3076">
        <f t="shared" si="3"/>
        <v>799</v>
      </c>
      <c r="P14" s="3078">
        <f t="shared" si="4"/>
        <v>8</v>
      </c>
      <c r="Q14" s="3113"/>
      <c r="R14" s="3100"/>
      <c r="S14" s="3101"/>
      <c r="T14" s="3102"/>
      <c r="U14" s="3114"/>
      <c r="V14" s="3115"/>
      <c r="W14" s="3115"/>
      <c r="X14" s="3116"/>
      <c r="Y14" s="3134"/>
      <c r="Z14" s="3135"/>
      <c r="AA14" s="3136"/>
      <c r="AB14" s="3136"/>
      <c r="AC14" s="3106"/>
      <c r="AD14" s="3116"/>
      <c r="AE14" s="3132"/>
      <c r="AF14" s="979"/>
      <c r="AG14" s="1427"/>
      <c r="AH14" s="3132"/>
      <c r="AI14" s="962"/>
      <c r="AJ14" s="978"/>
      <c r="AK14" s="3157"/>
      <c r="AL14" s="3158"/>
      <c r="AM14" s="3159"/>
      <c r="AN14" s="2016"/>
      <c r="AO14" s="2997"/>
      <c r="AP14" s="2997"/>
      <c r="AQ14" s="2997"/>
      <c r="AR14" s="2997"/>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2985" t="s">
        <v>606</v>
      </c>
      <c r="B15" s="2976" t="s">
        <v>604</v>
      </c>
      <c r="C15" s="2986" t="s">
        <v>653</v>
      </c>
      <c r="D15" s="2978"/>
      <c r="E15" s="2979"/>
      <c r="F15" s="2980"/>
      <c r="G15" s="2981"/>
      <c r="H15" s="2987"/>
      <c r="I15" s="2987"/>
      <c r="J15" s="2987"/>
      <c r="K15" s="3074">
        <f>SUMIF('数据-汇总表'!C$19:C$33,A15,'数据-汇总表'!E$19:E$33)</f>
        <v>0</v>
      </c>
      <c r="L15" s="3082"/>
      <c r="M15" s="3076"/>
      <c r="N15" s="3083"/>
      <c r="O15" s="3076"/>
      <c r="P15" s="3078"/>
      <c r="Q15" s="3113"/>
      <c r="R15" s="3100"/>
      <c r="S15" s="3101"/>
      <c r="T15" s="3102"/>
      <c r="U15" s="3114"/>
      <c r="V15" s="3115"/>
      <c r="W15" s="3115"/>
      <c r="X15" s="3116"/>
      <c r="Y15" s="3134"/>
      <c r="Z15" s="3135"/>
      <c r="AA15" s="3136"/>
      <c r="AB15" s="3136"/>
      <c r="AC15" s="3106"/>
      <c r="AD15" s="3116"/>
      <c r="AE15" s="3132"/>
      <c r="AF15" s="979"/>
      <c r="AG15" s="1427"/>
      <c r="AH15" s="3132"/>
      <c r="AI15" s="962"/>
      <c r="AJ15" s="978"/>
      <c r="AK15" s="3157"/>
      <c r="AL15" s="3158"/>
      <c r="AM15" s="3159"/>
      <c r="AN15" s="2016"/>
      <c r="AO15" s="2997"/>
      <c r="AP15" s="2997"/>
      <c r="AQ15" s="2997"/>
      <c r="AR15" s="2997"/>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2988" t="s">
        <v>607</v>
      </c>
      <c r="B16" s="2989"/>
      <c r="C16" s="2073"/>
      <c r="D16" s="2990"/>
      <c r="E16" s="2989"/>
      <c r="F16" s="2989"/>
      <c r="G16" s="2991">
        <f>ROUND(SUMPRODUCT(G6:G13,K6:K13)/SUMPRODUCT((G6:G13&gt;0)*(K6:K13)),3)</f>
        <v>0.838</v>
      </c>
      <c r="H16" s="2992">
        <f>ROUND(SUMPRODUCT(H6:H13,K6:K13)/SUMPRODUCT((H6:H13&gt;0)*(K6:K13)),3)</f>
        <v>0.05</v>
      </c>
      <c r="I16" s="3084"/>
      <c r="J16" s="3084"/>
      <c r="K16" s="3085">
        <f>SUM(K6:K15)</f>
        <v>68156.19</v>
      </c>
      <c r="L16" s="3086">
        <f>ROUND(M16*10000/SUM(K6:K14),0)</f>
        <v>4500</v>
      </c>
      <c r="M16" s="3086">
        <f>SUM(M6:M14)</f>
        <v>30670</v>
      </c>
      <c r="N16" s="3087">
        <f>ROUND(SUMPRODUCT(M6:M14,N6:N14)/M16,3)</f>
        <v>0.99</v>
      </c>
      <c r="O16" s="3086">
        <f>SUM(O6:O14)</f>
        <v>30363</v>
      </c>
      <c r="P16" s="3086">
        <f>SUM(P6:P14)</f>
        <v>307</v>
      </c>
      <c r="Q16" s="3117">
        <f>ROUND(SUMPRODUCT(Q6:Q13,K6:K13)/SUMPRODUCT((Q6:Q13&gt;0)*(K6:K13)),2)</f>
        <v>0.1</v>
      </c>
      <c r="R16" s="3118">
        <f ca="1">SUM(R6:R13)</f>
        <v>11645.87</v>
      </c>
      <c r="S16" s="3119">
        <f>SUM(S6:S13)</f>
        <v>1792.93</v>
      </c>
      <c r="T16" s="3120">
        <f>IF(SUMIF(T6:T13,"&lt;9E307")=M14,SUMIF(T6:T13,"&lt;9E307"),"有误，请检查")</f>
        <v>807</v>
      </c>
      <c r="U16" s="3121"/>
      <c r="V16" s="3122"/>
      <c r="W16" s="3122"/>
      <c r="X16" s="3123"/>
      <c r="Y16" s="3137"/>
      <c r="Z16" s="3138"/>
      <c r="AA16" s="3122"/>
      <c r="AB16" s="3122"/>
      <c r="AC16" s="3123"/>
      <c r="AD16" s="3123"/>
      <c r="AE16" s="3121"/>
      <c r="AF16" s="3122"/>
      <c r="AG16" s="3137"/>
      <c r="AH16" s="3121"/>
      <c r="AI16" s="3138"/>
      <c r="AJ16" s="3138"/>
      <c r="AK16" s="3122"/>
      <c r="AL16" s="3122"/>
      <c r="AM16" s="3137"/>
      <c r="AN16" s="2016"/>
      <c r="AO16" s="2997"/>
      <c r="AP16" s="2997"/>
      <c r="AQ16" s="2997"/>
      <c r="AR16" s="2997"/>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44">
      <c r="A17" s="2993"/>
      <c r="B17" s="2994"/>
      <c r="C17" s="2016"/>
      <c r="D17" s="2995"/>
      <c r="E17" s="2995"/>
      <c r="F17" s="2016"/>
      <c r="G17" s="2016"/>
      <c r="H17" s="2016"/>
      <c r="I17" s="2016"/>
      <c r="J17" s="2016"/>
      <c r="K17" s="3088"/>
      <c r="L17" s="3088"/>
      <c r="M17" s="2016"/>
      <c r="N17" s="3089" t="s">
        <v>654</v>
      </c>
      <c r="O17" s="3090"/>
      <c r="P17" s="2016"/>
      <c r="Q17" s="2016"/>
      <c r="R17" s="2016"/>
      <c r="S17" s="2016"/>
      <c r="T17" s="2016"/>
      <c r="U17" s="3124" t="s">
        <v>655</v>
      </c>
      <c r="V17" s="2016"/>
      <c r="W17" s="2016"/>
      <c r="X17" s="2016"/>
      <c r="Y17" s="2016"/>
      <c r="Z17" s="2016"/>
      <c r="AA17" s="2016"/>
      <c r="AB17" s="2016"/>
      <c r="AC17" s="2016"/>
      <c r="AD17" s="2016"/>
      <c r="AE17" s="2016"/>
      <c r="AF17" s="2016"/>
      <c r="AG17" s="2016"/>
      <c r="AH17" s="3124" t="s">
        <v>656</v>
      </c>
      <c r="AI17" s="2016">
        <v>4714.21</v>
      </c>
      <c r="AJ17" s="2016"/>
      <c r="AK17" s="2016">
        <v>1.4</v>
      </c>
      <c r="AL17" s="2016"/>
      <c r="AM17" s="2016">
        <f>AK17*AI17</f>
        <v>6599.894</v>
      </c>
      <c r="AN17" s="2016"/>
      <c r="AO17" s="2016"/>
      <c r="AP17" s="2016"/>
      <c r="AQ17" s="2016"/>
      <c r="AR17" s="2016"/>
    </row>
    <row r="18" ht="14.75" spans="1:44">
      <c r="A18" s="1122" t="s">
        <v>657</v>
      </c>
      <c r="B18" s="2996"/>
      <c r="C18" s="2997"/>
      <c r="D18" s="2998"/>
      <c r="E18" s="2997"/>
      <c r="F18" s="2997"/>
      <c r="G18" s="2997"/>
      <c r="H18" s="2997"/>
      <c r="I18" s="2997"/>
      <c r="J18" s="2997"/>
      <c r="K18" s="3088"/>
      <c r="L18" s="3088"/>
      <c r="M18" s="2016"/>
      <c r="N18" s="2016"/>
      <c r="O18" s="3091"/>
      <c r="P18" s="2016"/>
      <c r="Q18" s="2016"/>
      <c r="R18" s="2016"/>
      <c r="S18" s="2016"/>
      <c r="T18" s="2016"/>
      <c r="U18" s="2016"/>
      <c r="V18" s="3125"/>
      <c r="W18" s="2016"/>
      <c r="X18" s="2016"/>
      <c r="Y18" s="2016"/>
      <c r="Z18" s="2016"/>
      <c r="AA18" s="2016"/>
      <c r="AB18" s="2016"/>
      <c r="AC18" s="2016"/>
      <c r="AD18" s="2016"/>
      <c r="AE18" s="2016"/>
      <c r="AF18" s="2016"/>
      <c r="AG18" s="2016"/>
      <c r="AH18" s="3124" t="s">
        <v>658</v>
      </c>
      <c r="AI18" s="2016">
        <v>4493.51</v>
      </c>
      <c r="AJ18" s="2016"/>
      <c r="AK18" s="3125">
        <v>1.2</v>
      </c>
      <c r="AL18" s="2016"/>
      <c r="AM18" s="2016">
        <f>AK18*AI18</f>
        <v>5392.212</v>
      </c>
      <c r="AN18" s="2016"/>
      <c r="AO18" s="2016"/>
      <c r="AP18" s="2016"/>
      <c r="AQ18" s="2016"/>
      <c r="AR18" s="2016"/>
    </row>
    <row r="19" ht="14" spans="1:44">
      <c r="A19" s="2999" t="s">
        <v>659</v>
      </c>
      <c r="B19" s="3000">
        <v>0</v>
      </c>
      <c r="C19" s="3001" t="s">
        <v>660</v>
      </c>
      <c r="D19" s="2998"/>
      <c r="E19" s="2997"/>
      <c r="F19" s="2997"/>
      <c r="G19" s="2997"/>
      <c r="H19" s="2997"/>
      <c r="I19" s="2997"/>
      <c r="J19" s="2997"/>
      <c r="K19" s="3088"/>
      <c r="L19" s="3088"/>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c r="AH19" s="3124" t="s">
        <v>661</v>
      </c>
      <c r="AI19" s="2016">
        <v>3641.15</v>
      </c>
      <c r="AJ19" s="2016"/>
      <c r="AK19" s="2016">
        <f>AK18</f>
        <v>1.2</v>
      </c>
      <c r="AL19" s="2016"/>
      <c r="AM19" s="2016">
        <f>AK19*AI19</f>
        <v>4369.38</v>
      </c>
      <c r="AN19" s="2016"/>
      <c r="AO19" s="2016"/>
      <c r="AP19" s="2016"/>
      <c r="AQ19" s="2016"/>
      <c r="AR19" s="2016"/>
    </row>
    <row r="20" ht="14" spans="1:44">
      <c r="A20" s="3002" t="s">
        <v>662</v>
      </c>
      <c r="B20" s="3003">
        <v>2</v>
      </c>
      <c r="C20" s="3004" t="s">
        <v>663</v>
      </c>
      <c r="D20" s="2998"/>
      <c r="E20" s="2997"/>
      <c r="F20" s="2997"/>
      <c r="G20" s="2997"/>
      <c r="H20" s="2997"/>
      <c r="I20" s="2997"/>
      <c r="J20" s="2997"/>
      <c r="K20" s="3088"/>
      <c r="L20" s="3092"/>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3124" t="s">
        <v>664</v>
      </c>
      <c r="AI20" s="2016">
        <v>2311.33</v>
      </c>
      <c r="AJ20" s="2016"/>
      <c r="AK20" s="2016">
        <f>AK18</f>
        <v>1.2</v>
      </c>
      <c r="AL20" s="2016"/>
      <c r="AM20" s="2016">
        <f>AK20*AI20</f>
        <v>2773.596</v>
      </c>
      <c r="AN20" s="2016"/>
      <c r="AO20" s="2016"/>
      <c r="AP20" s="2016"/>
      <c r="AQ20" s="2016"/>
      <c r="AR20" s="2016"/>
    </row>
    <row r="21" ht="14" spans="1:44">
      <c r="A21" s="3005" t="s">
        <v>665</v>
      </c>
      <c r="B21" s="3003">
        <f>B20*N6</f>
        <v>1.98</v>
      </c>
      <c r="C21" s="2997"/>
      <c r="D21" s="2998"/>
      <c r="E21" s="2997"/>
      <c r="F21" s="2997"/>
      <c r="G21" s="2997"/>
      <c r="H21" s="2997"/>
      <c r="I21" s="2997"/>
      <c r="J21" s="2997"/>
      <c r="K21" s="3088"/>
      <c r="L21" s="3088"/>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3125" t="s">
        <v>666</v>
      </c>
      <c r="AI21" s="2016">
        <f>AI22-AI17-AI18-AI19-AI20</f>
        <v>41015.85</v>
      </c>
      <c r="AJ21" s="2016"/>
      <c r="AK21" s="2016">
        <v>1</v>
      </c>
      <c r="AL21" s="2016"/>
      <c r="AM21" s="2016">
        <f>AK21*AI21</f>
        <v>41015.85</v>
      </c>
      <c r="AN21" s="2016"/>
      <c r="AO21" s="2016"/>
      <c r="AP21" s="2016"/>
      <c r="AQ21" s="2016"/>
      <c r="AR21" s="2016"/>
    </row>
    <row r="22" ht="14" spans="1:44">
      <c r="A22" s="3002" t="s">
        <v>667</v>
      </c>
      <c r="B22" s="3006">
        <f>B19+B20</f>
        <v>2</v>
      </c>
      <c r="C22" s="2997"/>
      <c r="D22" s="2998"/>
      <c r="E22" s="2997"/>
      <c r="F22" s="2997"/>
      <c r="G22" s="2997"/>
      <c r="H22" s="2997"/>
      <c r="I22" s="2997"/>
      <c r="J22" s="2997"/>
      <c r="K22" s="3088"/>
      <c r="L22" s="3088"/>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3125" t="s">
        <v>668</v>
      </c>
      <c r="AI22" s="2016">
        <v>56176.05</v>
      </c>
      <c r="AJ22" s="2016"/>
      <c r="AK22" s="2016">
        <f>AM22/AI22</f>
        <v>1.07075759153589</v>
      </c>
      <c r="AL22" s="2016"/>
      <c r="AM22" s="2016">
        <f>AM21+AM20+AM19+AM18+AM17</f>
        <v>60150.932</v>
      </c>
      <c r="AN22" s="2016"/>
      <c r="AO22" s="2016"/>
      <c r="AP22" s="2016"/>
      <c r="AQ22" s="2016"/>
      <c r="AR22" s="2016"/>
    </row>
    <row r="23" ht="14" spans="1:44">
      <c r="A23" s="3005" t="s">
        <v>669</v>
      </c>
      <c r="B23" s="3006">
        <f>B19+B21</f>
        <v>1.98</v>
      </c>
      <c r="C23" s="2997"/>
      <c r="D23" s="2998"/>
      <c r="E23" s="2997"/>
      <c r="F23" s="2997"/>
      <c r="G23" s="2997"/>
      <c r="H23" s="2997"/>
      <c r="I23" s="2997"/>
      <c r="J23" s="2997"/>
      <c r="K23" s="3088"/>
      <c r="L23" s="3088"/>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3125" t="s">
        <v>670</v>
      </c>
      <c r="AI23" s="2016">
        <v>10241.95</v>
      </c>
      <c r="AJ23" s="2016"/>
      <c r="AK23" s="2016">
        <v>200</v>
      </c>
      <c r="AL23" s="2016"/>
      <c r="AM23" s="2016">
        <f>AK23*12*190/10000</f>
        <v>45.6</v>
      </c>
      <c r="AN23" s="2016"/>
      <c r="AO23" s="2016"/>
      <c r="AP23" s="2016"/>
      <c r="AQ23" s="2016"/>
      <c r="AR23" s="2016"/>
    </row>
    <row r="24" ht="14.75" spans="1:44">
      <c r="A24" s="3007" t="s">
        <v>671</v>
      </c>
      <c r="B24" s="3008">
        <f>B20-B21</f>
        <v>0.02</v>
      </c>
      <c r="C24" s="2997"/>
      <c r="D24" s="2998"/>
      <c r="E24" s="2997"/>
      <c r="F24" s="2997"/>
      <c r="G24" s="2997"/>
      <c r="H24" s="2997"/>
      <c r="I24" s="2997"/>
      <c r="J24" s="2997"/>
      <c r="K24" s="3088"/>
      <c r="L24" s="3088"/>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c r="AL24" s="2016"/>
      <c r="AM24" s="2016"/>
      <c r="AN24" s="2016"/>
      <c r="AO24" s="2016"/>
      <c r="AP24" s="2016"/>
      <c r="AQ24" s="2016"/>
      <c r="AR24" s="2016"/>
    </row>
    <row r="25" ht="14.75" spans="1:44">
      <c r="A25" s="2965"/>
      <c r="B25" s="2966"/>
      <c r="C25" s="2997"/>
      <c r="D25" s="2998"/>
      <c r="E25" s="2997"/>
      <c r="F25" s="2997"/>
      <c r="G25" s="2997"/>
      <c r="H25" s="2997"/>
      <c r="I25" s="2997"/>
      <c r="J25" s="2997"/>
      <c r="K25" s="3088"/>
      <c r="L25" s="3088"/>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3125" t="s">
        <v>672</v>
      </c>
      <c r="AI25" s="2016">
        <f>AI22+AI23</f>
        <v>66418</v>
      </c>
      <c r="AJ25" s="2016"/>
      <c r="AK25" s="2016">
        <f>AM25/AI25</f>
        <v>0.906328585624379</v>
      </c>
      <c r="AL25" s="2016"/>
      <c r="AM25" s="2016">
        <f>AM22+AM23</f>
        <v>60196.532</v>
      </c>
      <c r="AN25" s="2016"/>
      <c r="AO25" s="2016"/>
      <c r="AP25" s="2016"/>
      <c r="AQ25" s="2016"/>
      <c r="AR25" s="2016"/>
    </row>
    <row r="26" ht="14.75" spans="1:44">
      <c r="A26" s="2961" t="s">
        <v>673</v>
      </c>
      <c r="B26" s="3009" t="s">
        <v>674</v>
      </c>
      <c r="C26" s="3010" t="s">
        <v>675</v>
      </c>
      <c r="D26" s="2998"/>
      <c r="E26" s="2997"/>
      <c r="F26" s="2997"/>
      <c r="G26" s="2997"/>
      <c r="H26" s="2997"/>
      <c r="I26" s="2997"/>
      <c r="J26" s="2997"/>
      <c r="K26" s="3088"/>
      <c r="L26" s="3088"/>
      <c r="M26" s="2016"/>
      <c r="N26" s="2016"/>
      <c r="O26" s="2016"/>
      <c r="P26" s="2016"/>
      <c r="Q26" s="2016"/>
      <c r="R26" s="2016"/>
      <c r="S26" s="2016"/>
      <c r="T26" s="2016"/>
      <c r="U26" s="2016"/>
      <c r="V26" s="2016"/>
      <c r="W26" s="2016"/>
      <c r="X26" s="2016"/>
      <c r="Y26" s="2016"/>
      <c r="Z26" s="2016"/>
      <c r="AA26" s="2016"/>
      <c r="AB26" s="2016"/>
      <c r="AC26" s="2016"/>
      <c r="AD26" s="2016"/>
      <c r="AE26" s="2016"/>
      <c r="AF26" s="2016"/>
      <c r="AG26" s="2016"/>
      <c r="AH26" s="2016"/>
      <c r="AI26" s="2016"/>
      <c r="AJ26" s="2016"/>
      <c r="AK26" s="2016"/>
      <c r="AL26" s="2016"/>
      <c r="AM26" s="2016"/>
      <c r="AN26" s="2016"/>
      <c r="AO26" s="2016"/>
      <c r="AP26" s="2016"/>
      <c r="AQ26" s="2016"/>
      <c r="AR26" s="2016"/>
    </row>
    <row r="27" s="2952" customFormat="1" ht="28" spans="1:67">
      <c r="A27" s="3011" t="s">
        <v>676</v>
      </c>
      <c r="B27" s="3012"/>
      <c r="C27" s="3013" t="s">
        <v>677</v>
      </c>
      <c r="D27" s="3014"/>
      <c r="E27" s="1095"/>
      <c r="F27" s="1095"/>
      <c r="G27" s="2997"/>
      <c r="H27" s="2997"/>
      <c r="I27" s="2997"/>
      <c r="J27" s="2997"/>
      <c r="K27" s="3088"/>
      <c r="L27" s="3088"/>
      <c r="M27" s="2016"/>
      <c r="N27" s="2016"/>
      <c r="O27" s="2016"/>
      <c r="P27" s="2016"/>
      <c r="Q27" s="2016"/>
      <c r="R27" s="2016"/>
      <c r="S27" s="2016"/>
      <c r="T27" s="2016"/>
      <c r="U27" s="2016"/>
      <c r="V27" s="2016"/>
      <c r="W27" s="2016"/>
      <c r="X27" s="2016"/>
      <c r="Y27" s="2016"/>
      <c r="Z27" s="2016"/>
      <c r="AA27" s="2016"/>
      <c r="AB27" s="2016"/>
      <c r="AC27" s="2016"/>
      <c r="AD27" s="2016"/>
      <c r="AE27" s="2016"/>
      <c r="AF27" s="2016"/>
      <c r="AG27" s="2016"/>
      <c r="AH27" s="2016"/>
      <c r="AI27" s="2016"/>
      <c r="AJ27" s="2016"/>
      <c r="AK27" s="2016"/>
      <c r="AL27" s="2016"/>
      <c r="AM27" s="2016"/>
      <c r="AN27" s="2016"/>
      <c r="AO27" s="2016"/>
      <c r="AP27" s="2016"/>
      <c r="AQ27" s="2016"/>
      <c r="AR27" s="2016"/>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row>
    <row r="28" s="2952" customFormat="1" ht="28" spans="1:67">
      <c r="A28" s="3015" t="s">
        <v>678</v>
      </c>
      <c r="B28" s="3016">
        <v>105</v>
      </c>
      <c r="C28" s="3017" t="s">
        <v>679</v>
      </c>
      <c r="D28" s="3014"/>
      <c r="E28" s="1095"/>
      <c r="F28" s="1095"/>
      <c r="G28" s="2997"/>
      <c r="H28" s="2997"/>
      <c r="I28" s="2997"/>
      <c r="J28" s="2997"/>
      <c r="K28" s="3088"/>
      <c r="L28" s="3088"/>
      <c r="M28" s="2016"/>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c r="AL28" s="2016"/>
      <c r="AM28" s="2016"/>
      <c r="AN28" s="2016"/>
      <c r="AO28" s="2016"/>
      <c r="AP28" s="2016"/>
      <c r="AQ28" s="2016"/>
      <c r="AR28" s="2016"/>
      <c r="AS28" s="2004"/>
      <c r="AT28" s="2004"/>
      <c r="AU28" s="2004"/>
      <c r="AV28" s="2004"/>
      <c r="AW28" s="2004"/>
      <c r="AX28" s="2004"/>
      <c r="AY28" s="2004"/>
      <c r="AZ28" s="2004"/>
      <c r="BA28" s="2004"/>
      <c r="BB28" s="2004"/>
      <c r="BC28" s="2004"/>
      <c r="BD28" s="2004"/>
      <c r="BE28" s="2004"/>
      <c r="BF28" s="2004"/>
      <c r="BG28" s="2004"/>
      <c r="BH28" s="2004"/>
      <c r="BI28" s="2004"/>
      <c r="BJ28" s="2004"/>
      <c r="BK28" s="2004"/>
      <c r="BL28" s="2004"/>
      <c r="BM28" s="2004"/>
      <c r="BN28" s="2004"/>
      <c r="BO28" s="2004"/>
    </row>
    <row r="29" s="2952" customFormat="1" ht="28.75" spans="1:67">
      <c r="A29" s="3018" t="s">
        <v>680</v>
      </c>
      <c r="B29" s="3019">
        <v>0</v>
      </c>
      <c r="C29" s="3020" t="s">
        <v>681</v>
      </c>
      <c r="D29" s="3014"/>
      <c r="E29" s="1095"/>
      <c r="F29" s="1095"/>
      <c r="G29" s="2997"/>
      <c r="H29" s="2997"/>
      <c r="I29" s="2997"/>
      <c r="J29" s="2997"/>
      <c r="K29" s="3088"/>
      <c r="L29" s="3088"/>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f>0.3*AI23</f>
        <v>3072.585</v>
      </c>
      <c r="AM29" s="2016"/>
      <c r="AN29" s="2016"/>
      <c r="AO29" s="2016"/>
      <c r="AP29" s="2016"/>
      <c r="AQ29" s="2016"/>
      <c r="AR29" s="2016"/>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004"/>
      <c r="BO29" s="2004"/>
    </row>
    <row r="30" s="2952" customFormat="1" ht="28" spans="1:67">
      <c r="A30" s="3021" t="s">
        <v>682</v>
      </c>
      <c r="B30" s="3022">
        <v>200</v>
      </c>
      <c r="C30" s="3023"/>
      <c r="D30" s="3014"/>
      <c r="E30" s="1095"/>
      <c r="F30" s="1095"/>
      <c r="G30" s="2997"/>
      <c r="H30" s="2997"/>
      <c r="I30" s="2997"/>
      <c r="J30" s="2997"/>
      <c r="K30" s="3088"/>
      <c r="L30" s="3088"/>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f>0.85*AI22</f>
        <v>47749.6425</v>
      </c>
      <c r="AM30" s="2016"/>
      <c r="AN30" s="2016"/>
      <c r="AO30" s="2016"/>
      <c r="AP30" s="2016"/>
      <c r="AQ30" s="2016"/>
      <c r="AR30" s="2016"/>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004"/>
      <c r="BO30" s="2004"/>
    </row>
    <row r="31" s="2952" customFormat="1" ht="28" spans="1:67">
      <c r="A31" s="3015" t="s">
        <v>683</v>
      </c>
      <c r="B31" s="3024">
        <f>B30-B32</f>
        <v>200</v>
      </c>
      <c r="C31" s="3025"/>
      <c r="D31" s="3014"/>
      <c r="E31" s="1095"/>
      <c r="F31" s="1095"/>
      <c r="G31" s="2997"/>
      <c r="H31" s="2997"/>
      <c r="I31" s="2997"/>
      <c r="J31" s="2997"/>
      <c r="K31" s="3088"/>
      <c r="L31" s="3088"/>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row>
    <row r="32" s="2952" customFormat="1" ht="28.75" spans="1:67">
      <c r="A32" s="3026" t="s">
        <v>684</v>
      </c>
      <c r="B32" s="3027">
        <v>0</v>
      </c>
      <c r="C32" s="3023"/>
      <c r="D32" s="2998"/>
      <c r="E32" s="2997"/>
      <c r="F32" s="2997"/>
      <c r="G32" s="2997"/>
      <c r="H32" s="2997"/>
      <c r="I32" s="2997"/>
      <c r="J32" s="2997"/>
      <c r="K32" s="3088"/>
      <c r="L32" s="3088"/>
      <c r="M32" s="2016"/>
      <c r="N32" s="2016"/>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004"/>
      <c r="BO32" s="2004"/>
    </row>
    <row r="33" s="2952" customFormat="1" ht="14" spans="1:67">
      <c r="A33" s="3011" t="s">
        <v>685</v>
      </c>
      <c r="B33" s="3028">
        <v>0.06</v>
      </c>
      <c r="C33" s="3029" t="s">
        <v>686</v>
      </c>
      <c r="D33" s="2998"/>
      <c r="E33" s="2997"/>
      <c r="F33" s="2997"/>
      <c r="G33" s="2997"/>
      <c r="H33" s="2997"/>
      <c r="I33" s="2997"/>
      <c r="J33" s="2997"/>
      <c r="K33" s="3088"/>
      <c r="L33" s="3088"/>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04"/>
      <c r="AT33" s="2004"/>
      <c r="AU33" s="2004"/>
      <c r="AV33" s="2004"/>
      <c r="AW33" s="2004"/>
      <c r="AX33" s="2004"/>
      <c r="AY33" s="2004"/>
      <c r="AZ33" s="2004"/>
      <c r="BA33" s="2004"/>
      <c r="BB33" s="2004"/>
      <c r="BC33" s="2004"/>
      <c r="BD33" s="2004"/>
      <c r="BE33" s="2004"/>
      <c r="BF33" s="2004"/>
      <c r="BG33" s="2004"/>
      <c r="BH33" s="2004"/>
      <c r="BI33" s="2004"/>
      <c r="BJ33" s="2004"/>
      <c r="BK33" s="2004"/>
      <c r="BL33" s="2004"/>
      <c r="BM33" s="2004"/>
      <c r="BN33" s="2004"/>
      <c r="BO33" s="2004"/>
    </row>
    <row r="34" s="2952" customFormat="1" ht="14" spans="1:67">
      <c r="A34" s="3015" t="s">
        <v>687</v>
      </c>
      <c r="B34" s="3030">
        <v>0</v>
      </c>
      <c r="C34" s="3029" t="s">
        <v>688</v>
      </c>
      <c r="D34" s="3031" t="s">
        <v>689</v>
      </c>
      <c r="E34" s="2994"/>
      <c r="F34" s="2997"/>
      <c r="G34" s="2997"/>
      <c r="H34" s="2997"/>
      <c r="I34" s="2997"/>
      <c r="J34" s="2997"/>
      <c r="K34" s="3088"/>
      <c r="L34" s="3088"/>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6"/>
      <c r="AK34" s="2016"/>
      <c r="AL34" s="2016"/>
      <c r="AM34" s="2016"/>
      <c r="AN34" s="2016"/>
      <c r="AO34" s="2016"/>
      <c r="AP34" s="2016"/>
      <c r="AQ34" s="2016"/>
      <c r="AR34" s="2016"/>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004"/>
      <c r="BO34" s="2004"/>
    </row>
    <row r="35" s="2952" customFormat="1" ht="14" spans="1:67">
      <c r="A35" s="3015" t="s">
        <v>690</v>
      </c>
      <c r="B35" s="3016">
        <v>200</v>
      </c>
      <c r="C35" s="3029" t="s">
        <v>691</v>
      </c>
      <c r="D35" s="3014"/>
      <c r="E35" s="1095"/>
      <c r="F35" s="1095"/>
      <c r="G35" s="2997"/>
      <c r="H35" s="2997"/>
      <c r="I35" s="2997"/>
      <c r="J35" s="2997"/>
      <c r="K35" s="3088"/>
      <c r="L35" s="3088"/>
      <c r="M35" s="2016"/>
      <c r="N35" s="2016"/>
      <c r="O35" s="2016"/>
      <c r="P35" s="2016"/>
      <c r="Q35" s="2016"/>
      <c r="R35" s="2016"/>
      <c r="S35" s="2016"/>
      <c r="T35" s="2016"/>
      <c r="U35" s="2016"/>
      <c r="V35" s="2016"/>
      <c r="W35" s="2016"/>
      <c r="X35" s="2016"/>
      <c r="Y35" s="2016"/>
      <c r="Z35" s="2016"/>
      <c r="AA35" s="2016"/>
      <c r="AB35" s="2016"/>
      <c r="AC35" s="2016"/>
      <c r="AD35" s="2016"/>
      <c r="AE35" s="2016"/>
      <c r="AF35" s="2016"/>
      <c r="AG35" s="2016"/>
      <c r="AH35" s="2016"/>
      <c r="AI35" s="2016"/>
      <c r="AJ35" s="2016"/>
      <c r="AK35" s="2016"/>
      <c r="AL35" s="2016"/>
      <c r="AM35" s="2016"/>
      <c r="AN35" s="2016"/>
      <c r="AO35" s="2016"/>
      <c r="AP35" s="2016"/>
      <c r="AQ35" s="2016"/>
      <c r="AR35" s="2016"/>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004"/>
      <c r="BO35" s="2004"/>
    </row>
    <row r="36" ht="14.75" spans="1:44">
      <c r="A36" s="3018" t="s">
        <v>692</v>
      </c>
      <c r="B36" s="3032">
        <v>0.02</v>
      </c>
      <c r="C36" s="3029" t="s">
        <v>693</v>
      </c>
      <c r="D36" s="2998"/>
      <c r="E36" s="2997"/>
      <c r="F36" s="2997"/>
      <c r="G36" s="2997"/>
      <c r="H36" s="2997"/>
      <c r="I36" s="2997"/>
      <c r="J36" s="2997"/>
      <c r="K36" s="3088"/>
      <c r="L36" s="3088"/>
      <c r="M36" s="2016"/>
      <c r="N36" s="2016"/>
      <c r="O36" s="2016"/>
      <c r="P36" s="2016"/>
      <c r="Q36" s="2016"/>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16"/>
      <c r="AM36" s="2016"/>
      <c r="AN36" s="2016"/>
      <c r="AO36" s="2016"/>
      <c r="AP36" s="2016"/>
      <c r="AQ36" s="2016"/>
      <c r="AR36" s="2016"/>
    </row>
    <row r="37" ht="14" spans="1:44">
      <c r="A37" s="3021" t="s">
        <v>694</v>
      </c>
      <c r="B37" s="3033">
        <v>0.03</v>
      </c>
      <c r="C37" s="3029" t="s">
        <v>695</v>
      </c>
      <c r="D37" s="2998"/>
      <c r="E37" s="2997"/>
      <c r="F37" s="2997"/>
      <c r="G37" s="2997"/>
      <c r="H37" s="2997"/>
      <c r="I37" s="2997"/>
      <c r="J37" s="2997"/>
      <c r="K37" s="3088"/>
      <c r="L37" s="3088"/>
      <c r="M37" s="2016"/>
      <c r="N37" s="2016"/>
      <c r="O37" s="2016"/>
      <c r="P37" s="2016"/>
      <c r="Q37" s="2016"/>
      <c r="R37" s="2016"/>
      <c r="S37" s="2016"/>
      <c r="T37" s="2016"/>
      <c r="U37" s="2016"/>
      <c r="V37" s="2016"/>
      <c r="W37" s="2016"/>
      <c r="X37" s="2016"/>
      <c r="Y37" s="2016"/>
      <c r="Z37" s="2016"/>
      <c r="AA37" s="2016"/>
      <c r="AB37" s="2016"/>
      <c r="AC37" s="2016"/>
      <c r="AD37" s="2016"/>
      <c r="AE37" s="2016"/>
      <c r="AF37" s="2016"/>
      <c r="AG37" s="2016"/>
      <c r="AH37" s="2016"/>
      <c r="AI37" s="2016"/>
      <c r="AJ37" s="2016"/>
      <c r="AK37" s="2016"/>
      <c r="AL37" s="2016"/>
      <c r="AM37" s="2016"/>
      <c r="AN37" s="2016"/>
      <c r="AO37" s="2016"/>
      <c r="AP37" s="2016"/>
      <c r="AQ37" s="2016"/>
      <c r="AR37" s="2016"/>
    </row>
    <row r="38" ht="14" spans="1:44">
      <c r="A38" s="3015" t="s">
        <v>696</v>
      </c>
      <c r="B38" s="3034">
        <v>0.02</v>
      </c>
      <c r="C38" s="3029" t="s">
        <v>695</v>
      </c>
      <c r="D38" s="2998"/>
      <c r="E38" s="2997"/>
      <c r="F38" s="2997"/>
      <c r="G38" s="2997"/>
      <c r="H38" s="2997"/>
      <c r="I38" s="2997"/>
      <c r="J38" s="2997"/>
      <c r="K38" s="3088"/>
      <c r="L38" s="3088"/>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row>
    <row r="39" ht="14" spans="1:44">
      <c r="A39" s="3026" t="s">
        <v>697</v>
      </c>
      <c r="B39" s="3035">
        <f ca="1">存贷款利率!I1</f>
        <v>0.015</v>
      </c>
      <c r="C39" s="3036"/>
      <c r="D39" s="2998"/>
      <c r="E39" s="2997"/>
      <c r="F39" s="2997"/>
      <c r="G39" s="2997"/>
      <c r="H39" s="2997"/>
      <c r="I39" s="2997"/>
      <c r="J39" s="2997"/>
      <c r="K39" s="3088"/>
      <c r="L39" s="3088"/>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16"/>
      <c r="AM39" s="2016"/>
      <c r="AN39" s="2016"/>
      <c r="AO39" s="2016"/>
      <c r="AP39" s="2016"/>
      <c r="AQ39" s="2016"/>
      <c r="AR39" s="2016"/>
    </row>
    <row r="40" ht="28.75" spans="1:44">
      <c r="A40" s="3037" t="s">
        <v>698</v>
      </c>
      <c r="B40" s="3038">
        <f ca="1">IF(A40="利息：取LPR",存贷款利率!G1,存贷款利率!G1+C40)</f>
        <v>0.031</v>
      </c>
      <c r="C40" s="3039">
        <v>-0.0025</v>
      </c>
      <c r="D40" s="2016"/>
      <c r="E40" s="2998"/>
      <c r="F40" s="2997"/>
      <c r="G40" s="2997"/>
      <c r="H40" s="2997"/>
      <c r="I40" s="2997"/>
      <c r="J40" s="2997"/>
      <c r="K40" s="3088"/>
      <c r="L40" s="3088"/>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6"/>
      <c r="AK40" s="2016"/>
      <c r="AL40" s="2016"/>
      <c r="AM40" s="2016"/>
      <c r="AN40" s="2016"/>
      <c r="AO40" s="2016"/>
      <c r="AP40" s="2016"/>
      <c r="AQ40" s="2016"/>
      <c r="AR40" s="2016"/>
    </row>
    <row r="41" ht="14" spans="1:44">
      <c r="A41" s="3011" t="s">
        <v>699</v>
      </c>
      <c r="B41" s="3040">
        <f>B42+B43</f>
        <v>0.056</v>
      </c>
      <c r="C41" s="3025"/>
      <c r="D41" s="2016"/>
      <c r="E41" s="2998"/>
      <c r="F41" s="2997"/>
      <c r="G41" s="2997"/>
      <c r="H41" s="2997"/>
      <c r="I41" s="2997"/>
      <c r="J41" s="2997"/>
      <c r="K41" s="3088"/>
      <c r="L41" s="3088"/>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row>
    <row r="42" ht="14" spans="1:44">
      <c r="A42" s="3041" t="s">
        <v>700</v>
      </c>
      <c r="B42" s="3042">
        <v>0.05</v>
      </c>
      <c r="C42" s="3043">
        <f>IF(B2&lt;DATE(2016,5,1),0,B42)</f>
        <v>0.05</v>
      </c>
      <c r="D42" s="2998"/>
      <c r="E42" s="2997"/>
      <c r="F42" s="2997"/>
      <c r="G42" s="2997"/>
      <c r="H42" s="2997"/>
      <c r="I42" s="2997"/>
      <c r="J42" s="2997"/>
      <c r="K42" s="3088"/>
      <c r="L42" s="3088"/>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row>
    <row r="43" ht="14" spans="1:44">
      <c r="A43" s="3041" t="s">
        <v>701</v>
      </c>
      <c r="B43" s="3044">
        <f>B42*(B44+B45+B46)+B47</f>
        <v>0.006</v>
      </c>
      <c r="C43" s="3025"/>
      <c r="D43" s="2998"/>
      <c r="E43" s="2997"/>
      <c r="F43" s="2997"/>
      <c r="G43" s="2997"/>
      <c r="H43" s="2997"/>
      <c r="I43" s="2997"/>
      <c r="J43" s="2997"/>
      <c r="K43" s="3088"/>
      <c r="L43" s="3088"/>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row>
    <row r="44" ht="14" spans="1:44">
      <c r="A44" s="3045" t="s">
        <v>702</v>
      </c>
      <c r="B44" s="3046">
        <v>0.07</v>
      </c>
      <c r="C44" s="3029" t="s">
        <v>703</v>
      </c>
      <c r="D44" s="2998"/>
      <c r="E44" s="2997"/>
      <c r="F44" s="2997"/>
      <c r="G44" s="2997"/>
      <c r="H44" s="2997"/>
      <c r="I44" s="2997"/>
      <c r="J44" s="2997"/>
      <c r="K44" s="3088"/>
      <c r="L44" s="3088"/>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row>
    <row r="45" ht="14" spans="1:44">
      <c r="A45" s="3045" t="s">
        <v>704</v>
      </c>
      <c r="B45" s="3042">
        <v>0.03</v>
      </c>
      <c r="C45" s="3020" t="s">
        <v>705</v>
      </c>
      <c r="D45" s="2998"/>
      <c r="E45" s="2997"/>
      <c r="F45" s="2997"/>
      <c r="G45" s="2997"/>
      <c r="H45" s="2997"/>
      <c r="I45" s="2997"/>
      <c r="J45" s="2997"/>
      <c r="K45" s="3088"/>
      <c r="L45" s="3088"/>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row>
    <row r="46" ht="14" spans="1:44">
      <c r="A46" s="3045" t="s">
        <v>706</v>
      </c>
      <c r="B46" s="3042">
        <v>0.02</v>
      </c>
      <c r="C46" s="3020" t="s">
        <v>707</v>
      </c>
      <c r="D46" s="2998"/>
      <c r="E46" s="2997"/>
      <c r="F46" s="2997"/>
      <c r="G46" s="2997"/>
      <c r="H46" s="2997"/>
      <c r="I46" s="2997"/>
      <c r="J46" s="2997"/>
      <c r="K46" s="3088"/>
      <c r="L46" s="3088"/>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6"/>
      <c r="AK46" s="2016"/>
      <c r="AL46" s="2016"/>
      <c r="AM46" s="2016"/>
      <c r="AN46" s="2016"/>
      <c r="AO46" s="2016"/>
      <c r="AP46" s="2016"/>
      <c r="AQ46" s="2016"/>
      <c r="AR46" s="2016"/>
    </row>
    <row r="47" ht="14.75" spans="1:44">
      <c r="A47" s="3047" t="s">
        <v>708</v>
      </c>
      <c r="B47" s="3048"/>
      <c r="C47" s="3049" t="s">
        <v>709</v>
      </c>
      <c r="D47" s="2998"/>
      <c r="E47" s="2997"/>
      <c r="F47" s="2997"/>
      <c r="G47" s="2997"/>
      <c r="H47" s="2997"/>
      <c r="I47" s="2997"/>
      <c r="J47" s="2997"/>
      <c r="K47" s="3088"/>
      <c r="L47" s="3088"/>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16"/>
      <c r="AM47" s="2016"/>
      <c r="AN47" s="2016"/>
      <c r="AO47" s="2016"/>
      <c r="AP47" s="2016"/>
      <c r="AQ47" s="2016"/>
      <c r="AR47" s="2016"/>
    </row>
    <row r="48" ht="14" spans="1:44">
      <c r="A48" s="3050" t="s">
        <v>710</v>
      </c>
      <c r="B48" s="3051">
        <v>0.03</v>
      </c>
      <c r="C48" s="3020" t="s">
        <v>705</v>
      </c>
      <c r="D48" s="2998"/>
      <c r="E48" s="2997"/>
      <c r="F48" s="2997"/>
      <c r="G48" s="2997"/>
      <c r="H48" s="2997"/>
      <c r="I48" s="2997"/>
      <c r="J48" s="2997"/>
      <c r="K48" s="3088"/>
      <c r="L48" s="3088"/>
      <c r="M48" s="2016"/>
      <c r="N48" s="2016"/>
      <c r="O48" s="2016"/>
      <c r="P48" s="2016"/>
      <c r="Q48" s="2016"/>
      <c r="R48" s="2016"/>
      <c r="S48" s="2016"/>
      <c r="T48" s="2016"/>
      <c r="U48" s="2016"/>
      <c r="V48" s="2016"/>
      <c r="W48" s="2016"/>
      <c r="X48" s="2016"/>
      <c r="Y48" s="2016"/>
      <c r="Z48" s="2016"/>
      <c r="AA48" s="2016"/>
      <c r="AB48" s="2016"/>
      <c r="AC48" s="2016"/>
      <c r="AD48" s="2016"/>
      <c r="AE48" s="2016"/>
      <c r="AF48" s="2016"/>
      <c r="AG48" s="2016"/>
      <c r="AH48" s="2016"/>
      <c r="AI48" s="2016"/>
      <c r="AJ48" s="2016"/>
      <c r="AK48" s="2016"/>
      <c r="AL48" s="2016"/>
      <c r="AM48" s="2016"/>
      <c r="AN48" s="2016"/>
      <c r="AO48" s="2016"/>
      <c r="AP48" s="2016"/>
      <c r="AQ48" s="2016"/>
      <c r="AR48" s="2016"/>
    </row>
    <row r="49" ht="14.75" spans="1:44">
      <c r="A49" s="3026" t="s">
        <v>711</v>
      </c>
      <c r="B49" s="3042">
        <v>0.0005</v>
      </c>
      <c r="C49" s="3020" t="s">
        <v>712</v>
      </c>
      <c r="D49" s="2998"/>
      <c r="E49" s="2997"/>
      <c r="F49" s="2997"/>
      <c r="G49" s="2997"/>
      <c r="H49" s="2997"/>
      <c r="I49" s="2997"/>
      <c r="J49" s="2997"/>
      <c r="K49" s="3088"/>
      <c r="L49" s="3088"/>
      <c r="M49" s="2016"/>
      <c r="N49" s="2016"/>
      <c r="O49" s="2016"/>
      <c r="P49" s="2016"/>
      <c r="Q49" s="2016"/>
      <c r="R49" s="2016"/>
      <c r="S49" s="2016"/>
      <c r="T49" s="2016"/>
      <c r="U49" s="2016"/>
      <c r="V49" s="2016"/>
      <c r="W49" s="2016"/>
      <c r="X49" s="2016"/>
      <c r="Y49" s="2016"/>
      <c r="Z49" s="2016"/>
      <c r="AA49" s="2016"/>
      <c r="AB49" s="2016"/>
      <c r="AC49" s="2016"/>
      <c r="AD49" s="2016"/>
      <c r="AE49" s="2016"/>
      <c r="AF49" s="2016"/>
      <c r="AG49" s="2016"/>
      <c r="AH49" s="2016"/>
      <c r="AI49" s="2016"/>
      <c r="AJ49" s="2016"/>
      <c r="AK49" s="2016"/>
      <c r="AL49" s="2016"/>
      <c r="AM49" s="2016"/>
      <c r="AN49" s="2016"/>
      <c r="AO49" s="2016"/>
      <c r="AP49" s="2016"/>
      <c r="AQ49" s="2016"/>
      <c r="AR49" s="2016"/>
    </row>
    <row r="50" ht="14" spans="1:44">
      <c r="A50" s="3052" t="s">
        <v>713</v>
      </c>
      <c r="B50" s="3053">
        <v>0.012</v>
      </c>
      <c r="C50" s="1095"/>
      <c r="D50" s="2998"/>
      <c r="E50" s="2997"/>
      <c r="F50" s="2997"/>
      <c r="G50" s="2997"/>
      <c r="H50" s="2997"/>
      <c r="I50" s="2997"/>
      <c r="J50" s="2997"/>
      <c r="K50" s="3088"/>
      <c r="L50" s="3088"/>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6"/>
      <c r="AP50" s="2016"/>
      <c r="AQ50" s="2016"/>
      <c r="AR50" s="2016"/>
    </row>
    <row r="51" ht="14.75" spans="1:44">
      <c r="A51" s="3018" t="s">
        <v>714</v>
      </c>
      <c r="B51" s="3054">
        <v>0.12</v>
      </c>
      <c r="C51" s="1095"/>
      <c r="D51" s="2998"/>
      <c r="E51" s="2997"/>
      <c r="F51" s="2997"/>
      <c r="G51" s="2997"/>
      <c r="H51" s="2997"/>
      <c r="I51" s="2997"/>
      <c r="J51" s="2997"/>
      <c r="K51" s="3088"/>
      <c r="L51" s="3088"/>
      <c r="M51" s="2016"/>
      <c r="N51" s="2016"/>
      <c r="O51" s="2016"/>
      <c r="P51" s="2016"/>
      <c r="Q51" s="2016"/>
      <c r="R51" s="2016"/>
      <c r="S51" s="2016"/>
      <c r="T51" s="2016"/>
      <c r="U51" s="2016"/>
      <c r="V51" s="2016"/>
      <c r="W51" s="2016"/>
      <c r="X51" s="2016"/>
      <c r="Y51" s="2016"/>
      <c r="Z51" s="2016"/>
      <c r="AA51" s="2016"/>
      <c r="AB51" s="2016"/>
      <c r="AC51" s="2016"/>
      <c r="AD51" s="2016"/>
      <c r="AE51" s="2016"/>
      <c r="AF51" s="2016"/>
      <c r="AG51" s="2016"/>
      <c r="AH51" s="2016"/>
      <c r="AI51" s="2016"/>
      <c r="AJ51" s="2016"/>
      <c r="AK51" s="2016"/>
      <c r="AL51" s="2016"/>
      <c r="AM51" s="2016"/>
      <c r="AN51" s="2016"/>
      <c r="AO51" s="2016"/>
      <c r="AP51" s="2016"/>
      <c r="AQ51" s="2016"/>
      <c r="AR51" s="2016"/>
    </row>
    <row r="52" ht="14" spans="1:44">
      <c r="A52" s="3052" t="s">
        <v>715</v>
      </c>
      <c r="B52" s="3055">
        <f>SUMIF(A54:A63,B53,B54:B63)</f>
        <v>8</v>
      </c>
      <c r="C52" s="1095"/>
      <c r="D52" s="2998"/>
      <c r="E52" s="2997"/>
      <c r="F52" s="2997"/>
      <c r="G52" s="2997"/>
      <c r="H52" s="2997"/>
      <c r="I52" s="2997"/>
      <c r="J52" s="2997"/>
      <c r="K52" s="3088"/>
      <c r="L52" s="3088"/>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row>
    <row r="53" ht="28" spans="1:44">
      <c r="A53" s="3015" t="s">
        <v>716</v>
      </c>
      <c r="B53" s="3056" t="s">
        <v>251</v>
      </c>
      <c r="C53" s="1095" t="s">
        <v>717</v>
      </c>
      <c r="D53" s="3057" t="s">
        <v>718</v>
      </c>
      <c r="E53" s="2997"/>
      <c r="F53" s="2997"/>
      <c r="G53" s="2997"/>
      <c r="H53" s="2997"/>
      <c r="I53" s="2997"/>
      <c r="J53" s="2997"/>
      <c r="K53" s="3088"/>
      <c r="L53" s="3088"/>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row>
    <row r="54" ht="14" spans="1:44">
      <c r="A54" s="3058" t="s">
        <v>719</v>
      </c>
      <c r="B54" s="3059"/>
      <c r="C54" s="1095">
        <v>30</v>
      </c>
      <c r="D54" s="3060" t="s">
        <v>720</v>
      </c>
      <c r="E54" s="2997"/>
      <c r="F54" s="2997"/>
      <c r="G54" s="2997"/>
      <c r="H54" s="2997"/>
      <c r="I54" s="2997"/>
      <c r="J54" s="2997"/>
      <c r="K54" s="3088"/>
      <c r="L54" s="3088"/>
      <c r="M54" s="2016"/>
      <c r="N54" s="2016"/>
      <c r="O54" s="2016"/>
      <c r="P54" s="2016"/>
      <c r="Q54" s="2016"/>
      <c r="R54" s="2016"/>
      <c r="S54" s="2016"/>
      <c r="T54" s="2016"/>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row>
    <row r="55" ht="14" spans="1:44">
      <c r="A55" s="3058" t="s">
        <v>721</v>
      </c>
      <c r="B55" s="3059"/>
      <c r="C55" s="1095">
        <v>24</v>
      </c>
      <c r="D55" s="2998"/>
      <c r="E55" s="2997"/>
      <c r="F55" s="2997"/>
      <c r="G55" s="2997"/>
      <c r="H55" s="2997"/>
      <c r="I55" s="3093"/>
      <c r="J55" s="2997"/>
      <c r="K55" s="3088"/>
      <c r="L55" s="3088"/>
      <c r="M55" s="2016"/>
      <c r="N55" s="2016"/>
      <c r="O55" s="2016"/>
      <c r="P55" s="2016"/>
      <c r="Q55" s="2016"/>
      <c r="R55" s="2016"/>
      <c r="S55" s="2016"/>
      <c r="T55" s="2016"/>
      <c r="U55" s="2016"/>
      <c r="V55" s="2016"/>
      <c r="W55" s="2016"/>
      <c r="X55" s="2016"/>
      <c r="Y55" s="2016"/>
      <c r="Z55" s="2016"/>
      <c r="AA55" s="2016"/>
      <c r="AB55" s="2016"/>
      <c r="AC55" s="2016"/>
      <c r="AD55" s="2016"/>
      <c r="AE55" s="2016"/>
      <c r="AF55" s="2016"/>
      <c r="AG55" s="2016"/>
      <c r="AH55" s="2016"/>
      <c r="AI55" s="2016"/>
      <c r="AJ55" s="2016"/>
      <c r="AK55" s="2016"/>
      <c r="AL55" s="2016"/>
      <c r="AM55" s="2016"/>
      <c r="AN55" s="2016"/>
      <c r="AO55" s="2016"/>
      <c r="AP55" s="2016"/>
      <c r="AQ55" s="2016"/>
      <c r="AR55" s="2016"/>
    </row>
    <row r="56" ht="14" spans="1:44">
      <c r="A56" s="3058" t="s">
        <v>722</v>
      </c>
      <c r="B56" s="3059">
        <v>8</v>
      </c>
      <c r="C56" s="1095">
        <v>18</v>
      </c>
      <c r="D56" s="2998"/>
      <c r="E56" s="2997"/>
      <c r="F56" s="2997"/>
      <c r="G56" s="2997"/>
      <c r="H56" s="2997"/>
      <c r="I56" s="2997"/>
      <c r="J56" s="2997"/>
      <c r="K56" s="3088"/>
      <c r="L56" s="3088"/>
      <c r="M56" s="2016"/>
      <c r="N56" s="2016"/>
      <c r="O56" s="2016"/>
      <c r="P56" s="2016"/>
      <c r="Q56" s="2016"/>
      <c r="R56" s="2016"/>
      <c r="S56" s="2016"/>
      <c r="T56" s="2016"/>
      <c r="U56" s="2016"/>
      <c r="V56" s="2016"/>
      <c r="W56" s="2016"/>
      <c r="X56" s="2016"/>
      <c r="Y56" s="2016"/>
      <c r="Z56" s="2016"/>
      <c r="AA56" s="2016"/>
      <c r="AB56" s="2016"/>
      <c r="AC56" s="2016"/>
      <c r="AD56" s="2016"/>
      <c r="AE56" s="2016"/>
      <c r="AF56" s="2016"/>
      <c r="AG56" s="2016"/>
      <c r="AH56" s="2016"/>
      <c r="AI56" s="2016"/>
      <c r="AJ56" s="2016"/>
      <c r="AK56" s="2016"/>
      <c r="AL56" s="2016"/>
      <c r="AM56" s="2016"/>
      <c r="AN56" s="2016"/>
      <c r="AO56" s="2016"/>
      <c r="AP56" s="2016"/>
      <c r="AQ56" s="2016"/>
      <c r="AR56" s="2016"/>
    </row>
    <row r="57" ht="14" spans="1:44">
      <c r="A57" s="3058" t="s">
        <v>723</v>
      </c>
      <c r="B57" s="3059"/>
      <c r="C57" s="1095">
        <v>12</v>
      </c>
      <c r="D57" s="2998"/>
      <c r="E57" s="2997"/>
      <c r="F57" s="2997"/>
      <c r="G57" s="2997"/>
      <c r="H57" s="2997"/>
      <c r="I57" s="2997"/>
      <c r="J57" s="2997"/>
      <c r="K57" s="3088"/>
      <c r="L57" s="3088"/>
      <c r="M57" s="2016"/>
      <c r="N57" s="2016"/>
      <c r="O57" s="2016"/>
      <c r="P57" s="2016"/>
      <c r="Q57" s="2016"/>
      <c r="R57" s="2016"/>
      <c r="S57" s="2016"/>
      <c r="T57" s="2016"/>
      <c r="U57" s="2016"/>
      <c r="V57" s="2016"/>
      <c r="W57" s="2016"/>
      <c r="X57" s="2016"/>
      <c r="Y57" s="2016"/>
      <c r="Z57" s="2016"/>
      <c r="AA57" s="2016"/>
      <c r="AB57" s="2016"/>
      <c r="AC57" s="2016"/>
      <c r="AD57" s="2016"/>
      <c r="AE57" s="2016"/>
      <c r="AF57" s="2016"/>
      <c r="AG57" s="2016"/>
      <c r="AH57" s="2016"/>
      <c r="AI57" s="2016"/>
      <c r="AJ57" s="2016"/>
      <c r="AK57" s="2016"/>
      <c r="AL57" s="2016"/>
      <c r="AM57" s="2016"/>
      <c r="AN57" s="2016"/>
      <c r="AO57" s="2016"/>
      <c r="AP57" s="2016"/>
      <c r="AQ57" s="2016"/>
      <c r="AR57" s="2016"/>
    </row>
    <row r="58" ht="14" spans="1:44">
      <c r="A58" s="3058" t="s">
        <v>724</v>
      </c>
      <c r="B58" s="3059"/>
      <c r="C58" s="1095">
        <v>3</v>
      </c>
      <c r="D58" s="2998"/>
      <c r="E58" s="2997"/>
      <c r="F58" s="2997"/>
      <c r="G58" s="2997"/>
      <c r="H58" s="2997"/>
      <c r="I58" s="2997"/>
      <c r="J58" s="2997"/>
      <c r="K58" s="3088"/>
      <c r="L58" s="3088"/>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row>
    <row r="59" ht="14" spans="1:44">
      <c r="A59" s="3058" t="s">
        <v>725</v>
      </c>
      <c r="B59" s="3059"/>
      <c r="C59" s="1095">
        <v>1.5</v>
      </c>
      <c r="D59" s="2998"/>
      <c r="E59" s="2997"/>
      <c r="F59" s="2997"/>
      <c r="G59" s="2997"/>
      <c r="H59" s="2997"/>
      <c r="I59" s="2997"/>
      <c r="J59" s="2997"/>
      <c r="K59" s="3088"/>
      <c r="L59" s="3088"/>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row>
    <row r="60" ht="14" spans="1:44">
      <c r="A60" s="3058" t="s">
        <v>726</v>
      </c>
      <c r="B60" s="3059"/>
      <c r="C60" s="2997"/>
      <c r="D60" s="2998"/>
      <c r="E60" s="2997"/>
      <c r="F60" s="2997"/>
      <c r="G60" s="2997"/>
      <c r="H60" s="2997"/>
      <c r="I60" s="2997"/>
      <c r="J60" s="2997"/>
      <c r="K60" s="3088"/>
      <c r="L60" s="3088"/>
      <c r="M60" s="2016"/>
      <c r="N60" s="2016"/>
      <c r="O60" s="2016"/>
      <c r="P60" s="2016"/>
      <c r="Q60" s="2016"/>
      <c r="R60" s="2016"/>
      <c r="S60" s="2016"/>
      <c r="T60" s="2016"/>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row>
    <row r="61" ht="14" spans="1:44">
      <c r="A61" s="3058" t="s">
        <v>727</v>
      </c>
      <c r="B61" s="3059"/>
      <c r="C61" s="2997"/>
      <c r="D61" s="2998"/>
      <c r="E61" s="2997"/>
      <c r="F61" s="2997"/>
      <c r="G61" s="2997"/>
      <c r="H61" s="2997"/>
      <c r="I61" s="2997"/>
      <c r="J61" s="2997"/>
      <c r="K61" s="3088"/>
      <c r="L61" s="3088"/>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row>
    <row r="62" ht="14" spans="1:44">
      <c r="A62" s="3058" t="s">
        <v>728</v>
      </c>
      <c r="B62" s="3059"/>
      <c r="C62" s="2997"/>
      <c r="D62" s="2998"/>
      <c r="E62" s="2997"/>
      <c r="F62" s="2997"/>
      <c r="G62" s="2997"/>
      <c r="H62" s="2997"/>
      <c r="I62" s="2997"/>
      <c r="J62" s="2997"/>
      <c r="K62" s="3088"/>
      <c r="L62" s="3088"/>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row>
    <row r="63" ht="14.75" spans="1:44">
      <c r="A63" s="3061" t="s">
        <v>729</v>
      </c>
      <c r="B63" s="3062"/>
      <c r="C63" s="2997"/>
      <c r="D63" s="2998"/>
      <c r="E63" s="2997"/>
      <c r="F63" s="2997"/>
      <c r="G63" s="2997"/>
      <c r="H63" s="2997"/>
      <c r="I63" s="2997"/>
      <c r="J63" s="2997"/>
      <c r="K63" s="3088"/>
      <c r="L63" s="3088"/>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row>
    <row r="64" s="2088" customFormat="1" spans="1:44">
      <c r="A64" s="3063"/>
      <c r="B64" s="2016"/>
      <c r="C64" s="2016"/>
      <c r="D64" s="2995"/>
      <c r="E64" s="2016"/>
      <c r="F64" s="2016"/>
      <c r="G64" s="2016"/>
      <c r="H64" s="2016"/>
      <c r="I64" s="2016"/>
      <c r="J64" s="2016"/>
      <c r="K64" s="3088"/>
      <c r="L64" s="3088"/>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6"/>
      <c r="AK64" s="2016"/>
      <c r="AL64" s="2016"/>
      <c r="AM64" s="2016"/>
      <c r="AN64" s="2016"/>
      <c r="AO64" s="2016"/>
      <c r="AP64" s="2016"/>
      <c r="AQ64" s="2016"/>
      <c r="AR64" s="2016"/>
    </row>
    <row r="65" s="2088" customFormat="1" spans="1:44">
      <c r="A65" s="3063"/>
      <c r="B65" s="2016"/>
      <c r="C65" s="2016"/>
      <c r="D65" s="2995"/>
      <c r="E65" s="2016"/>
      <c r="F65" s="2016"/>
      <c r="G65" s="2016"/>
      <c r="H65" s="2016"/>
      <c r="I65" s="2016"/>
      <c r="J65" s="2016"/>
      <c r="K65" s="3088"/>
      <c r="L65" s="3088"/>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row>
    <row r="66" s="2088" customFormat="1" spans="1:44">
      <c r="A66" s="3063"/>
      <c r="B66" s="2016"/>
      <c r="C66" s="2016"/>
      <c r="D66" s="2995"/>
      <c r="E66" s="2016"/>
      <c r="F66" s="2016"/>
      <c r="G66" s="2016"/>
      <c r="H66" s="2016"/>
      <c r="I66" s="2016"/>
      <c r="J66" s="2016"/>
      <c r="K66" s="3088"/>
      <c r="L66" s="3088"/>
      <c r="M66" s="2016"/>
      <c r="N66" s="2016"/>
      <c r="O66" s="2016"/>
      <c r="P66" s="2016"/>
      <c r="Q66" s="2016"/>
      <c r="R66" s="2016"/>
      <c r="S66" s="2016"/>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row>
    <row r="67" s="2088" customFormat="1" spans="1:44">
      <c r="A67" s="3063"/>
      <c r="B67" s="2016"/>
      <c r="C67" s="2016"/>
      <c r="D67" s="2995"/>
      <c r="E67" s="2016"/>
      <c r="F67" s="2016"/>
      <c r="G67" s="2016"/>
      <c r="H67" s="2016"/>
      <c r="I67" s="2016"/>
      <c r="J67" s="2016"/>
      <c r="K67" s="3088"/>
      <c r="L67" s="3088"/>
      <c r="M67" s="2016"/>
      <c r="N67" s="2016"/>
      <c r="O67" s="2016"/>
      <c r="P67" s="2016"/>
      <c r="Q67" s="2016"/>
      <c r="R67" s="2016"/>
      <c r="S67" s="2016"/>
      <c r="T67" s="2016"/>
      <c r="U67" s="2016"/>
      <c r="V67" s="2016"/>
      <c r="W67" s="2016"/>
      <c r="X67" s="2016"/>
      <c r="Y67" s="2016"/>
      <c r="Z67" s="2016"/>
      <c r="AA67" s="2016"/>
      <c r="AB67" s="2016"/>
      <c r="AC67" s="2016"/>
      <c r="AD67" s="2016"/>
      <c r="AE67" s="2016"/>
      <c r="AF67" s="2016"/>
      <c r="AG67" s="2016"/>
      <c r="AH67" s="2016"/>
      <c r="AI67" s="2016"/>
      <c r="AJ67" s="2016"/>
      <c r="AK67" s="2016"/>
      <c r="AL67" s="2016"/>
      <c r="AM67" s="2016"/>
      <c r="AN67" s="2016"/>
      <c r="AO67" s="2016"/>
      <c r="AP67" s="2016"/>
      <c r="AQ67" s="2016"/>
      <c r="AR67" s="2016"/>
    </row>
    <row r="68" s="2088" customFormat="1" spans="1:44">
      <c r="A68" s="3063"/>
      <c r="B68" s="2016"/>
      <c r="C68" s="2016"/>
      <c r="D68" s="2995"/>
      <c r="E68" s="2016"/>
      <c r="F68" s="2016"/>
      <c r="G68" s="2016"/>
      <c r="H68" s="2016"/>
      <c r="I68" s="2016"/>
      <c r="J68" s="2016"/>
      <c r="K68" s="3088"/>
      <c r="L68" s="3088"/>
      <c r="M68" s="2016"/>
      <c r="N68" s="2016"/>
      <c r="O68" s="2016"/>
      <c r="P68" s="2016"/>
      <c r="Q68" s="2016"/>
      <c r="R68" s="2016"/>
      <c r="S68" s="2016"/>
      <c r="T68" s="2016"/>
      <c r="U68" s="2016"/>
      <c r="V68" s="2016"/>
      <c r="W68" s="2016"/>
      <c r="X68" s="2016"/>
      <c r="Y68" s="2016"/>
      <c r="Z68" s="2016"/>
      <c r="AA68" s="2016"/>
      <c r="AB68" s="2016"/>
      <c r="AC68" s="2016"/>
      <c r="AD68" s="2016"/>
      <c r="AE68" s="2016"/>
      <c r="AF68" s="2016"/>
      <c r="AG68" s="2016"/>
      <c r="AH68" s="2016"/>
      <c r="AI68" s="2016"/>
      <c r="AJ68" s="2016"/>
      <c r="AK68" s="2016"/>
      <c r="AL68" s="2016"/>
      <c r="AM68" s="2016"/>
      <c r="AN68" s="2016"/>
      <c r="AO68" s="2016"/>
      <c r="AP68" s="2016"/>
      <c r="AQ68" s="2016"/>
      <c r="AR68" s="2016"/>
    </row>
    <row r="69" s="2088" customFormat="1" spans="1:12">
      <c r="A69" s="2855"/>
      <c r="D69" s="3164"/>
      <c r="K69" s="686"/>
      <c r="L69" s="686"/>
    </row>
    <row r="70" s="2088" customFormat="1" spans="1:12">
      <c r="A70" s="2855"/>
      <c r="D70" s="3164"/>
      <c r="K70" s="686"/>
      <c r="L70" s="686"/>
    </row>
    <row r="71" s="2088" customFormat="1" spans="1:12">
      <c r="A71" s="2855"/>
      <c r="D71" s="3164"/>
      <c r="K71" s="686"/>
      <c r="L71" s="686"/>
    </row>
    <row r="72" s="2088" customFormat="1" spans="1:12">
      <c r="A72" s="2855"/>
      <c r="D72" s="3164"/>
      <c r="K72" s="686"/>
      <c r="L72" s="686"/>
    </row>
    <row r="73" s="2088" customFormat="1" spans="1:12">
      <c r="A73" s="2855"/>
      <c r="D73" s="3164"/>
      <c r="K73" s="686"/>
      <c r="L73" s="686"/>
    </row>
    <row r="74" s="2088" customFormat="1" spans="1:12">
      <c r="A74" s="2855"/>
      <c r="D74" s="3164"/>
      <c r="K74" s="686"/>
      <c r="L74" s="686"/>
    </row>
    <row r="75" s="2088" customFormat="1" spans="1:12">
      <c r="A75" s="2855"/>
      <c r="D75" s="3164"/>
      <c r="K75" s="686"/>
      <c r="L75" s="686"/>
    </row>
    <row r="76" s="2088" customFormat="1" spans="1:12">
      <c r="A76" s="2855"/>
      <c r="D76" s="3164"/>
      <c r="K76" s="686"/>
      <c r="L76" s="686"/>
    </row>
    <row r="77" s="2088" customFormat="1" spans="1:12">
      <c r="A77" s="2855"/>
      <c r="D77" s="3164"/>
      <c r="K77" s="686"/>
      <c r="L77" s="686"/>
    </row>
    <row r="78" s="2088" customFormat="1" spans="1:12">
      <c r="A78" s="2855"/>
      <c r="D78" s="3164"/>
      <c r="K78" s="686"/>
      <c r="L78" s="686"/>
    </row>
    <row r="79" s="2088" customFormat="1" spans="1:12">
      <c r="A79" s="2855"/>
      <c r="D79" s="3164"/>
      <c r="K79" s="686"/>
      <c r="L79" s="686"/>
    </row>
    <row r="80" s="2088" customFormat="1" spans="1:12">
      <c r="A80" s="2855"/>
      <c r="D80" s="3164"/>
      <c r="K80" s="686"/>
      <c r="L80" s="686"/>
    </row>
    <row r="81" s="2088" customFormat="1" spans="1:12">
      <c r="A81" s="2855"/>
      <c r="D81" s="3164"/>
      <c r="K81" s="686"/>
      <c r="L81" s="686"/>
    </row>
    <row r="82" s="2088" customFormat="1" spans="1:12">
      <c r="A82" s="2855"/>
      <c r="D82" s="3164"/>
      <c r="K82" s="686"/>
      <c r="L82" s="686"/>
    </row>
    <row r="83" s="2088" customFormat="1" spans="1:12">
      <c r="A83" s="2855"/>
      <c r="D83" s="3164"/>
      <c r="K83" s="686"/>
      <c r="L83" s="686"/>
    </row>
    <row r="84" s="2088" customFormat="1" spans="1:12">
      <c r="A84" s="2855"/>
      <c r="D84" s="3164"/>
      <c r="K84" s="686"/>
      <c r="L84" s="686"/>
    </row>
    <row r="85" s="2088" customFormat="1" spans="1:12">
      <c r="A85" s="2855"/>
      <c r="D85" s="3164"/>
      <c r="K85" s="686"/>
      <c r="L85" s="686"/>
    </row>
    <row r="86" s="2088" customFormat="1" spans="1:12">
      <c r="A86" s="2855"/>
      <c r="D86" s="3164"/>
      <c r="K86" s="686"/>
      <c r="L86" s="686"/>
    </row>
    <row r="87" s="2088" customFormat="1" spans="1:12">
      <c r="A87" s="2855"/>
      <c r="D87" s="3164"/>
      <c r="K87" s="686"/>
      <c r="L87" s="686"/>
    </row>
    <row r="88" s="2088" customFormat="1" spans="1:12">
      <c r="A88" s="2855"/>
      <c r="D88" s="3164"/>
      <c r="K88" s="686"/>
      <c r="L88" s="686"/>
    </row>
    <row r="89" s="2088" customFormat="1" spans="1:12">
      <c r="A89" s="2855"/>
      <c r="D89" s="3164"/>
      <c r="K89" s="686"/>
      <c r="L89" s="686"/>
    </row>
    <row r="90" s="2088" customFormat="1" spans="1:12">
      <c r="A90" s="2855"/>
      <c r="D90" s="3164"/>
      <c r="K90" s="686"/>
      <c r="L90" s="686"/>
    </row>
    <row r="91" s="2088" customFormat="1" spans="1:12">
      <c r="A91" s="2855"/>
      <c r="D91" s="3164"/>
      <c r="K91" s="686"/>
      <c r="L91" s="686"/>
    </row>
    <row r="92" s="2088" customFormat="1" spans="1:12">
      <c r="A92" s="2855"/>
      <c r="D92" s="3164"/>
      <c r="K92" s="686"/>
      <c r="L92" s="686"/>
    </row>
    <row r="93" s="2088" customFormat="1" spans="1:12">
      <c r="A93" s="2855"/>
      <c r="D93" s="3164"/>
      <c r="K93" s="686"/>
      <c r="L93" s="686"/>
    </row>
    <row r="94" s="2088" customFormat="1" spans="1:12">
      <c r="A94" s="2855"/>
      <c r="D94" s="3164"/>
      <c r="K94" s="686"/>
      <c r="L94" s="686"/>
    </row>
    <row r="95" s="2088" customFormat="1" spans="1:12">
      <c r="A95" s="2855"/>
      <c r="D95" s="3164"/>
      <c r="K95" s="686"/>
      <c r="L95" s="686"/>
    </row>
    <row r="96" s="2088" customFormat="1" spans="1:12">
      <c r="A96" s="2855"/>
      <c r="D96" s="3164"/>
      <c r="K96" s="686"/>
      <c r="L96" s="686"/>
    </row>
    <row r="97" s="2088" customFormat="1" spans="1:12">
      <c r="A97" s="2855"/>
      <c r="D97" s="3164"/>
      <c r="K97" s="686"/>
      <c r="L97" s="686"/>
    </row>
    <row r="98" s="2088" customFormat="1" spans="1:12">
      <c r="A98" s="2855"/>
      <c r="D98" s="3164"/>
      <c r="K98" s="686"/>
      <c r="L98" s="686"/>
    </row>
    <row r="99" s="2088" customFormat="1" spans="1:12">
      <c r="A99" s="2855"/>
      <c r="D99" s="3164"/>
      <c r="K99" s="686"/>
      <c r="L99" s="686"/>
    </row>
    <row r="100" s="2088" customFormat="1" spans="1:12">
      <c r="A100" s="2855"/>
      <c r="D100" s="3164"/>
      <c r="K100" s="686"/>
      <c r="L100" s="686"/>
    </row>
    <row r="101" s="2088" customFormat="1" spans="1:12">
      <c r="A101" s="2855"/>
      <c r="D101" s="3164"/>
      <c r="K101" s="686"/>
      <c r="L101" s="686"/>
    </row>
    <row r="102" s="2088" customFormat="1" spans="1:12">
      <c r="A102" s="2855"/>
      <c r="D102" s="3164"/>
      <c r="K102" s="686"/>
      <c r="L102" s="686"/>
    </row>
    <row r="103" s="2088" customFormat="1" spans="1:12">
      <c r="A103" s="2855"/>
      <c r="D103" s="3164"/>
      <c r="K103" s="686"/>
      <c r="L103" s="686"/>
    </row>
    <row r="104" s="2088" customFormat="1" spans="1:12">
      <c r="A104" s="2855"/>
      <c r="D104" s="3164"/>
      <c r="K104" s="686"/>
      <c r="L104" s="686"/>
    </row>
    <row r="105" s="2088" customFormat="1" spans="1:12">
      <c r="A105" s="2855"/>
      <c r="D105" s="3164"/>
      <c r="K105" s="686"/>
      <c r="L105" s="686"/>
    </row>
    <row r="106" s="2088" customFormat="1" spans="1:12">
      <c r="A106" s="2855"/>
      <c r="D106" s="3164"/>
      <c r="K106" s="686"/>
      <c r="L106" s="686"/>
    </row>
    <row r="107" s="2088" customFormat="1" spans="1:12">
      <c r="A107" s="2855"/>
      <c r="D107" s="3164"/>
      <c r="K107" s="686"/>
      <c r="L107" s="686"/>
    </row>
    <row r="108" s="2088" customFormat="1" spans="1:12">
      <c r="A108" s="2855"/>
      <c r="D108" s="3164"/>
      <c r="K108" s="686"/>
      <c r="L108" s="686"/>
    </row>
    <row r="109" s="2088" customFormat="1" spans="1:12">
      <c r="A109" s="2855"/>
      <c r="D109" s="3164"/>
      <c r="K109" s="686"/>
      <c r="L109" s="686"/>
    </row>
    <row r="110" s="2088" customFormat="1" spans="1:12">
      <c r="A110" s="2855"/>
      <c r="D110" s="3164"/>
      <c r="K110" s="686"/>
      <c r="L110" s="686"/>
    </row>
    <row r="111" s="2088" customFormat="1" spans="1:12">
      <c r="A111" s="2855"/>
      <c r="D111" s="3164"/>
      <c r="K111" s="686"/>
      <c r="L111" s="686"/>
    </row>
    <row r="112" s="2088" customFormat="1" spans="1:12">
      <c r="A112" s="2855"/>
      <c r="D112" s="3164"/>
      <c r="K112" s="686"/>
      <c r="L112" s="686"/>
    </row>
    <row r="113" s="2088" customFormat="1" spans="1:12">
      <c r="A113" s="2855"/>
      <c r="D113" s="3164"/>
      <c r="K113" s="686"/>
      <c r="L113" s="686"/>
    </row>
    <row r="114" s="2088" customFormat="1" spans="1:12">
      <c r="A114" s="2855"/>
      <c r="D114" s="3164"/>
      <c r="K114" s="686"/>
      <c r="L114" s="686"/>
    </row>
    <row r="115" s="2088" customFormat="1" spans="1:12">
      <c r="A115" s="2855"/>
      <c r="D115" s="3164"/>
      <c r="K115" s="686"/>
      <c r="L115" s="686"/>
    </row>
    <row r="116" s="2088" customFormat="1" spans="1:12">
      <c r="A116" s="2855"/>
      <c r="D116" s="3164"/>
      <c r="K116" s="686"/>
      <c r="L116" s="686"/>
    </row>
    <row r="117" s="2088" customFormat="1" spans="1:12">
      <c r="A117" s="2855"/>
      <c r="D117" s="3164"/>
      <c r="K117" s="686"/>
      <c r="L117" s="686"/>
    </row>
    <row r="118" s="2088" customFormat="1" spans="1:12">
      <c r="A118" s="2855"/>
      <c r="D118" s="3164"/>
      <c r="K118" s="686"/>
      <c r="L118" s="686"/>
    </row>
    <row r="119" s="2088" customFormat="1" spans="1:12">
      <c r="A119" s="2855"/>
      <c r="D119" s="3164"/>
      <c r="K119" s="686"/>
      <c r="L119" s="686"/>
    </row>
    <row r="120" s="2088" customFormat="1" spans="1:12">
      <c r="A120" s="2855"/>
      <c r="D120" s="3164"/>
      <c r="K120" s="686"/>
      <c r="L120" s="686"/>
    </row>
    <row r="121" s="2088" customFormat="1" spans="1:12">
      <c r="A121" s="2855"/>
      <c r="D121" s="3164"/>
      <c r="K121" s="686"/>
      <c r="L121" s="686"/>
    </row>
    <row r="122" s="2088" customFormat="1" spans="1:12">
      <c r="A122" s="2855"/>
      <c r="D122" s="3164"/>
      <c r="K122" s="686"/>
      <c r="L122" s="686"/>
    </row>
    <row r="123" s="2088" customFormat="1" spans="1:12">
      <c r="A123" s="2855"/>
      <c r="D123" s="3164"/>
      <c r="K123" s="686"/>
      <c r="L123" s="686"/>
    </row>
    <row r="124" s="2088" customFormat="1" spans="1:12">
      <c r="A124" s="2855"/>
      <c r="D124" s="3164"/>
      <c r="K124" s="686"/>
      <c r="L124" s="686"/>
    </row>
    <row r="125" s="2088" customFormat="1" spans="1:12">
      <c r="A125" s="2855"/>
      <c r="D125" s="3164"/>
      <c r="K125" s="686"/>
      <c r="L125" s="686"/>
    </row>
    <row r="126" s="2088" customFormat="1" spans="1:12">
      <c r="A126" s="2855"/>
      <c r="D126" s="3164"/>
      <c r="K126" s="686"/>
      <c r="L126" s="686"/>
    </row>
    <row r="127" s="2088" customFormat="1" spans="1:12">
      <c r="A127" s="2855"/>
      <c r="D127" s="3164"/>
      <c r="K127" s="686"/>
      <c r="L127" s="686"/>
    </row>
    <row r="128" s="2088" customFormat="1" spans="1:12">
      <c r="A128" s="2855"/>
      <c r="D128" s="3164"/>
      <c r="K128" s="686"/>
      <c r="L128" s="686"/>
    </row>
    <row r="129" s="2088" customFormat="1" spans="1:12">
      <c r="A129" s="2855"/>
      <c r="D129" s="3164"/>
      <c r="K129" s="686"/>
      <c r="L129" s="686"/>
    </row>
    <row r="130" s="2088" customFormat="1" spans="1:12">
      <c r="A130" s="2855"/>
      <c r="D130" s="3164"/>
      <c r="K130" s="686"/>
      <c r="L130" s="686"/>
    </row>
    <row r="131" s="2088" customFormat="1" spans="1:12">
      <c r="A131" s="2855"/>
      <c r="D131" s="3164"/>
      <c r="K131" s="686"/>
      <c r="L131" s="686"/>
    </row>
    <row r="132" s="2088" customFormat="1" spans="1:12">
      <c r="A132" s="2855"/>
      <c r="D132" s="3164"/>
      <c r="K132" s="686"/>
      <c r="L132" s="686"/>
    </row>
    <row r="133" s="2088" customFormat="1" spans="1:12">
      <c r="A133" s="2855"/>
      <c r="D133" s="3164"/>
      <c r="K133" s="686"/>
      <c r="L133" s="686"/>
    </row>
    <row r="134" s="2953" customFormat="1" spans="1:12">
      <c r="A134" s="3165"/>
      <c r="D134" s="3166"/>
      <c r="K134" s="585"/>
      <c r="L134" s="585"/>
    </row>
    <row r="135" s="2953" customFormat="1" spans="1:12">
      <c r="A135" s="3165"/>
      <c r="D135" s="3166"/>
      <c r="K135" s="585"/>
      <c r="L135" s="585"/>
    </row>
    <row r="136" s="2953" customFormat="1" spans="1:12">
      <c r="A136" s="3165"/>
      <c r="D136" s="3166"/>
      <c r="K136" s="585"/>
      <c r="L136" s="585"/>
    </row>
    <row r="137" s="2953" customFormat="1" spans="1:12">
      <c r="A137" s="3165"/>
      <c r="D137" s="3166"/>
      <c r="K137" s="585"/>
      <c r="L137" s="585"/>
    </row>
    <row r="138" s="2953" customFormat="1" spans="1:12">
      <c r="A138" s="3165"/>
      <c r="D138" s="3166"/>
      <c r="K138" s="585"/>
      <c r="L138" s="585"/>
    </row>
    <row r="139" s="2953" customFormat="1" spans="1:12">
      <c r="A139" s="3165"/>
      <c r="D139" s="3166"/>
      <c r="K139" s="585"/>
      <c r="L139" s="585"/>
    </row>
    <row r="140" s="2953" customFormat="1" spans="1:12">
      <c r="A140" s="3165"/>
      <c r="D140" s="3166"/>
      <c r="K140" s="585"/>
      <c r="L140" s="585"/>
    </row>
    <row r="141" s="2953" customFormat="1" spans="1:12">
      <c r="A141" s="3165"/>
      <c r="D141" s="3166"/>
      <c r="K141" s="585"/>
      <c r="L141" s="585"/>
    </row>
    <row r="142" s="2953" customFormat="1" spans="1:12">
      <c r="A142" s="3165"/>
      <c r="D142" s="3166"/>
      <c r="K142" s="585"/>
      <c r="L142" s="585"/>
    </row>
    <row r="143" s="2953" customFormat="1" spans="1:12">
      <c r="A143" s="3165"/>
      <c r="D143" s="3166"/>
      <c r="K143" s="585"/>
      <c r="L143" s="585"/>
    </row>
    <row r="144" s="2953" customFormat="1" spans="1:12">
      <c r="A144" s="3165"/>
      <c r="D144" s="3166"/>
      <c r="K144" s="585"/>
      <c r="L144" s="585"/>
    </row>
    <row r="145" s="2953" customFormat="1" spans="1:12">
      <c r="A145" s="3165"/>
      <c r="D145" s="3166"/>
      <c r="K145" s="585"/>
      <c r="L145" s="585"/>
    </row>
    <row r="146" s="2953" customFormat="1" spans="1:12">
      <c r="A146" s="3165"/>
      <c r="D146" s="3166"/>
      <c r="K146" s="585"/>
      <c r="L146" s="585"/>
    </row>
    <row r="147" s="2953" customFormat="1" spans="1:12">
      <c r="A147" s="3165"/>
      <c r="D147" s="3166"/>
      <c r="K147" s="585"/>
      <c r="L147" s="585"/>
    </row>
    <row r="148" s="2953" customFormat="1" spans="1:12">
      <c r="A148" s="3165"/>
      <c r="D148" s="3166"/>
      <c r="K148" s="585"/>
      <c r="L148" s="585"/>
    </row>
    <row r="149" s="2953" customFormat="1" spans="1:12">
      <c r="A149" s="3165"/>
      <c r="D149" s="3166"/>
      <c r="K149" s="585"/>
      <c r="L149" s="585"/>
    </row>
    <row r="150" s="2953" customFormat="1" spans="1:12">
      <c r="A150" s="3165"/>
      <c r="D150" s="3166"/>
      <c r="K150" s="585"/>
      <c r="L150" s="585"/>
    </row>
    <row r="151" s="2953" customFormat="1" spans="1:12">
      <c r="A151" s="3165"/>
      <c r="D151" s="3166"/>
      <c r="K151" s="585"/>
      <c r="L151" s="585"/>
    </row>
    <row r="152" s="2953" customFormat="1" spans="1:12">
      <c r="A152" s="3165"/>
      <c r="D152" s="3166"/>
      <c r="K152" s="585"/>
      <c r="L152" s="585"/>
    </row>
    <row r="153" s="2953" customFormat="1" spans="1:12">
      <c r="A153" s="3165"/>
      <c r="D153" s="3166"/>
      <c r="K153" s="585"/>
      <c r="L153" s="585"/>
    </row>
    <row r="154" s="2953" customFormat="1" spans="1:12">
      <c r="A154" s="3165"/>
      <c r="D154" s="3166"/>
      <c r="K154" s="585"/>
      <c r="L154" s="585"/>
    </row>
    <row r="155" s="2953" customFormat="1" spans="1:12">
      <c r="A155" s="3165"/>
      <c r="D155" s="3166"/>
      <c r="K155" s="585"/>
      <c r="L155" s="585"/>
    </row>
    <row r="156" s="2953" customFormat="1" spans="1:12">
      <c r="A156" s="3165"/>
      <c r="D156" s="3166"/>
      <c r="K156" s="585"/>
      <c r="L156" s="585"/>
    </row>
    <row r="157" s="2953" customFormat="1" spans="1:12">
      <c r="A157" s="3165"/>
      <c r="D157" s="3166"/>
      <c r="K157" s="585"/>
      <c r="L157" s="585"/>
    </row>
    <row r="158" s="2953" customFormat="1" spans="1:12">
      <c r="A158" s="3165"/>
      <c r="D158" s="3166"/>
      <c r="K158" s="585"/>
      <c r="L158" s="585"/>
    </row>
    <row r="159" s="2953" customFormat="1" spans="1:12">
      <c r="A159" s="3165"/>
      <c r="D159" s="3166"/>
      <c r="K159" s="585"/>
      <c r="L159" s="585"/>
    </row>
    <row r="160" s="2953" customFormat="1" spans="1:12">
      <c r="A160" s="3165"/>
      <c r="D160" s="3166"/>
      <c r="K160" s="585"/>
      <c r="L160" s="585"/>
    </row>
    <row r="161" s="2953" customFormat="1" spans="1:12">
      <c r="A161" s="3165"/>
      <c r="D161" s="3166"/>
      <c r="K161" s="585"/>
      <c r="L161" s="585"/>
    </row>
    <row r="162" s="2953" customFormat="1" spans="1:12">
      <c r="A162" s="3165"/>
      <c r="D162" s="3166"/>
      <c r="K162" s="585"/>
      <c r="L162" s="585"/>
    </row>
    <row r="163" s="2953" customFormat="1" spans="1:12">
      <c r="A163" s="3165"/>
      <c r="D163" s="3166"/>
      <c r="K163" s="585"/>
      <c r="L163" s="585"/>
    </row>
    <row r="164" s="2953" customFormat="1" spans="1:12">
      <c r="A164" s="3165"/>
      <c r="D164" s="3166"/>
      <c r="K164" s="585"/>
      <c r="L164" s="585"/>
    </row>
    <row r="165" s="2953" customFormat="1" spans="1:12">
      <c r="A165" s="3165"/>
      <c r="D165" s="3166"/>
      <c r="K165" s="585"/>
      <c r="L165" s="585"/>
    </row>
    <row r="166" s="2953" customFormat="1" spans="1:12">
      <c r="A166" s="3165"/>
      <c r="D166" s="3166"/>
      <c r="K166" s="585"/>
      <c r="L166" s="585"/>
    </row>
    <row r="167" s="2953" customFormat="1" spans="1:12">
      <c r="A167" s="3165"/>
      <c r="D167" s="3166"/>
      <c r="K167" s="585"/>
      <c r="L167" s="585"/>
    </row>
    <row r="168" s="2953" customFormat="1" spans="1:12">
      <c r="A168" s="3165"/>
      <c r="D168" s="3166"/>
      <c r="K168" s="585"/>
      <c r="L168" s="585"/>
    </row>
    <row r="169" s="2953" customFormat="1" spans="1:12">
      <c r="A169" s="3165"/>
      <c r="D169" s="3166"/>
      <c r="K169" s="585"/>
      <c r="L169" s="585"/>
    </row>
    <row r="170" s="2953" customFormat="1" spans="1:12">
      <c r="A170" s="3165"/>
      <c r="D170" s="3166"/>
      <c r="K170" s="585"/>
      <c r="L170" s="585"/>
    </row>
    <row r="171" s="2953" customFormat="1" spans="1:12">
      <c r="A171" s="3165"/>
      <c r="D171" s="3166"/>
      <c r="K171" s="585"/>
      <c r="L171" s="585"/>
    </row>
    <row r="172" s="2953" customFormat="1" spans="1:12">
      <c r="A172" s="3165"/>
      <c r="D172" s="3166"/>
      <c r="K172" s="585"/>
      <c r="L172" s="585"/>
    </row>
    <row r="173" s="2953" customFormat="1" spans="1:12">
      <c r="A173" s="3165"/>
      <c r="D173" s="3166"/>
      <c r="K173" s="585"/>
      <c r="L173" s="585"/>
    </row>
    <row r="174" s="2953" customFormat="1" spans="1:12">
      <c r="A174" s="3165"/>
      <c r="D174" s="3166"/>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8" r:id="rId3" display="https://xtm.taizhou.gov.cn/dwzw/dzqk/zfgb/2019nd9q/szfbgswj/art/2023/art_6e46f7c0a6cf478f96ea4e1c1ffd66c5.html"/>
    <hyperlink ref="D54" r:id="rId4" display="https://jiangsu.chinatax.gov.cn/art/2019/3/26/art_8540_23824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9" customWidth="1"/>
    <col min="2" max="2" width="24.5" style="2880" customWidth="1"/>
    <col min="3" max="3" width="24.5" style="2881" customWidth="1"/>
    <col min="4" max="4" width="2.62727272727273" style="2881" customWidth="1"/>
    <col min="5" max="5" width="5.87272727272727" style="2881" customWidth="1"/>
    <col min="6" max="6" width="27" style="2880" customWidth="1"/>
    <col min="7" max="7" width="27" style="2882" customWidth="1"/>
    <col min="8" max="8" width="11.8727272727273" style="2883" customWidth="1"/>
    <col min="9" max="9" width="16.7545454545455" style="2884" customWidth="1"/>
    <col min="10" max="10" width="2.62727272727273" style="2883" customWidth="1"/>
    <col min="11" max="11" width="11.8727272727273" style="2883" customWidth="1"/>
    <col min="12" max="12" width="16.7545454545455" style="2884" customWidth="1"/>
    <col min="13" max="13" width="2.62727272727273" style="2883" customWidth="1"/>
    <col min="14" max="14" width="11.8727272727273" style="2883" customWidth="1"/>
    <col min="15" max="15" width="16.7545454545455" style="2884" customWidth="1"/>
    <col min="16" max="16" width="2.62727272727273" style="2883" customWidth="1"/>
    <col min="17" max="17" width="11.8727272727273" style="2883" customWidth="1"/>
    <col min="18" max="18" width="16.7545454545455" style="2885" customWidth="1"/>
    <col min="19" max="29" width="9" style="2005"/>
    <col min="30" max="16384" width="9" style="2879"/>
  </cols>
  <sheetData>
    <row r="1" s="2877" customFormat="1" ht="18.75" spans="1:29">
      <c r="A1" s="2886" t="s">
        <v>730</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75" spans="1:18">
      <c r="A2" s="2889"/>
      <c r="B2" s="2890"/>
      <c r="C2" s="2891" t="s">
        <v>731</v>
      </c>
      <c r="D2" s="2892"/>
      <c r="E2" s="2889"/>
      <c r="F2" s="2893"/>
      <c r="G2" s="2891" t="s">
        <v>732</v>
      </c>
      <c r="H2" s="2005"/>
      <c r="I2" s="2005"/>
      <c r="J2" s="2005"/>
      <c r="K2" s="2005"/>
      <c r="L2" s="2005"/>
      <c r="M2" s="2005"/>
      <c r="N2" s="2005"/>
      <c r="O2" s="2005"/>
      <c r="P2" s="2005"/>
      <c r="Q2" s="2005"/>
      <c r="R2" s="2005"/>
    </row>
    <row r="3" ht="52" spans="1:18">
      <c r="A3" s="2894" t="s">
        <v>733</v>
      </c>
      <c r="B3" s="2895" t="s">
        <v>734</v>
      </c>
      <c r="C3" s="2896" t="s">
        <v>735</v>
      </c>
      <c r="D3" s="2897"/>
      <c r="E3" s="2898" t="s">
        <v>733</v>
      </c>
      <c r="F3" s="2899" t="s">
        <v>736</v>
      </c>
      <c r="G3" s="2900" t="s">
        <v>737</v>
      </c>
      <c r="H3" s="2005"/>
      <c r="I3" s="2005"/>
      <c r="J3" s="2005"/>
      <c r="K3" s="2005"/>
      <c r="L3" s="2005"/>
      <c r="M3" s="2005"/>
      <c r="N3" s="2005"/>
      <c r="O3" s="2005"/>
      <c r="P3" s="2005"/>
      <c r="Q3" s="2005"/>
      <c r="R3" s="2005"/>
    </row>
    <row r="4" ht="39" spans="1:18">
      <c r="A4" s="2898"/>
      <c r="B4" s="1751" t="s">
        <v>738</v>
      </c>
      <c r="C4" s="2901" t="s">
        <v>739</v>
      </c>
      <c r="D4" s="2897"/>
      <c r="E4" s="2902"/>
      <c r="F4" s="1980" t="s">
        <v>740</v>
      </c>
      <c r="G4" s="2903" t="s">
        <v>741</v>
      </c>
      <c r="H4" s="2005"/>
      <c r="I4" s="2005"/>
      <c r="J4" s="2005"/>
      <c r="K4" s="2005"/>
      <c r="L4" s="2005"/>
      <c r="M4" s="2005"/>
      <c r="N4" s="2005"/>
      <c r="O4" s="2005"/>
      <c r="P4" s="2005"/>
      <c r="Q4" s="2005"/>
      <c r="R4" s="2005"/>
    </row>
    <row r="5" ht="39" spans="1:18">
      <c r="A5" s="2898"/>
      <c r="B5" s="1751" t="s">
        <v>742</v>
      </c>
      <c r="C5" s="2901" t="s">
        <v>743</v>
      </c>
      <c r="D5" s="2897"/>
      <c r="E5" s="2902"/>
      <c r="F5" s="1751" t="s">
        <v>551</v>
      </c>
      <c r="G5" s="2903" t="s">
        <v>744</v>
      </c>
      <c r="H5" s="2005"/>
      <c r="I5" s="2005"/>
      <c r="J5" s="2005"/>
      <c r="K5" s="2005"/>
      <c r="L5" s="2005"/>
      <c r="M5" s="2005"/>
      <c r="N5" s="2005"/>
      <c r="O5" s="2005"/>
      <c r="P5" s="2005"/>
      <c r="Q5" s="2005"/>
      <c r="R5" s="2005"/>
    </row>
    <row r="6" ht="39" spans="1:18">
      <c r="A6" s="2898"/>
      <c r="B6" s="1751" t="s">
        <v>740</v>
      </c>
      <c r="C6" s="2903" t="s">
        <v>741</v>
      </c>
      <c r="D6" s="2897"/>
      <c r="E6" s="2902"/>
      <c r="F6" s="1751" t="s">
        <v>745</v>
      </c>
      <c r="G6" s="2903" t="s">
        <v>746</v>
      </c>
      <c r="H6" s="2005"/>
      <c r="I6" s="2005"/>
      <c r="J6" s="2005"/>
      <c r="K6" s="2005"/>
      <c r="L6" s="2005"/>
      <c r="M6" s="2005"/>
      <c r="N6" s="2005"/>
      <c r="O6" s="2005"/>
      <c r="P6" s="2005"/>
      <c r="Q6" s="2005"/>
      <c r="R6" s="2005"/>
    </row>
    <row r="7" ht="39.75" spans="1:18">
      <c r="A7" s="2898"/>
      <c r="B7" s="1751" t="s">
        <v>551</v>
      </c>
      <c r="C7" s="2903" t="s">
        <v>744</v>
      </c>
      <c r="D7" s="2904"/>
      <c r="E7" s="2905"/>
      <c r="F7" s="2906" t="s">
        <v>747</v>
      </c>
      <c r="G7" s="2907" t="s">
        <v>748</v>
      </c>
      <c r="H7" s="2005"/>
      <c r="I7" s="2005"/>
      <c r="J7" s="2005"/>
      <c r="K7" s="2005"/>
      <c r="L7" s="2005"/>
      <c r="M7" s="2005"/>
      <c r="N7" s="2005"/>
      <c r="O7" s="2005"/>
      <c r="P7" s="2005"/>
      <c r="Q7" s="2005"/>
      <c r="R7" s="2005"/>
    </row>
    <row r="8" ht="26" spans="1:18">
      <c r="A8" s="2898"/>
      <c r="B8" s="1751" t="s">
        <v>745</v>
      </c>
      <c r="C8" s="2903" t="s">
        <v>746</v>
      </c>
      <c r="D8" s="2904"/>
      <c r="E8" s="2904"/>
      <c r="F8" s="1873"/>
      <c r="G8" s="1873"/>
      <c r="H8" s="2005"/>
      <c r="I8" s="2005"/>
      <c r="J8" s="2005"/>
      <c r="K8" s="2005"/>
      <c r="L8" s="2005"/>
      <c r="M8" s="2005"/>
      <c r="N8" s="2005"/>
      <c r="O8" s="2005"/>
      <c r="P8" s="2005"/>
      <c r="Q8" s="2005"/>
      <c r="R8" s="2005"/>
    </row>
    <row r="9" ht="26" spans="1:18">
      <c r="A9" s="2898"/>
      <c r="B9" s="1751" t="s">
        <v>749</v>
      </c>
      <c r="C9" s="2901" t="s">
        <v>750</v>
      </c>
      <c r="D9" s="2897"/>
      <c r="E9" s="2904"/>
      <c r="F9" s="1873"/>
      <c r="G9" s="1873"/>
      <c r="H9" s="2005"/>
      <c r="I9" s="2005"/>
      <c r="J9" s="2005"/>
      <c r="K9" s="2005"/>
      <c r="L9" s="2005"/>
      <c r="M9" s="2005"/>
      <c r="N9" s="2005"/>
      <c r="O9" s="2005"/>
      <c r="P9" s="2005"/>
      <c r="Q9" s="2005"/>
      <c r="R9" s="2005"/>
    </row>
    <row r="10" s="2878" customFormat="1" ht="14.75" spans="1:29">
      <c r="A10" s="2908"/>
      <c r="B10" s="2909" t="s">
        <v>751</v>
      </c>
      <c r="C10" s="2910"/>
      <c r="D10" s="2897"/>
      <c r="E10" s="2897"/>
      <c r="F10" s="1873"/>
      <c r="G10" s="1873"/>
      <c r="H10" s="2911"/>
      <c r="I10" s="2941"/>
      <c r="J10" s="2942"/>
      <c r="K10" s="2911"/>
      <c r="L10" s="2941"/>
      <c r="M10" s="2942"/>
      <c r="N10" s="2911"/>
      <c r="O10" s="2941"/>
      <c r="P10" s="2942"/>
      <c r="Q10" s="2911"/>
      <c r="R10" s="2941"/>
      <c r="S10" s="2005"/>
      <c r="T10" s="2005"/>
      <c r="U10" s="2005"/>
      <c r="V10" s="2005"/>
      <c r="W10" s="2005"/>
      <c r="X10" s="2005"/>
      <c r="Y10" s="2005"/>
      <c r="Z10" s="2005"/>
      <c r="AA10" s="2005"/>
      <c r="AB10" s="2005"/>
      <c r="AC10" s="2005"/>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005"/>
      <c r="T11" s="2005"/>
      <c r="U11" s="2005"/>
      <c r="V11" s="2005"/>
      <c r="W11" s="2005"/>
      <c r="X11" s="2005"/>
      <c r="Y11" s="2005"/>
      <c r="Z11" s="2005"/>
      <c r="AA11" s="2005"/>
      <c r="AB11" s="2005"/>
      <c r="AC11" s="2005"/>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4.75" spans="1:7">
      <c r="A13" s="2916" t="s">
        <v>752</v>
      </c>
      <c r="B13" s="2914"/>
      <c r="C13" s="2914"/>
      <c r="D13" s="2912"/>
      <c r="E13" s="2914"/>
      <c r="F13" s="2914"/>
      <c r="G13" s="2914"/>
    </row>
    <row r="14" ht="14.75" spans="1:7">
      <c r="A14" s="2917"/>
      <c r="B14" s="2917"/>
      <c r="C14" s="2918" t="s">
        <v>731</v>
      </c>
      <c r="D14" s="2897"/>
      <c r="E14" s="2919"/>
      <c r="F14" s="2919"/>
      <c r="G14" s="2891" t="s">
        <v>732</v>
      </c>
    </row>
    <row r="15" ht="52" spans="1:7">
      <c r="A15" s="2920" t="s">
        <v>733</v>
      </c>
      <c r="B15" s="2921" t="s">
        <v>734</v>
      </c>
      <c r="C15" s="2922" t="str">
        <f>C3</f>
        <v>估价对象周边居住用地比例、居住小区规模和社区发展完善程度，综合评价居住社区成熟度一般</v>
      </c>
      <c r="D15" s="2897"/>
      <c r="E15" s="2923" t="s">
        <v>733</v>
      </c>
      <c r="F15" s="2921" t="s">
        <v>736</v>
      </c>
      <c r="G15" s="2924" t="str">
        <f>G3</f>
        <v>估价对象位于XX开发区，园区建设成熟度XX，产业集聚程度XX</v>
      </c>
    </row>
    <row r="16" ht="39" spans="1:7">
      <c r="A16" s="2925"/>
      <c r="B16" s="2926" t="s">
        <v>738</v>
      </c>
      <c r="C16" s="2927" t="str">
        <f>C4</f>
        <v>估价对象位于XX商圈，周边商业氛围成熟，人流量大，商业繁华度好</v>
      </c>
      <c r="D16" s="2897"/>
      <c r="E16" s="2928"/>
      <c r="F16" s="2929" t="s">
        <v>740</v>
      </c>
      <c r="G16" s="2930" t="str">
        <f>G4</f>
        <v>估价对象周边道路状况、公共交通通达情况、停车便捷程度，综合评价交通便捷度较好</v>
      </c>
    </row>
    <row r="17" ht="39" spans="1:7">
      <c r="A17" s="2925"/>
      <c r="B17" s="2926" t="s">
        <v>742</v>
      </c>
      <c r="C17" s="2927" t="str">
        <f>C5</f>
        <v>估价对象位于XX商圈，周边办公楼项目较多，入驻率高，办公集聚程度较好</v>
      </c>
      <c r="D17" s="2904"/>
      <c r="E17" s="2928"/>
      <c r="F17" s="2929" t="s">
        <v>753</v>
      </c>
      <c r="G17" s="2931"/>
    </row>
    <row r="18" ht="39" spans="1:7">
      <c r="A18" s="2925"/>
      <c r="B18" s="2929" t="s">
        <v>740</v>
      </c>
      <c r="C18" s="2930" t="str">
        <f>C6</f>
        <v>估价对象周边道路状况、公共交通通达情况、停车便捷程度，综合评价交通便捷度较好</v>
      </c>
      <c r="D18" s="2904"/>
      <c r="E18" s="2928"/>
      <c r="F18" s="2929" t="s">
        <v>747</v>
      </c>
      <c r="G18" s="2930" t="str">
        <f>G7</f>
        <v>该园区内是否有污染型企业，绿化情况，卫生条件，整体环境状况判断</v>
      </c>
    </row>
    <row r="19" ht="26" spans="1:7">
      <c r="A19" s="2925"/>
      <c r="B19" s="2929" t="s">
        <v>753</v>
      </c>
      <c r="C19" s="2931"/>
      <c r="D19" s="2897"/>
      <c r="E19" s="2928"/>
      <c r="F19" s="1751" t="s">
        <v>551</v>
      </c>
      <c r="G19" s="2930" t="str">
        <f>G5</f>
        <v>估价对象所在区域公共配套设施齐备情况</v>
      </c>
    </row>
    <row r="20" ht="26" spans="1:7">
      <c r="A20" s="2925"/>
      <c r="B20" s="2929" t="s">
        <v>754</v>
      </c>
      <c r="C20" s="2927" t="str">
        <f>C9</f>
        <v>区域自然环境：；人文环境；综合评价环境状况一般</v>
      </c>
      <c r="D20" s="2904"/>
      <c r="E20" s="2928"/>
      <c r="F20" s="1751" t="s">
        <v>745</v>
      </c>
      <c r="G20" s="2930" t="str">
        <f>G6</f>
        <v>估价对象所在区域基础设施水平</v>
      </c>
    </row>
    <row r="21" ht="26" spans="1:7">
      <c r="A21" s="2925"/>
      <c r="B21" s="1751" t="s">
        <v>551</v>
      </c>
      <c r="C21" s="2930" t="str">
        <f>C7</f>
        <v>估价对象所在区域公共配套设施齐备情况</v>
      </c>
      <c r="D21" s="2897"/>
      <c r="E21" s="2928"/>
      <c r="F21" s="2929" t="s">
        <v>755</v>
      </c>
      <c r="G21" s="2932"/>
    </row>
    <row r="22" ht="13.5" customHeight="1" spans="1:7">
      <c r="A22" s="2925"/>
      <c r="B22" s="1751" t="s">
        <v>745</v>
      </c>
      <c r="C22" s="2930" t="str">
        <f>C8</f>
        <v>估价对象所在区域基础设施水平</v>
      </c>
      <c r="D22" s="2897"/>
      <c r="E22" s="2928"/>
      <c r="F22" s="2929" t="s">
        <v>751</v>
      </c>
      <c r="G22" s="2931"/>
    </row>
    <row r="23" s="2005" customFormat="1" ht="14.75" spans="1:18">
      <c r="A23" s="2925"/>
      <c r="B23" s="2929" t="s">
        <v>755</v>
      </c>
      <c r="C23" s="2932"/>
      <c r="D23" s="2855"/>
      <c r="E23" s="2933"/>
      <c r="F23" s="2934" t="s">
        <v>498</v>
      </c>
      <c r="G23" s="2935"/>
      <c r="H23" s="2883"/>
      <c r="I23" s="2884"/>
      <c r="J23" s="2883"/>
      <c r="K23" s="2883"/>
      <c r="L23" s="2884"/>
      <c r="M23" s="2883"/>
      <c r="N23" s="2883"/>
      <c r="O23" s="2884"/>
      <c r="P23" s="2883"/>
      <c r="Q23" s="2883"/>
      <c r="R23" s="2885"/>
    </row>
    <row r="24" s="2005" customFormat="1" ht="14.75" spans="1:18">
      <c r="A24" s="2936"/>
      <c r="B24" s="2934" t="s">
        <v>751</v>
      </c>
      <c r="C24" s="2937">
        <f>C10</f>
        <v>0</v>
      </c>
      <c r="D24" s="2855"/>
      <c r="E24" s="2938"/>
      <c r="F24" s="2938"/>
      <c r="G24" s="2939"/>
      <c r="H24" s="2883"/>
      <c r="I24" s="2884"/>
      <c r="J24" s="2883"/>
      <c r="K24" s="2883"/>
      <c r="L24" s="2884"/>
      <c r="M24" s="2883"/>
      <c r="N24" s="2883"/>
      <c r="O24" s="2884"/>
      <c r="P24" s="2883"/>
      <c r="Q24" s="2883"/>
      <c r="R24" s="2885"/>
    </row>
    <row r="25" s="2005" customFormat="1" spans="2:18">
      <c r="B25" s="2883"/>
      <c r="C25" s="2883"/>
      <c r="D25" s="2883"/>
      <c r="H25" s="2883"/>
      <c r="I25" s="2884"/>
      <c r="J25" s="2883"/>
      <c r="K25" s="2883"/>
      <c r="L25" s="2884"/>
      <c r="M25" s="2883"/>
      <c r="N25" s="2883"/>
      <c r="O25" s="2884"/>
      <c r="P25" s="2883"/>
      <c r="Q25" s="2883"/>
      <c r="R25" s="2885"/>
    </row>
    <row r="26" s="2005" customFormat="1" spans="2:18">
      <c r="B26" s="2883"/>
      <c r="C26" s="2883"/>
      <c r="D26" s="2883"/>
      <c r="H26" s="2883"/>
      <c r="I26" s="2884"/>
      <c r="J26" s="2883"/>
      <c r="K26" s="2883"/>
      <c r="L26" s="2884"/>
      <c r="M26" s="2883"/>
      <c r="N26" s="2883"/>
      <c r="O26" s="2884"/>
      <c r="P26" s="2883"/>
      <c r="Q26" s="2883"/>
      <c r="R26" s="2885"/>
    </row>
    <row r="27" s="2005" customFormat="1" spans="2:18">
      <c r="B27" s="2883"/>
      <c r="C27" s="2883"/>
      <c r="D27" s="2883"/>
      <c r="H27" s="2883"/>
      <c r="I27" s="2884"/>
      <c r="J27" s="2883"/>
      <c r="K27" s="2883"/>
      <c r="L27" s="2884"/>
      <c r="M27" s="2883"/>
      <c r="N27" s="2883"/>
      <c r="O27" s="2884"/>
      <c r="P27" s="2883"/>
      <c r="Q27" s="2883"/>
      <c r="R27" s="2885"/>
    </row>
    <row r="28" s="2005" customFormat="1" spans="2:18">
      <c r="B28" s="2883"/>
      <c r="C28" s="2883"/>
      <c r="D28" s="2883"/>
      <c r="H28" s="2883"/>
      <c r="I28" s="2884"/>
      <c r="J28" s="2883"/>
      <c r="K28" s="2883"/>
      <c r="L28" s="2884"/>
      <c r="M28" s="2883"/>
      <c r="N28" s="2883"/>
      <c r="O28" s="2884"/>
      <c r="P28" s="2883"/>
      <c r="Q28" s="2883"/>
      <c r="R28" s="2885"/>
    </row>
    <row r="29" s="2005" customFormat="1" spans="2:18">
      <c r="B29" s="2883"/>
      <c r="C29" s="2883"/>
      <c r="D29" s="2883"/>
      <c r="H29" s="2883"/>
      <c r="I29" s="2884"/>
      <c r="J29" s="2883"/>
      <c r="K29" s="2883"/>
      <c r="L29" s="2884"/>
      <c r="M29" s="2883"/>
      <c r="N29" s="2883"/>
      <c r="O29" s="2884"/>
      <c r="P29" s="2883"/>
      <c r="Q29" s="2883"/>
      <c r="R29" s="2885"/>
    </row>
    <row r="30" s="2005" customFormat="1" spans="2:18">
      <c r="B30" s="2883"/>
      <c r="C30" s="2883"/>
      <c r="D30" s="2883"/>
      <c r="H30" s="2883"/>
      <c r="I30" s="2884"/>
      <c r="J30" s="2883"/>
      <c r="K30" s="2883"/>
      <c r="L30" s="2884"/>
      <c r="M30" s="2883"/>
      <c r="N30" s="2883"/>
      <c r="O30" s="2884"/>
      <c r="P30" s="2883"/>
      <c r="Q30" s="2883"/>
      <c r="R30" s="2885"/>
    </row>
    <row r="31" s="2005" customFormat="1" spans="2:18">
      <c r="B31" s="2883"/>
      <c r="C31" s="2883"/>
      <c r="D31" s="2883"/>
      <c r="H31" s="2883"/>
      <c r="I31" s="2884"/>
      <c r="J31" s="2883"/>
      <c r="K31" s="2883"/>
      <c r="L31" s="2884"/>
      <c r="M31" s="2883"/>
      <c r="N31" s="2883"/>
      <c r="O31" s="2884"/>
      <c r="P31" s="2883"/>
      <c r="Q31" s="2883"/>
      <c r="R31" s="2885"/>
    </row>
    <row r="32" s="2005" customFormat="1" spans="2:18">
      <c r="B32" s="2883"/>
      <c r="C32" s="2883"/>
      <c r="D32" s="2883"/>
      <c r="H32" s="2883"/>
      <c r="I32" s="2884"/>
      <c r="J32" s="2883"/>
      <c r="K32" s="2883"/>
      <c r="L32" s="2884"/>
      <c r="M32" s="2883"/>
      <c r="N32" s="2883"/>
      <c r="O32" s="2884"/>
      <c r="P32" s="2883"/>
      <c r="Q32" s="2883"/>
      <c r="R32" s="2885"/>
    </row>
    <row r="33" s="2005" customFormat="1" spans="2:18">
      <c r="B33" s="2883"/>
      <c r="C33" s="2883"/>
      <c r="D33" s="2883"/>
      <c r="H33" s="2883"/>
      <c r="I33" s="2884"/>
      <c r="J33" s="2883"/>
      <c r="K33" s="2883"/>
      <c r="L33" s="2884"/>
      <c r="M33" s="2883"/>
      <c r="N33" s="2883"/>
      <c r="O33" s="2884"/>
      <c r="P33" s="2883"/>
      <c r="Q33" s="2883"/>
      <c r="R33" s="2885"/>
    </row>
    <row r="34" s="2005" customFormat="1" spans="2:18">
      <c r="B34" s="2883"/>
      <c r="C34" s="2883"/>
      <c r="D34" s="2883"/>
      <c r="H34" s="2883"/>
      <c r="I34" s="2884"/>
      <c r="J34" s="2883"/>
      <c r="K34" s="2883"/>
      <c r="L34" s="2884"/>
      <c r="M34" s="2883"/>
      <c r="N34" s="2883"/>
      <c r="O34" s="2884"/>
      <c r="P34" s="2883"/>
      <c r="Q34" s="2883"/>
      <c r="R34" s="2885"/>
    </row>
    <row r="35" s="2005" customFormat="1" spans="2:18">
      <c r="B35" s="2883"/>
      <c r="C35" s="2883"/>
      <c r="D35" s="2883"/>
      <c r="H35" s="2883"/>
      <c r="I35" s="2884"/>
      <c r="J35" s="2883"/>
      <c r="K35" s="2883"/>
      <c r="L35" s="2884"/>
      <c r="M35" s="2883"/>
      <c r="N35" s="2883"/>
      <c r="O35" s="2884"/>
      <c r="P35" s="2883"/>
      <c r="Q35" s="2883"/>
      <c r="R35" s="2885"/>
    </row>
    <row r="36" s="2005" customFormat="1" spans="2:18">
      <c r="B36" s="2883"/>
      <c r="C36" s="2883"/>
      <c r="D36" s="2883"/>
      <c r="H36" s="2883"/>
      <c r="I36" s="2884"/>
      <c r="J36" s="2883"/>
      <c r="K36" s="2883"/>
      <c r="L36" s="2884"/>
      <c r="M36" s="2883"/>
      <c r="N36" s="2883"/>
      <c r="O36" s="2884"/>
      <c r="P36" s="2883"/>
      <c r="Q36" s="2883"/>
      <c r="R36" s="2885"/>
    </row>
    <row r="37" s="2005" customFormat="1" spans="2:18">
      <c r="B37" s="2883"/>
      <c r="C37" s="2883"/>
      <c r="D37" s="2883"/>
      <c r="H37" s="2883"/>
      <c r="I37" s="2884"/>
      <c r="J37" s="2883"/>
      <c r="K37" s="2883"/>
      <c r="L37" s="2884"/>
      <c r="M37" s="2883"/>
      <c r="N37" s="2883"/>
      <c r="O37" s="2884"/>
      <c r="P37" s="2883"/>
      <c r="Q37" s="2883"/>
      <c r="R37" s="2885"/>
    </row>
    <row r="38" s="2005" customFormat="1" spans="2:18">
      <c r="B38" s="2883"/>
      <c r="C38" s="2883"/>
      <c r="D38" s="2883"/>
      <c r="E38" s="2883"/>
      <c r="F38" s="2883"/>
      <c r="G38" s="2884"/>
      <c r="H38" s="2883"/>
      <c r="I38" s="2884"/>
      <c r="J38" s="2883"/>
      <c r="K38" s="2883"/>
      <c r="L38" s="2884"/>
      <c r="M38" s="2883"/>
      <c r="N38" s="2883"/>
      <c r="O38" s="2884"/>
      <c r="P38" s="2883"/>
      <c r="Q38" s="2883"/>
      <c r="R38" s="2885"/>
    </row>
    <row r="39" s="2005" customFormat="1" spans="2:18">
      <c r="B39" s="2883"/>
      <c r="C39" s="2883"/>
      <c r="D39" s="2883"/>
      <c r="E39" s="2883"/>
      <c r="F39" s="2883"/>
      <c r="G39" s="2884"/>
      <c r="H39" s="2883"/>
      <c r="I39" s="2884"/>
      <c r="J39" s="2883"/>
      <c r="K39" s="2883"/>
      <c r="L39" s="2884"/>
      <c r="M39" s="2883"/>
      <c r="N39" s="2883"/>
      <c r="O39" s="2884"/>
      <c r="P39" s="2883"/>
      <c r="Q39" s="2883"/>
      <c r="R39" s="2885"/>
    </row>
    <row r="40" s="2005" customFormat="1" spans="2:18">
      <c r="B40" s="2883"/>
      <c r="C40" s="2883"/>
      <c r="D40" s="2883"/>
      <c r="E40" s="2883"/>
      <c r="F40" s="2883"/>
      <c r="G40" s="2884"/>
      <c r="H40" s="2883"/>
      <c r="I40" s="2884"/>
      <c r="J40" s="2883"/>
      <c r="K40" s="2883"/>
      <c r="L40" s="2884"/>
      <c r="M40" s="2883"/>
      <c r="N40" s="2883"/>
      <c r="O40" s="2884"/>
      <c r="P40" s="2883"/>
      <c r="Q40" s="2883"/>
      <c r="R40" s="2885"/>
    </row>
    <row r="41" s="2005" customFormat="1" spans="2:18">
      <c r="B41" s="2883"/>
      <c r="C41" s="2883"/>
      <c r="D41" s="2883"/>
      <c r="E41" s="2883"/>
      <c r="F41" s="2883"/>
      <c r="G41" s="2884"/>
      <c r="H41" s="2883"/>
      <c r="I41" s="2884"/>
      <c r="J41" s="2883"/>
      <c r="K41" s="2883"/>
      <c r="L41" s="2884"/>
      <c r="M41" s="2883"/>
      <c r="N41" s="2883"/>
      <c r="O41" s="2884"/>
      <c r="P41" s="2883"/>
      <c r="Q41" s="2883"/>
      <c r="R41" s="2885"/>
    </row>
    <row r="42" s="2005" customFormat="1" spans="2:18">
      <c r="B42" s="2883"/>
      <c r="C42" s="2883"/>
      <c r="D42" s="2883"/>
      <c r="E42" s="2883"/>
      <c r="F42" s="2883"/>
      <c r="G42" s="2884"/>
      <c r="H42" s="2883"/>
      <c r="I42" s="2884"/>
      <c r="J42" s="2883"/>
      <c r="K42" s="2883"/>
      <c r="L42" s="2884"/>
      <c r="M42" s="2883"/>
      <c r="N42" s="2883"/>
      <c r="O42" s="2884"/>
      <c r="P42" s="2883"/>
      <c r="Q42" s="2883"/>
      <c r="R42" s="2885"/>
    </row>
    <row r="43" s="2005" customFormat="1" spans="2:18">
      <c r="B43" s="2883"/>
      <c r="C43" s="2883"/>
      <c r="D43" s="2883"/>
      <c r="E43" s="2883"/>
      <c r="F43" s="2883"/>
      <c r="G43" s="2884"/>
      <c r="H43" s="2883"/>
      <c r="I43" s="2884"/>
      <c r="J43" s="2883"/>
      <c r="K43" s="2883"/>
      <c r="L43" s="2884"/>
      <c r="M43" s="2883"/>
      <c r="N43" s="2883"/>
      <c r="O43" s="2884"/>
      <c r="P43" s="2883"/>
      <c r="Q43" s="2883"/>
      <c r="R43" s="2885"/>
    </row>
    <row r="44" s="2005" customFormat="1" spans="2:18">
      <c r="B44" s="2883"/>
      <c r="C44" s="2883"/>
      <c r="D44" s="2883"/>
      <c r="E44" s="2883"/>
      <c r="F44" s="2883"/>
      <c r="G44" s="2884"/>
      <c r="H44" s="2883"/>
      <c r="I44" s="2884"/>
      <c r="J44" s="2883"/>
      <c r="K44" s="2883"/>
      <c r="L44" s="2884"/>
      <c r="M44" s="2883"/>
      <c r="N44" s="2883"/>
      <c r="O44" s="2884"/>
      <c r="P44" s="2883"/>
      <c r="Q44" s="2883"/>
      <c r="R44" s="2885"/>
    </row>
    <row r="45" s="2005" customFormat="1" spans="2:18">
      <c r="B45" s="2883"/>
      <c r="C45" s="2883"/>
      <c r="D45" s="2883"/>
      <c r="E45" s="2883"/>
      <c r="F45" s="2883"/>
      <c r="G45" s="2884"/>
      <c r="H45" s="2883"/>
      <c r="I45" s="2884"/>
      <c r="J45" s="2883"/>
      <c r="K45" s="2883"/>
      <c r="L45" s="2884"/>
      <c r="M45" s="2883"/>
      <c r="N45" s="2883"/>
      <c r="O45" s="2884"/>
      <c r="P45" s="2883"/>
      <c r="Q45" s="2883"/>
      <c r="R45" s="2885"/>
    </row>
    <row r="46" s="2005" customFormat="1" spans="2:18">
      <c r="B46" s="2883"/>
      <c r="C46" s="2883"/>
      <c r="D46" s="2883"/>
      <c r="E46" s="2883"/>
      <c r="F46" s="2883"/>
      <c r="G46" s="2884"/>
      <c r="H46" s="2883"/>
      <c r="I46" s="2884"/>
      <c r="J46" s="2883"/>
      <c r="K46" s="2883"/>
      <c r="L46" s="2884"/>
      <c r="M46" s="2883"/>
      <c r="N46" s="2883"/>
      <c r="O46" s="2884"/>
      <c r="P46" s="2883"/>
      <c r="Q46" s="2883"/>
      <c r="R46" s="2885"/>
    </row>
    <row r="47" s="2005" customFormat="1" spans="2:18">
      <c r="B47" s="2883"/>
      <c r="C47" s="2883"/>
      <c r="D47" s="2883"/>
      <c r="E47" s="2883"/>
      <c r="F47" s="2883"/>
      <c r="G47" s="2884"/>
      <c r="H47" s="2883"/>
      <c r="I47" s="2884"/>
      <c r="J47" s="2883"/>
      <c r="K47" s="2883"/>
      <c r="L47" s="2884"/>
      <c r="M47" s="2883"/>
      <c r="N47" s="2883"/>
      <c r="O47" s="2884"/>
      <c r="P47" s="2883"/>
      <c r="Q47" s="2883"/>
      <c r="R47" s="2885"/>
    </row>
    <row r="48" s="2005" customFormat="1" spans="2:18">
      <c r="B48" s="2883"/>
      <c r="C48" s="2883"/>
      <c r="D48" s="2883"/>
      <c r="E48" s="2883"/>
      <c r="F48" s="2883"/>
      <c r="G48" s="2884"/>
      <c r="H48" s="2883"/>
      <c r="I48" s="2884"/>
      <c r="J48" s="2883"/>
      <c r="K48" s="2883"/>
      <c r="L48" s="2884"/>
      <c r="M48" s="2883"/>
      <c r="N48" s="2883"/>
      <c r="O48" s="2884"/>
      <c r="P48" s="2883"/>
      <c r="Q48" s="2883"/>
      <c r="R48" s="2885"/>
    </row>
    <row r="49" s="2005" customFormat="1" spans="2:18">
      <c r="B49" s="2883"/>
      <c r="C49" s="2883"/>
      <c r="D49" s="2883"/>
      <c r="E49" s="2883"/>
      <c r="F49" s="2883"/>
      <c r="G49" s="2884"/>
      <c r="H49" s="2883"/>
      <c r="I49" s="2884"/>
      <c r="J49" s="2883"/>
      <c r="K49" s="2883"/>
      <c r="L49" s="2884"/>
      <c r="M49" s="2883"/>
      <c r="N49" s="2883"/>
      <c r="O49" s="2884"/>
      <c r="P49" s="2883"/>
      <c r="Q49" s="2883"/>
      <c r="R49" s="2885"/>
    </row>
    <row r="50" s="2005" customFormat="1" spans="2:18">
      <c r="B50" s="2883"/>
      <c r="C50" s="2883"/>
      <c r="D50" s="2883"/>
      <c r="E50" s="2883"/>
      <c r="F50" s="2883"/>
      <c r="G50" s="2884"/>
      <c r="H50" s="2883"/>
      <c r="I50" s="2884"/>
      <c r="J50" s="2883"/>
      <c r="K50" s="2883"/>
      <c r="L50" s="2884"/>
      <c r="M50" s="2883"/>
      <c r="N50" s="2883"/>
      <c r="O50" s="2884"/>
      <c r="P50" s="2883"/>
      <c r="Q50" s="2883"/>
      <c r="R50" s="2885"/>
    </row>
    <row r="51" s="2005" customFormat="1" spans="2:18">
      <c r="B51" s="2883"/>
      <c r="C51" s="2883"/>
      <c r="D51" s="2883"/>
      <c r="E51" s="2883"/>
      <c r="F51" s="2883"/>
      <c r="G51" s="2884"/>
      <c r="H51" s="2883"/>
      <c r="I51" s="2884"/>
      <c r="J51" s="2883"/>
      <c r="K51" s="2883"/>
      <c r="L51" s="2884"/>
      <c r="M51" s="2883"/>
      <c r="N51" s="2883"/>
      <c r="O51" s="2884"/>
      <c r="P51" s="2883"/>
      <c r="Q51" s="2883"/>
      <c r="R51" s="2885"/>
    </row>
    <row r="52" s="2005" customFormat="1" spans="2:18">
      <c r="B52" s="2883"/>
      <c r="C52" s="2883"/>
      <c r="D52" s="2883"/>
      <c r="E52" s="2883"/>
      <c r="F52" s="2883"/>
      <c r="G52" s="2884"/>
      <c r="H52" s="2883"/>
      <c r="I52" s="2884"/>
      <c r="J52" s="2883"/>
      <c r="K52" s="2883"/>
      <c r="L52" s="2884"/>
      <c r="M52" s="2883"/>
      <c r="N52" s="2883"/>
      <c r="O52" s="2884"/>
      <c r="P52" s="2883"/>
      <c r="Q52" s="2883"/>
      <c r="R52" s="2885"/>
    </row>
    <row r="53" s="2005" customFormat="1" spans="2:18">
      <c r="B53" s="2883"/>
      <c r="C53" s="2883"/>
      <c r="D53" s="2883"/>
      <c r="E53" s="2883"/>
      <c r="F53" s="2883"/>
      <c r="G53" s="2884"/>
      <c r="H53" s="2883"/>
      <c r="I53" s="2884"/>
      <c r="J53" s="2883"/>
      <c r="K53" s="2883"/>
      <c r="L53" s="2884"/>
      <c r="M53" s="2883"/>
      <c r="N53" s="2883"/>
      <c r="O53" s="2884"/>
      <c r="P53" s="2883"/>
      <c r="Q53" s="2883"/>
      <c r="R53" s="2885"/>
    </row>
    <row r="54" s="2005" customFormat="1" spans="2:18">
      <c r="B54" s="2883"/>
      <c r="C54" s="2883"/>
      <c r="D54" s="2883"/>
      <c r="E54" s="2883"/>
      <c r="F54" s="2883"/>
      <c r="G54" s="2884"/>
      <c r="H54" s="2883"/>
      <c r="I54" s="2884"/>
      <c r="J54" s="2883"/>
      <c r="K54" s="2883"/>
      <c r="L54" s="2884"/>
      <c r="M54" s="2883"/>
      <c r="N54" s="2883"/>
      <c r="O54" s="2884"/>
      <c r="P54" s="2883"/>
      <c r="Q54" s="2883"/>
      <c r="R54" s="2885"/>
    </row>
    <row r="55" s="2005" customFormat="1" spans="2:18">
      <c r="B55" s="2883"/>
      <c r="C55" s="2883"/>
      <c r="D55" s="2883"/>
      <c r="E55" s="2883"/>
      <c r="F55" s="2883"/>
      <c r="G55" s="2884"/>
      <c r="H55" s="2883"/>
      <c r="I55" s="2884"/>
      <c r="J55" s="2883"/>
      <c r="K55" s="2883"/>
      <c r="L55" s="2884"/>
      <c r="M55" s="2883"/>
      <c r="N55" s="2883"/>
      <c r="O55" s="2884"/>
      <c r="P55" s="2883"/>
      <c r="Q55" s="2883"/>
      <c r="R55" s="2885"/>
    </row>
    <row r="56" s="2005" customFormat="1" spans="2:18">
      <c r="B56" s="2883"/>
      <c r="C56" s="2883"/>
      <c r="D56" s="2883"/>
      <c r="E56" s="2883"/>
      <c r="F56" s="2883"/>
      <c r="G56" s="2884"/>
      <c r="H56" s="2883"/>
      <c r="I56" s="2884"/>
      <c r="J56" s="2883"/>
      <c r="K56" s="2883"/>
      <c r="L56" s="2884"/>
      <c r="M56" s="2883"/>
      <c r="N56" s="2883"/>
      <c r="O56" s="2884"/>
      <c r="P56" s="2883"/>
      <c r="Q56" s="2883"/>
      <c r="R56" s="2885"/>
    </row>
    <row r="57" s="2005" customFormat="1" spans="2:18">
      <c r="B57" s="2883"/>
      <c r="C57" s="2883"/>
      <c r="D57" s="2883"/>
      <c r="E57" s="2883"/>
      <c r="F57" s="2883"/>
      <c r="G57" s="2884"/>
      <c r="H57" s="2883"/>
      <c r="I57" s="2884"/>
      <c r="J57" s="2883"/>
      <c r="K57" s="2883"/>
      <c r="L57" s="2884"/>
      <c r="M57" s="2883"/>
      <c r="N57" s="2883"/>
      <c r="O57" s="2884"/>
      <c r="P57" s="2883"/>
      <c r="Q57" s="2883"/>
      <c r="R57" s="2885"/>
    </row>
    <row r="58" s="2005" customFormat="1" spans="2:18">
      <c r="B58" s="2883"/>
      <c r="C58" s="2883"/>
      <c r="D58" s="2883"/>
      <c r="E58" s="2883"/>
      <c r="F58" s="2883"/>
      <c r="G58" s="2884"/>
      <c r="H58" s="2883"/>
      <c r="I58" s="2884"/>
      <c r="J58" s="2883"/>
      <c r="K58" s="2883"/>
      <c r="L58" s="2884"/>
      <c r="M58" s="2883"/>
      <c r="N58" s="2883"/>
      <c r="O58" s="2884"/>
      <c r="P58" s="2883"/>
      <c r="Q58" s="2883"/>
      <c r="R58" s="2885"/>
    </row>
    <row r="59" s="2005" customFormat="1" spans="2:18">
      <c r="B59" s="2883"/>
      <c r="C59" s="2883"/>
      <c r="D59" s="2883"/>
      <c r="E59" s="2883"/>
      <c r="F59" s="2883"/>
      <c r="G59" s="2884"/>
      <c r="H59" s="2883"/>
      <c r="I59" s="2884"/>
      <c r="J59" s="2883"/>
      <c r="K59" s="2883"/>
      <c r="L59" s="2884"/>
      <c r="M59" s="2883"/>
      <c r="N59" s="2883"/>
      <c r="O59" s="2884"/>
      <c r="P59" s="2883"/>
      <c r="Q59" s="2883"/>
      <c r="R59" s="2885"/>
    </row>
    <row r="60" s="2005" customFormat="1" spans="2:18">
      <c r="B60" s="2883"/>
      <c r="C60" s="2883"/>
      <c r="D60" s="2883"/>
      <c r="E60" s="2883"/>
      <c r="F60" s="2883"/>
      <c r="G60" s="2884"/>
      <c r="H60" s="2883"/>
      <c r="I60" s="2884"/>
      <c r="J60" s="2883"/>
      <c r="K60" s="2883"/>
      <c r="L60" s="2884"/>
      <c r="M60" s="2883"/>
      <c r="N60" s="2883"/>
      <c r="O60" s="2884"/>
      <c r="P60" s="2883"/>
      <c r="Q60" s="2883"/>
      <c r="R60" s="2885"/>
    </row>
    <row r="61" s="2005" customFormat="1" spans="2:18">
      <c r="B61" s="2883"/>
      <c r="C61" s="2883"/>
      <c r="D61" s="2883"/>
      <c r="E61" s="2883"/>
      <c r="F61" s="2883"/>
      <c r="G61" s="2884"/>
      <c r="H61" s="2883"/>
      <c r="I61" s="2884"/>
      <c r="J61" s="2883"/>
      <c r="K61" s="2883"/>
      <c r="L61" s="2884"/>
      <c r="M61" s="2883"/>
      <c r="N61" s="2883"/>
      <c r="O61" s="2884"/>
      <c r="P61" s="2883"/>
      <c r="Q61" s="2883"/>
      <c r="R61" s="2885"/>
    </row>
    <row r="62" s="2005" customFormat="1" spans="2:18">
      <c r="B62" s="2883"/>
      <c r="C62" s="2883"/>
      <c r="D62" s="2883"/>
      <c r="E62" s="2883"/>
      <c r="F62" s="2883"/>
      <c r="G62" s="2884"/>
      <c r="H62" s="2883"/>
      <c r="I62" s="2884"/>
      <c r="J62" s="2883"/>
      <c r="K62" s="2883"/>
      <c r="L62" s="2884"/>
      <c r="M62" s="2883"/>
      <c r="N62" s="2883"/>
      <c r="O62" s="2884"/>
      <c r="P62" s="2883"/>
      <c r="Q62" s="2883"/>
      <c r="R62" s="2885"/>
    </row>
    <row r="63" s="2005" customFormat="1" spans="2:18">
      <c r="B63" s="2883"/>
      <c r="C63" s="2883"/>
      <c r="D63" s="2883"/>
      <c r="E63" s="2883"/>
      <c r="F63" s="2883"/>
      <c r="G63" s="2884"/>
      <c r="H63" s="2883"/>
      <c r="I63" s="2884"/>
      <c r="J63" s="2883"/>
      <c r="K63" s="2883"/>
      <c r="L63" s="2884"/>
      <c r="M63" s="2883"/>
      <c r="N63" s="2883"/>
      <c r="O63" s="2884"/>
      <c r="P63" s="2883"/>
      <c r="Q63" s="2883"/>
      <c r="R63" s="2885"/>
    </row>
    <row r="64" s="2005" customFormat="1" spans="2:18">
      <c r="B64" s="2883"/>
      <c r="C64" s="2883"/>
      <c r="D64" s="2883"/>
      <c r="E64" s="2883"/>
      <c r="F64" s="2883"/>
      <c r="G64" s="2884"/>
      <c r="H64" s="2883"/>
      <c r="I64" s="2884"/>
      <c r="J64" s="2883"/>
      <c r="K64" s="2883"/>
      <c r="L64" s="2884"/>
      <c r="M64" s="2883"/>
      <c r="N64" s="2883"/>
      <c r="O64" s="2884"/>
      <c r="P64" s="2883"/>
      <c r="Q64" s="2883"/>
      <c r="R64" s="2885"/>
    </row>
    <row r="65" s="2005" customFormat="1" spans="2:18">
      <c r="B65" s="2883"/>
      <c r="C65" s="2883"/>
      <c r="D65" s="2883"/>
      <c r="E65" s="2883"/>
      <c r="F65" s="2883"/>
      <c r="G65" s="2884"/>
      <c r="H65" s="2883"/>
      <c r="I65" s="2884"/>
      <c r="J65" s="2883"/>
      <c r="K65" s="2883"/>
      <c r="L65" s="2884"/>
      <c r="M65" s="2883"/>
      <c r="N65" s="2883"/>
      <c r="O65" s="2884"/>
      <c r="P65" s="2883"/>
      <c r="Q65" s="2883"/>
      <c r="R65" s="2885"/>
    </row>
    <row r="66" s="2005" customFormat="1" spans="2:18">
      <c r="B66" s="2883"/>
      <c r="C66" s="2883"/>
      <c r="D66" s="2883"/>
      <c r="E66" s="2883"/>
      <c r="F66" s="2883"/>
      <c r="G66" s="2884"/>
      <c r="H66" s="2883"/>
      <c r="I66" s="2884"/>
      <c r="J66" s="2883"/>
      <c r="K66" s="2883"/>
      <c r="L66" s="2884"/>
      <c r="M66" s="2883"/>
      <c r="N66" s="2883"/>
      <c r="O66" s="2884"/>
      <c r="P66" s="2883"/>
      <c r="Q66" s="2883"/>
      <c r="R66" s="2885"/>
    </row>
    <row r="67" s="2005" customFormat="1" spans="2:18">
      <c r="B67" s="2883"/>
      <c r="C67" s="2883"/>
      <c r="D67" s="2883"/>
      <c r="E67" s="2883"/>
      <c r="F67" s="2883"/>
      <c r="G67" s="2884"/>
      <c r="H67" s="2883"/>
      <c r="I67" s="2884"/>
      <c r="J67" s="2883"/>
      <c r="K67" s="2883"/>
      <c r="L67" s="2884"/>
      <c r="M67" s="2883"/>
      <c r="N67" s="2883"/>
      <c r="O67" s="2884"/>
      <c r="P67" s="2883"/>
      <c r="Q67" s="2883"/>
      <c r="R67" s="2885"/>
    </row>
    <row r="68" s="2005" customFormat="1" spans="2:18">
      <c r="B68" s="2883"/>
      <c r="C68" s="2883"/>
      <c r="D68" s="2883"/>
      <c r="E68" s="2883"/>
      <c r="F68" s="2883"/>
      <c r="G68" s="2884"/>
      <c r="H68" s="2883"/>
      <c r="I68" s="2884"/>
      <c r="J68" s="2883"/>
      <c r="K68" s="2883"/>
      <c r="L68" s="2884"/>
      <c r="M68" s="2883"/>
      <c r="N68" s="2883"/>
      <c r="O68" s="2884"/>
      <c r="P68" s="2883"/>
      <c r="Q68" s="2883"/>
      <c r="R68" s="2885"/>
    </row>
    <row r="69" s="2005" customFormat="1" spans="2:18">
      <c r="B69" s="2883"/>
      <c r="C69" s="2883"/>
      <c r="D69" s="2883"/>
      <c r="E69" s="2883"/>
      <c r="F69" s="2883"/>
      <c r="G69" s="2884"/>
      <c r="H69" s="2883"/>
      <c r="I69" s="2884"/>
      <c r="J69" s="2883"/>
      <c r="K69" s="2883"/>
      <c r="L69" s="2884"/>
      <c r="M69" s="2883"/>
      <c r="N69" s="2883"/>
      <c r="O69" s="2884"/>
      <c r="P69" s="2883"/>
      <c r="Q69" s="2883"/>
      <c r="R69" s="2885"/>
    </row>
    <row r="70" s="2005" customFormat="1" spans="2:18">
      <c r="B70" s="2883"/>
      <c r="C70" s="2883"/>
      <c r="D70" s="2883"/>
      <c r="E70" s="2883"/>
      <c r="F70" s="2883"/>
      <c r="G70" s="2884"/>
      <c r="H70" s="2883"/>
      <c r="I70" s="2884"/>
      <c r="J70" s="2883"/>
      <c r="K70" s="2883"/>
      <c r="L70" s="2884"/>
      <c r="M70" s="2883"/>
      <c r="N70" s="2883"/>
      <c r="O70" s="2884"/>
      <c r="P70" s="2883"/>
      <c r="Q70" s="2883"/>
      <c r="R70" s="2885"/>
    </row>
    <row r="71" s="2005" customFormat="1" spans="2:18">
      <c r="B71" s="2883"/>
      <c r="C71" s="2883"/>
      <c r="D71" s="2883"/>
      <c r="E71" s="2883"/>
      <c r="F71" s="2883"/>
      <c r="G71" s="2884"/>
      <c r="H71" s="2883"/>
      <c r="I71" s="2884"/>
      <c r="J71" s="2883"/>
      <c r="K71" s="2883"/>
      <c r="L71" s="2884"/>
      <c r="M71" s="2883"/>
      <c r="N71" s="2883"/>
      <c r="O71" s="2884"/>
      <c r="P71" s="2883"/>
      <c r="Q71" s="2883"/>
      <c r="R71" s="2885"/>
    </row>
    <row r="72" s="2005" customFormat="1" spans="2:18">
      <c r="B72" s="2883"/>
      <c r="C72" s="2883"/>
      <c r="D72" s="2883"/>
      <c r="E72" s="2883"/>
      <c r="F72" s="2883"/>
      <c r="G72" s="2884"/>
      <c r="H72" s="2883"/>
      <c r="I72" s="2884"/>
      <c r="J72" s="2883"/>
      <c r="K72" s="2883"/>
      <c r="L72" s="2884"/>
      <c r="M72" s="2883"/>
      <c r="N72" s="2883"/>
      <c r="O72" s="2884"/>
      <c r="P72" s="2883"/>
      <c r="Q72" s="2883"/>
      <c r="R72" s="2885"/>
    </row>
    <row r="73" s="2005" customFormat="1" spans="2:18">
      <c r="B73" s="2883"/>
      <c r="C73" s="2883"/>
      <c r="D73" s="2883"/>
      <c r="E73" s="2883"/>
      <c r="F73" s="2883"/>
      <c r="G73" s="2884"/>
      <c r="H73" s="2883"/>
      <c r="I73" s="2884"/>
      <c r="J73" s="2883"/>
      <c r="K73" s="2883"/>
      <c r="L73" s="2884"/>
      <c r="M73" s="2883"/>
      <c r="N73" s="2883"/>
      <c r="O73" s="2884"/>
      <c r="P73" s="2883"/>
      <c r="Q73" s="2883"/>
      <c r="R73" s="2885"/>
    </row>
    <row r="74" s="2005" customFormat="1" spans="2:18">
      <c r="B74" s="2883"/>
      <c r="C74" s="2883"/>
      <c r="D74" s="2883"/>
      <c r="E74" s="2883"/>
      <c r="F74" s="2883"/>
      <c r="G74" s="2884"/>
      <c r="H74" s="2883"/>
      <c r="I74" s="2884"/>
      <c r="J74" s="2883"/>
      <c r="K74" s="2883"/>
      <c r="L74" s="2884"/>
      <c r="M74" s="2883"/>
      <c r="N74" s="2883"/>
      <c r="O74" s="2884"/>
      <c r="P74" s="2883"/>
      <c r="Q74" s="2883"/>
      <c r="R74" s="2885"/>
    </row>
    <row r="75" s="2005" customFormat="1" spans="2:18">
      <c r="B75" s="2883"/>
      <c r="C75" s="2883"/>
      <c r="D75" s="2883"/>
      <c r="E75" s="2883"/>
      <c r="F75" s="2883"/>
      <c r="G75" s="2884"/>
      <c r="H75" s="2883"/>
      <c r="I75" s="2884"/>
      <c r="J75" s="2883"/>
      <c r="K75" s="2883"/>
      <c r="L75" s="2884"/>
      <c r="M75" s="2883"/>
      <c r="N75" s="2883"/>
      <c r="O75" s="2884"/>
      <c r="P75" s="2883"/>
      <c r="Q75" s="2883"/>
      <c r="R75" s="2885"/>
    </row>
    <row r="76" s="2005" customFormat="1" spans="2:18">
      <c r="B76" s="2883"/>
      <c r="C76" s="2883"/>
      <c r="D76" s="2883"/>
      <c r="E76" s="2883"/>
      <c r="F76" s="2883"/>
      <c r="G76" s="2884"/>
      <c r="H76" s="2883"/>
      <c r="I76" s="2884"/>
      <c r="J76" s="2883"/>
      <c r="K76" s="2883"/>
      <c r="L76" s="2884"/>
      <c r="M76" s="2883"/>
      <c r="N76" s="2883"/>
      <c r="O76" s="2884"/>
      <c r="P76" s="2883"/>
      <c r="Q76" s="2883"/>
      <c r="R76" s="2885"/>
    </row>
    <row r="77" s="2005" customFormat="1" spans="2:18">
      <c r="B77" s="2883"/>
      <c r="C77" s="2883"/>
      <c r="D77" s="2883"/>
      <c r="E77" s="2883"/>
      <c r="F77" s="2883"/>
      <c r="G77" s="2884"/>
      <c r="H77" s="2883"/>
      <c r="I77" s="2884"/>
      <c r="J77" s="2883"/>
      <c r="K77" s="2883"/>
      <c r="L77" s="2884"/>
      <c r="M77" s="2883"/>
      <c r="N77" s="2883"/>
      <c r="O77" s="2884"/>
      <c r="P77" s="2883"/>
      <c r="Q77" s="2883"/>
      <c r="R77" s="2885"/>
    </row>
    <row r="78" s="2005" customFormat="1" spans="2:18">
      <c r="B78" s="2883"/>
      <c r="C78" s="2883"/>
      <c r="D78" s="2883"/>
      <c r="E78" s="2883"/>
      <c r="F78" s="2883"/>
      <c r="G78" s="2884"/>
      <c r="H78" s="2883"/>
      <c r="I78" s="2884"/>
      <c r="J78" s="2883"/>
      <c r="K78" s="2883"/>
      <c r="L78" s="2884"/>
      <c r="M78" s="2883"/>
      <c r="N78" s="2883"/>
      <c r="O78" s="2884"/>
      <c r="P78" s="2883"/>
      <c r="Q78" s="2883"/>
      <c r="R78" s="2885"/>
    </row>
    <row r="79" s="2005" customFormat="1" spans="2:18">
      <c r="B79" s="2883"/>
      <c r="C79" s="2883"/>
      <c r="D79" s="2883"/>
      <c r="E79" s="2883"/>
      <c r="F79" s="2883"/>
      <c r="G79" s="2884"/>
      <c r="H79" s="2883"/>
      <c r="I79" s="2884"/>
      <c r="J79" s="2883"/>
      <c r="K79" s="2883"/>
      <c r="L79" s="2884"/>
      <c r="M79" s="2883"/>
      <c r="N79" s="2883"/>
      <c r="O79" s="2884"/>
      <c r="P79" s="2883"/>
      <c r="Q79" s="2883"/>
      <c r="R79" s="2885"/>
    </row>
    <row r="80" s="2005" customFormat="1" spans="2:18">
      <c r="B80" s="2883"/>
      <c r="C80" s="2883"/>
      <c r="D80" s="2883"/>
      <c r="E80" s="2883"/>
      <c r="F80" s="2883"/>
      <c r="G80" s="2884"/>
      <c r="H80" s="2883"/>
      <c r="I80" s="2884"/>
      <c r="J80" s="2883"/>
      <c r="K80" s="2883"/>
      <c r="L80" s="2884"/>
      <c r="M80" s="2883"/>
      <c r="N80" s="2883"/>
      <c r="O80" s="2884"/>
      <c r="P80" s="2883"/>
      <c r="Q80" s="2883"/>
      <c r="R80" s="2885"/>
    </row>
    <row r="81" s="2005" customFormat="1" spans="2:18">
      <c r="B81" s="2883"/>
      <c r="C81" s="2883"/>
      <c r="D81" s="2883"/>
      <c r="E81" s="2883"/>
      <c r="F81" s="2883"/>
      <c r="G81" s="2884"/>
      <c r="H81" s="2883"/>
      <c r="I81" s="2884"/>
      <c r="J81" s="2883"/>
      <c r="K81" s="2883"/>
      <c r="L81" s="2884"/>
      <c r="M81" s="2883"/>
      <c r="N81" s="2883"/>
      <c r="O81" s="2884"/>
      <c r="P81" s="2883"/>
      <c r="Q81" s="2883"/>
      <c r="R81" s="2885"/>
    </row>
    <row r="82" s="2005" customFormat="1" spans="2:18">
      <c r="B82" s="2883"/>
      <c r="C82" s="2883"/>
      <c r="D82" s="2883"/>
      <c r="E82" s="2883"/>
      <c r="F82" s="2883"/>
      <c r="G82" s="2884"/>
      <c r="H82" s="2883"/>
      <c r="I82" s="2884"/>
      <c r="J82" s="2883"/>
      <c r="K82" s="2883"/>
      <c r="L82" s="2884"/>
      <c r="M82" s="2883"/>
      <c r="N82" s="2883"/>
      <c r="O82" s="2884"/>
      <c r="P82" s="2883"/>
      <c r="Q82" s="2883"/>
      <c r="R82" s="2885"/>
    </row>
    <row r="83" s="2005" customFormat="1" spans="2:18">
      <c r="B83" s="2883"/>
      <c r="C83" s="2883"/>
      <c r="D83" s="2883"/>
      <c r="E83" s="2883"/>
      <c r="F83" s="2883"/>
      <c r="G83" s="2884"/>
      <c r="H83" s="2883"/>
      <c r="I83" s="2884"/>
      <c r="J83" s="2883"/>
      <c r="K83" s="2883"/>
      <c r="L83" s="2884"/>
      <c r="M83" s="2883"/>
      <c r="N83" s="2883"/>
      <c r="O83" s="2884"/>
      <c r="P83" s="2883"/>
      <c r="Q83" s="2883"/>
      <c r="R83" s="2885"/>
    </row>
    <row r="84" s="2005" customFormat="1" spans="2:18">
      <c r="B84" s="2883"/>
      <c r="C84" s="2883"/>
      <c r="D84" s="2883"/>
      <c r="E84" s="2883"/>
      <c r="F84" s="2883"/>
      <c r="G84" s="2884"/>
      <c r="H84" s="2883"/>
      <c r="I84" s="2884"/>
      <c r="J84" s="2883"/>
      <c r="K84" s="2883"/>
      <c r="L84" s="2884"/>
      <c r="M84" s="2883"/>
      <c r="N84" s="2883"/>
      <c r="O84" s="2884"/>
      <c r="P84" s="2883"/>
      <c r="Q84" s="2883"/>
      <c r="R84" s="2885"/>
    </row>
    <row r="85" s="2005" customFormat="1" spans="2:18">
      <c r="B85" s="2883"/>
      <c r="C85" s="2883"/>
      <c r="D85" s="2883"/>
      <c r="E85" s="2883"/>
      <c r="F85" s="2883"/>
      <c r="G85" s="2884"/>
      <c r="H85" s="2883"/>
      <c r="I85" s="2884"/>
      <c r="J85" s="2883"/>
      <c r="K85" s="2883"/>
      <c r="L85" s="2884"/>
      <c r="M85" s="2883"/>
      <c r="N85" s="2883"/>
      <c r="O85" s="2884"/>
      <c r="P85" s="2883"/>
      <c r="Q85" s="2883"/>
      <c r="R85" s="2885"/>
    </row>
    <row r="86" s="2005" customFormat="1" spans="2:18">
      <c r="B86" s="2883"/>
      <c r="C86" s="2883"/>
      <c r="D86" s="2883"/>
      <c r="E86" s="2883"/>
      <c r="F86" s="2883"/>
      <c r="G86" s="2884"/>
      <c r="H86" s="2883"/>
      <c r="I86" s="2884"/>
      <c r="J86" s="2883"/>
      <c r="K86" s="2883"/>
      <c r="L86" s="2884"/>
      <c r="M86" s="2883"/>
      <c r="N86" s="2883"/>
      <c r="O86" s="2884"/>
      <c r="P86" s="2883"/>
      <c r="Q86" s="2883"/>
      <c r="R86" s="2885"/>
    </row>
    <row r="87" s="2005" customFormat="1" spans="2:18">
      <c r="B87" s="2883"/>
      <c r="C87" s="2883"/>
      <c r="D87" s="2883"/>
      <c r="E87" s="2883"/>
      <c r="F87" s="2883"/>
      <c r="G87" s="2884"/>
      <c r="H87" s="2883"/>
      <c r="I87" s="2884"/>
      <c r="J87" s="2883"/>
      <c r="K87" s="2883"/>
      <c r="L87" s="2884"/>
      <c r="M87" s="2883"/>
      <c r="N87" s="2883"/>
      <c r="O87" s="2884"/>
      <c r="P87" s="2883"/>
      <c r="Q87" s="2883"/>
      <c r="R87" s="2885"/>
    </row>
    <row r="88" s="2005" customFormat="1" spans="2:18">
      <c r="B88" s="2883"/>
      <c r="C88" s="2883"/>
      <c r="D88" s="2883"/>
      <c r="E88" s="2883"/>
      <c r="F88" s="2883"/>
      <c r="G88" s="2884"/>
      <c r="H88" s="2883"/>
      <c r="I88" s="2884"/>
      <c r="J88" s="2883"/>
      <c r="K88" s="2883"/>
      <c r="L88" s="2884"/>
      <c r="M88" s="2883"/>
      <c r="N88" s="2883"/>
      <c r="O88" s="2884"/>
      <c r="P88" s="2883"/>
      <c r="Q88" s="2883"/>
      <c r="R88" s="2885"/>
    </row>
    <row r="89" s="2005" customFormat="1" spans="2:18">
      <c r="B89" s="2883"/>
      <c r="C89" s="2883"/>
      <c r="D89" s="2883"/>
      <c r="E89" s="2883"/>
      <c r="F89" s="2883"/>
      <c r="G89" s="2884"/>
      <c r="H89" s="2883"/>
      <c r="I89" s="2884"/>
      <c r="J89" s="2883"/>
      <c r="K89" s="2883"/>
      <c r="L89" s="2884"/>
      <c r="M89" s="2883"/>
      <c r="N89" s="2883"/>
      <c r="O89" s="2884"/>
      <c r="P89" s="2883"/>
      <c r="Q89" s="2883"/>
      <c r="R89" s="2885"/>
    </row>
    <row r="90" s="2005" customFormat="1" spans="2:18">
      <c r="B90" s="2883"/>
      <c r="C90" s="2883"/>
      <c r="D90" s="2883"/>
      <c r="E90" s="2883"/>
      <c r="F90" s="2883"/>
      <c r="G90" s="2884"/>
      <c r="H90" s="2883"/>
      <c r="I90" s="2884"/>
      <c r="J90" s="2883"/>
      <c r="K90" s="2883"/>
      <c r="L90" s="2884"/>
      <c r="M90" s="2883"/>
      <c r="N90" s="2883"/>
      <c r="O90" s="2884"/>
      <c r="P90" s="2883"/>
      <c r="Q90" s="2883"/>
      <c r="R90" s="2885"/>
    </row>
    <row r="91" s="2005" customFormat="1" spans="2:18">
      <c r="B91" s="2883"/>
      <c r="C91" s="2883"/>
      <c r="D91" s="2883"/>
      <c r="E91" s="2883"/>
      <c r="F91" s="2883"/>
      <c r="G91" s="2884"/>
      <c r="H91" s="2883"/>
      <c r="I91" s="2884"/>
      <c r="J91" s="2883"/>
      <c r="K91" s="2883"/>
      <c r="L91" s="2884"/>
      <c r="M91" s="2883"/>
      <c r="N91" s="2883"/>
      <c r="O91" s="2884"/>
      <c r="P91" s="2883"/>
      <c r="Q91" s="2883"/>
      <c r="R91" s="2885"/>
    </row>
    <row r="92" s="2005" customFormat="1" spans="2:18">
      <c r="B92" s="2883"/>
      <c r="C92" s="2883"/>
      <c r="D92" s="2883"/>
      <c r="E92" s="2883"/>
      <c r="F92" s="2883"/>
      <c r="G92" s="2884"/>
      <c r="H92" s="2883"/>
      <c r="I92" s="2884"/>
      <c r="J92" s="2883"/>
      <c r="K92" s="2883"/>
      <c r="L92" s="2884"/>
      <c r="M92" s="2883"/>
      <c r="N92" s="2883"/>
      <c r="O92" s="2884"/>
      <c r="P92" s="2883"/>
      <c r="Q92" s="2883"/>
      <c r="R92" s="2885"/>
    </row>
    <row r="93" s="2005" customFormat="1" spans="2:18">
      <c r="B93" s="2883"/>
      <c r="C93" s="2883"/>
      <c r="D93" s="2883"/>
      <c r="E93" s="2883"/>
      <c r="F93" s="2883"/>
      <c r="G93" s="2884"/>
      <c r="H93" s="2883"/>
      <c r="I93" s="2884"/>
      <c r="J93" s="2883"/>
      <c r="K93" s="2883"/>
      <c r="L93" s="2884"/>
      <c r="M93" s="2883"/>
      <c r="N93" s="2883"/>
      <c r="O93" s="2884"/>
      <c r="P93" s="2883"/>
      <c r="Q93" s="2883"/>
      <c r="R93" s="2885"/>
    </row>
    <row r="94" s="2005" customFormat="1" spans="2:18">
      <c r="B94" s="2883"/>
      <c r="C94" s="2883"/>
      <c r="D94" s="2883"/>
      <c r="E94" s="2883"/>
      <c r="F94" s="2883"/>
      <c r="G94" s="2884"/>
      <c r="H94" s="2883"/>
      <c r="I94" s="2884"/>
      <c r="J94" s="2883"/>
      <c r="K94" s="2883"/>
      <c r="L94" s="2884"/>
      <c r="M94" s="2883"/>
      <c r="N94" s="2883"/>
      <c r="O94" s="2884"/>
      <c r="P94" s="2883"/>
      <c r="Q94" s="2883"/>
      <c r="R94" s="2885"/>
    </row>
    <row r="95" s="2005" customFormat="1" spans="2:18">
      <c r="B95" s="2883"/>
      <c r="C95" s="2883"/>
      <c r="D95" s="2883"/>
      <c r="E95" s="2883"/>
      <c r="F95" s="2883"/>
      <c r="G95" s="2884"/>
      <c r="H95" s="2883"/>
      <c r="I95" s="2884"/>
      <c r="J95" s="2883"/>
      <c r="K95" s="2883"/>
      <c r="L95" s="2884"/>
      <c r="M95" s="2883"/>
      <c r="N95" s="2883"/>
      <c r="O95" s="2884"/>
      <c r="P95" s="2883"/>
      <c r="Q95" s="2883"/>
      <c r="R95" s="2885"/>
    </row>
    <row r="96" s="2005" customFormat="1" spans="2:18">
      <c r="B96" s="2883"/>
      <c r="C96" s="2883"/>
      <c r="D96" s="2883"/>
      <c r="E96" s="2883"/>
      <c r="F96" s="2883"/>
      <c r="G96" s="2884"/>
      <c r="H96" s="2883"/>
      <c r="I96" s="2884"/>
      <c r="J96" s="2883"/>
      <c r="K96" s="2883"/>
      <c r="L96" s="2884"/>
      <c r="M96" s="2883"/>
      <c r="N96" s="2883"/>
      <c r="O96" s="2884"/>
      <c r="P96" s="2883"/>
      <c r="Q96" s="2883"/>
      <c r="R96" s="2885"/>
    </row>
    <row r="97" s="2005" customFormat="1" spans="2:18">
      <c r="B97" s="2883"/>
      <c r="C97" s="2883"/>
      <c r="D97" s="2883"/>
      <c r="E97" s="2883"/>
      <c r="F97" s="2883"/>
      <c r="G97" s="2884"/>
      <c r="H97" s="2883"/>
      <c r="I97" s="2884"/>
      <c r="J97" s="2883"/>
      <c r="K97" s="2883"/>
      <c r="L97" s="2884"/>
      <c r="M97" s="2883"/>
      <c r="N97" s="2883"/>
      <c r="O97" s="2884"/>
      <c r="P97" s="2883"/>
      <c r="Q97" s="2883"/>
      <c r="R97" s="2885"/>
    </row>
    <row r="98" s="2005" customFormat="1" spans="2:18">
      <c r="B98" s="2883"/>
      <c r="C98" s="2883"/>
      <c r="D98" s="2883"/>
      <c r="E98" s="2883"/>
      <c r="F98" s="2883"/>
      <c r="G98" s="2884"/>
      <c r="H98" s="2883"/>
      <c r="I98" s="2884"/>
      <c r="J98" s="2883"/>
      <c r="K98" s="2883"/>
      <c r="L98" s="2884"/>
      <c r="M98" s="2883"/>
      <c r="N98" s="2883"/>
      <c r="O98" s="2884"/>
      <c r="P98" s="2883"/>
      <c r="Q98" s="2883"/>
      <c r="R98" s="2885"/>
    </row>
    <row r="99" s="2005" customFormat="1" spans="2:18">
      <c r="B99" s="2883"/>
      <c r="C99" s="2883"/>
      <c r="D99" s="2883"/>
      <c r="E99" s="2883"/>
      <c r="F99" s="2883"/>
      <c r="G99" s="2884"/>
      <c r="H99" s="2883"/>
      <c r="I99" s="2884"/>
      <c r="J99" s="2883"/>
      <c r="K99" s="2883"/>
      <c r="L99" s="2884"/>
      <c r="M99" s="2883"/>
      <c r="N99" s="2883"/>
      <c r="O99" s="2884"/>
      <c r="P99" s="2883"/>
      <c r="Q99" s="2883"/>
      <c r="R99" s="2885"/>
    </row>
    <row r="100" s="2005" customFormat="1" spans="2:18">
      <c r="B100" s="2883"/>
      <c r="C100" s="2883"/>
      <c r="D100" s="2883"/>
      <c r="E100" s="2883"/>
      <c r="F100" s="2883"/>
      <c r="G100" s="2884"/>
      <c r="H100" s="2883"/>
      <c r="I100" s="2884"/>
      <c r="J100" s="2883"/>
      <c r="K100" s="2883"/>
      <c r="L100" s="2884"/>
      <c r="M100" s="2883"/>
      <c r="N100" s="2883"/>
      <c r="O100" s="2884"/>
      <c r="P100" s="2883"/>
      <c r="Q100" s="2883"/>
      <c r="R100" s="2885"/>
    </row>
    <row r="101" s="2005" customFormat="1" spans="2:18">
      <c r="B101" s="2883"/>
      <c r="C101" s="2883"/>
      <c r="D101" s="2883"/>
      <c r="E101" s="2883"/>
      <c r="F101" s="2883"/>
      <c r="G101" s="2884"/>
      <c r="H101" s="2883"/>
      <c r="I101" s="2884"/>
      <c r="J101" s="2883"/>
      <c r="K101" s="2883"/>
      <c r="L101" s="2884"/>
      <c r="M101" s="2883"/>
      <c r="N101" s="2883"/>
      <c r="O101" s="2884"/>
      <c r="P101" s="2883"/>
      <c r="Q101" s="2883"/>
      <c r="R101" s="2885"/>
    </row>
    <row r="102" s="2005" customFormat="1" spans="2:18">
      <c r="B102" s="2883"/>
      <c r="C102" s="2883"/>
      <c r="D102" s="2883"/>
      <c r="E102" s="2883"/>
      <c r="F102" s="2883"/>
      <c r="G102" s="2884"/>
      <c r="H102" s="2883"/>
      <c r="I102" s="2884"/>
      <c r="J102" s="2883"/>
      <c r="K102" s="2883"/>
      <c r="L102" s="2884"/>
      <c r="M102" s="2883"/>
      <c r="N102" s="2883"/>
      <c r="O102" s="2884"/>
      <c r="P102" s="2883"/>
      <c r="Q102" s="2883"/>
      <c r="R102" s="2885"/>
    </row>
    <row r="103" s="2005" customFormat="1" spans="2:18">
      <c r="B103" s="2883"/>
      <c r="C103" s="2883"/>
      <c r="D103" s="2883"/>
      <c r="E103" s="2883"/>
      <c r="F103" s="2883"/>
      <c r="G103" s="2884"/>
      <c r="H103" s="2883"/>
      <c r="I103" s="2884"/>
      <c r="J103" s="2883"/>
      <c r="K103" s="2883"/>
      <c r="L103" s="2884"/>
      <c r="M103" s="2883"/>
      <c r="N103" s="2883"/>
      <c r="O103" s="2884"/>
      <c r="P103" s="2883"/>
      <c r="Q103" s="2883"/>
      <c r="R103" s="2885"/>
    </row>
    <row r="104" s="2005" customFormat="1" spans="2:18">
      <c r="B104" s="2883"/>
      <c r="C104" s="2883"/>
      <c r="D104" s="2883"/>
      <c r="E104" s="2883"/>
      <c r="F104" s="2883"/>
      <c r="G104" s="2884"/>
      <c r="H104" s="2883"/>
      <c r="I104" s="2884"/>
      <c r="J104" s="2883"/>
      <c r="K104" s="2883"/>
      <c r="L104" s="2884"/>
      <c r="M104" s="2883"/>
      <c r="N104" s="2883"/>
      <c r="O104" s="2884"/>
      <c r="P104" s="2883"/>
      <c r="Q104" s="2883"/>
      <c r="R104" s="2885"/>
    </row>
    <row r="105" s="2005" customFormat="1" spans="2:18">
      <c r="B105" s="2883"/>
      <c r="C105" s="2883"/>
      <c r="D105" s="2883"/>
      <c r="E105" s="2883"/>
      <c r="F105" s="2883"/>
      <c r="G105" s="2884"/>
      <c r="H105" s="2883"/>
      <c r="I105" s="2884"/>
      <c r="J105" s="2883"/>
      <c r="K105" s="2883"/>
      <c r="L105" s="2884"/>
      <c r="M105" s="2883"/>
      <c r="N105" s="2883"/>
      <c r="O105" s="2884"/>
      <c r="P105" s="2883"/>
      <c r="Q105" s="2883"/>
      <c r="R105" s="2885"/>
    </row>
    <row r="106" s="2005" customFormat="1" spans="2:18">
      <c r="B106" s="2883"/>
      <c r="C106" s="2883"/>
      <c r="D106" s="2883"/>
      <c r="E106" s="2883"/>
      <c r="F106" s="2883"/>
      <c r="G106" s="2884"/>
      <c r="H106" s="2883"/>
      <c r="I106" s="2884"/>
      <c r="J106" s="2883"/>
      <c r="K106" s="2883"/>
      <c r="L106" s="2884"/>
      <c r="M106" s="2883"/>
      <c r="N106" s="2883"/>
      <c r="O106" s="2884"/>
      <c r="P106" s="2883"/>
      <c r="Q106" s="2883"/>
      <c r="R106" s="2885"/>
    </row>
    <row r="107" s="2005" customFormat="1" spans="2:18">
      <c r="B107" s="2883"/>
      <c r="C107" s="2883"/>
      <c r="D107" s="2883"/>
      <c r="E107" s="2883"/>
      <c r="F107" s="2883"/>
      <c r="G107" s="2884"/>
      <c r="H107" s="2883"/>
      <c r="I107" s="2884"/>
      <c r="J107" s="2883"/>
      <c r="K107" s="2883"/>
      <c r="L107" s="2884"/>
      <c r="M107" s="2883"/>
      <c r="N107" s="2883"/>
      <c r="O107" s="2884"/>
      <c r="P107" s="2883"/>
      <c r="Q107" s="2883"/>
      <c r="R107" s="2885"/>
    </row>
    <row r="108" s="2005" customFormat="1" spans="2:18">
      <c r="B108" s="2883"/>
      <c r="C108" s="2883"/>
      <c r="D108" s="2883"/>
      <c r="E108" s="2883"/>
      <c r="F108" s="2883"/>
      <c r="G108" s="2884"/>
      <c r="H108" s="2883"/>
      <c r="I108" s="2884"/>
      <c r="J108" s="2883"/>
      <c r="K108" s="2883"/>
      <c r="L108" s="2884"/>
      <c r="M108" s="2883"/>
      <c r="N108" s="2883"/>
      <c r="O108" s="2884"/>
      <c r="P108" s="2883"/>
      <c r="Q108" s="2883"/>
      <c r="R108" s="2885"/>
    </row>
    <row r="109" s="2005" customFormat="1" spans="2:18">
      <c r="B109" s="2883"/>
      <c r="C109" s="2883"/>
      <c r="D109" s="2883"/>
      <c r="E109" s="2883"/>
      <c r="F109" s="2883"/>
      <c r="G109" s="2884"/>
      <c r="H109" s="2883"/>
      <c r="I109" s="2884"/>
      <c r="J109" s="2883"/>
      <c r="K109" s="2883"/>
      <c r="L109" s="2884"/>
      <c r="M109" s="2883"/>
      <c r="N109" s="2883"/>
      <c r="O109" s="2884"/>
      <c r="P109" s="2883"/>
      <c r="Q109" s="2883"/>
      <c r="R109" s="2885"/>
    </row>
    <row r="110" s="2005" customFormat="1" spans="2:18">
      <c r="B110" s="2883"/>
      <c r="C110" s="2883"/>
      <c r="D110" s="2883"/>
      <c r="E110" s="2883"/>
      <c r="F110" s="2883"/>
      <c r="G110" s="2884"/>
      <c r="H110" s="2883"/>
      <c r="I110" s="2884"/>
      <c r="J110" s="2883"/>
      <c r="K110" s="2883"/>
      <c r="L110" s="2884"/>
      <c r="M110" s="2883"/>
      <c r="N110" s="2883"/>
      <c r="O110" s="2884"/>
      <c r="P110" s="2883"/>
      <c r="Q110" s="2883"/>
      <c r="R110" s="2885"/>
    </row>
    <row r="111" s="2005" customFormat="1" spans="2:18">
      <c r="B111" s="2883"/>
      <c r="C111" s="2883"/>
      <c r="D111" s="2883"/>
      <c r="E111" s="2883"/>
      <c r="F111" s="2883"/>
      <c r="G111" s="2884"/>
      <c r="H111" s="2883"/>
      <c r="I111" s="2884"/>
      <c r="J111" s="2883"/>
      <c r="K111" s="2883"/>
      <c r="L111" s="2884"/>
      <c r="M111" s="2883"/>
      <c r="N111" s="2883"/>
      <c r="O111" s="2884"/>
      <c r="P111" s="2883"/>
      <c r="Q111" s="2883"/>
      <c r="R111" s="2885"/>
    </row>
    <row r="112" s="2005" customFormat="1" spans="2:18">
      <c r="B112" s="2883"/>
      <c r="C112" s="2883"/>
      <c r="D112" s="2883"/>
      <c r="E112" s="2883"/>
      <c r="F112" s="2883"/>
      <c r="G112" s="2884"/>
      <c r="H112" s="2883"/>
      <c r="I112" s="2884"/>
      <c r="J112" s="2883"/>
      <c r="K112" s="2883"/>
      <c r="L112" s="2884"/>
      <c r="M112" s="2883"/>
      <c r="N112" s="2883"/>
      <c r="O112" s="2884"/>
      <c r="P112" s="2883"/>
      <c r="Q112" s="2883"/>
      <c r="R112" s="2885"/>
    </row>
    <row r="113" s="2005" customFormat="1" spans="2:18">
      <c r="B113" s="2883"/>
      <c r="C113" s="2883"/>
      <c r="D113" s="2883"/>
      <c r="E113" s="2883"/>
      <c r="F113" s="2883"/>
      <c r="G113" s="2884"/>
      <c r="H113" s="2883"/>
      <c r="I113" s="2884"/>
      <c r="J113" s="2883"/>
      <c r="K113" s="2883"/>
      <c r="L113" s="2884"/>
      <c r="M113" s="2883"/>
      <c r="N113" s="2883"/>
      <c r="O113" s="2884"/>
      <c r="P113" s="2883"/>
      <c r="Q113" s="2883"/>
      <c r="R113" s="2885"/>
    </row>
    <row r="114" s="2005" customFormat="1" spans="2:18">
      <c r="B114" s="2883"/>
      <c r="C114" s="2883"/>
      <c r="D114" s="2883"/>
      <c r="E114" s="2883"/>
      <c r="F114" s="2883"/>
      <c r="G114" s="2884"/>
      <c r="H114" s="2883"/>
      <c r="I114" s="2884"/>
      <c r="J114" s="2883"/>
      <c r="K114" s="2883"/>
      <c r="L114" s="2884"/>
      <c r="M114" s="2883"/>
      <c r="N114" s="2883"/>
      <c r="O114" s="2884"/>
      <c r="P114" s="2883"/>
      <c r="Q114" s="2883"/>
      <c r="R114" s="2885"/>
    </row>
    <row r="115" s="2005" customFormat="1" spans="2:18">
      <c r="B115" s="2883"/>
      <c r="C115" s="2883"/>
      <c r="D115" s="2883"/>
      <c r="E115" s="2883"/>
      <c r="F115" s="2883"/>
      <c r="G115" s="2884"/>
      <c r="H115" s="2883"/>
      <c r="I115" s="2884"/>
      <c r="J115" s="2883"/>
      <c r="K115" s="2883"/>
      <c r="L115" s="2884"/>
      <c r="M115" s="2883"/>
      <c r="N115" s="2883"/>
      <c r="O115" s="2884"/>
      <c r="P115" s="2883"/>
      <c r="Q115" s="2883"/>
      <c r="R115" s="2885"/>
    </row>
    <row r="116" s="2005" customFormat="1" spans="2:18">
      <c r="B116" s="2883"/>
      <c r="C116" s="2883"/>
      <c r="D116" s="2883"/>
      <c r="E116" s="2883"/>
      <c r="F116" s="2883"/>
      <c r="G116" s="2884"/>
      <c r="H116" s="2883"/>
      <c r="I116" s="2884"/>
      <c r="J116" s="2883"/>
      <c r="K116" s="2883"/>
      <c r="L116" s="2884"/>
      <c r="M116" s="2883"/>
      <c r="N116" s="2883"/>
      <c r="O116" s="2884"/>
      <c r="P116" s="2883"/>
      <c r="Q116" s="2883"/>
      <c r="R116" s="2885"/>
    </row>
    <row r="117" s="2005" customFormat="1" spans="2:18">
      <c r="B117" s="2883"/>
      <c r="C117" s="2883"/>
      <c r="D117" s="2883"/>
      <c r="E117" s="2883"/>
      <c r="F117" s="2883"/>
      <c r="G117" s="2884"/>
      <c r="H117" s="2883"/>
      <c r="I117" s="2884"/>
      <c r="J117" s="2883"/>
      <c r="K117" s="2883"/>
      <c r="L117" s="2884"/>
      <c r="M117" s="2883"/>
      <c r="N117" s="2883"/>
      <c r="O117" s="2884"/>
      <c r="P117" s="2883"/>
      <c r="Q117" s="2883"/>
      <c r="R117" s="2885"/>
    </row>
    <row r="118" s="2005" customFormat="1" spans="2:18">
      <c r="B118" s="2883"/>
      <c r="C118" s="2883"/>
      <c r="D118" s="2883"/>
      <c r="E118" s="2883"/>
      <c r="F118" s="2883"/>
      <c r="G118" s="2884"/>
      <c r="H118" s="2883"/>
      <c r="I118" s="2884"/>
      <c r="J118" s="2883"/>
      <c r="K118" s="2883"/>
      <c r="L118" s="2884"/>
      <c r="M118" s="2883"/>
      <c r="N118" s="2883"/>
      <c r="O118" s="2884"/>
      <c r="P118" s="2883"/>
      <c r="Q118" s="2883"/>
      <c r="R118" s="2885"/>
    </row>
    <row r="119" s="2005" customFormat="1" spans="2:18">
      <c r="B119" s="2883"/>
      <c r="C119" s="2883"/>
      <c r="D119" s="2883"/>
      <c r="E119" s="2883"/>
      <c r="F119" s="2883"/>
      <c r="G119" s="2884"/>
      <c r="H119" s="2883"/>
      <c r="I119" s="2884"/>
      <c r="J119" s="2883"/>
      <c r="K119" s="2883"/>
      <c r="L119" s="2884"/>
      <c r="M119" s="2883"/>
      <c r="N119" s="2883"/>
      <c r="O119" s="2884"/>
      <c r="P119" s="2883"/>
      <c r="Q119" s="2883"/>
      <c r="R119" s="2885"/>
    </row>
    <row r="120" s="2005" customFormat="1" spans="2:18">
      <c r="B120" s="2883"/>
      <c r="C120" s="2883"/>
      <c r="D120" s="2883"/>
      <c r="E120" s="2883"/>
      <c r="F120" s="2883"/>
      <c r="G120" s="2884"/>
      <c r="H120" s="2883"/>
      <c r="I120" s="2884"/>
      <c r="J120" s="2883"/>
      <c r="K120" s="2883"/>
      <c r="L120" s="2884"/>
      <c r="M120" s="2883"/>
      <c r="N120" s="2883"/>
      <c r="O120" s="2884"/>
      <c r="P120" s="2883"/>
      <c r="Q120" s="2883"/>
      <c r="R120" s="2885"/>
    </row>
    <row r="121" s="2005" customFormat="1" spans="2:18">
      <c r="B121" s="2883"/>
      <c r="C121" s="2883"/>
      <c r="D121" s="2883"/>
      <c r="E121" s="2883"/>
      <c r="F121" s="2883"/>
      <c r="G121" s="2884"/>
      <c r="H121" s="2883"/>
      <c r="I121" s="2884"/>
      <c r="J121" s="2883"/>
      <c r="K121" s="2883"/>
      <c r="L121" s="2884"/>
      <c r="M121" s="2883"/>
      <c r="N121" s="2883"/>
      <c r="O121" s="2884"/>
      <c r="P121" s="2883"/>
      <c r="Q121" s="2883"/>
      <c r="R121" s="2885"/>
    </row>
    <row r="122" s="2005" customFormat="1" spans="2:18">
      <c r="B122" s="2883"/>
      <c r="C122" s="2883"/>
      <c r="D122" s="2883"/>
      <c r="E122" s="2883"/>
      <c r="F122" s="2883"/>
      <c r="G122" s="2884"/>
      <c r="H122" s="2883"/>
      <c r="I122" s="2884"/>
      <c r="J122" s="2883"/>
      <c r="K122" s="2883"/>
      <c r="L122" s="2884"/>
      <c r="M122" s="2883"/>
      <c r="N122" s="2883"/>
      <c r="O122" s="2884"/>
      <c r="P122" s="2883"/>
      <c r="Q122" s="2883"/>
      <c r="R122" s="2885"/>
    </row>
    <row r="123" s="2005" customFormat="1" spans="2:18">
      <c r="B123" s="2883"/>
      <c r="C123" s="2883"/>
      <c r="D123" s="2883"/>
      <c r="E123" s="2883"/>
      <c r="F123" s="2883"/>
      <c r="G123" s="2884"/>
      <c r="H123" s="2883"/>
      <c r="I123" s="2884"/>
      <c r="J123" s="2883"/>
      <c r="K123" s="2883"/>
      <c r="L123" s="2884"/>
      <c r="M123" s="2883"/>
      <c r="N123" s="2883"/>
      <c r="O123" s="2884"/>
      <c r="P123" s="2883"/>
      <c r="Q123" s="2883"/>
      <c r="R123" s="2885"/>
    </row>
    <row r="124" s="2005" customFormat="1" spans="2:18">
      <c r="B124" s="2883"/>
      <c r="C124" s="2883"/>
      <c r="D124" s="2883"/>
      <c r="E124" s="2883"/>
      <c r="F124" s="2883"/>
      <c r="G124" s="2884"/>
      <c r="H124" s="2883"/>
      <c r="I124" s="2884"/>
      <c r="J124" s="2883"/>
      <c r="K124" s="2883"/>
      <c r="L124" s="2884"/>
      <c r="M124" s="2883"/>
      <c r="N124" s="2883"/>
      <c r="O124" s="2884"/>
      <c r="P124" s="2883"/>
      <c r="Q124" s="2883"/>
      <c r="R124" s="2885"/>
    </row>
    <row r="125" s="2005" customFormat="1" spans="2:18">
      <c r="B125" s="2883"/>
      <c r="C125" s="2883"/>
      <c r="D125" s="2883"/>
      <c r="E125" s="2883"/>
      <c r="F125" s="2883"/>
      <c r="G125" s="2884"/>
      <c r="H125" s="2883"/>
      <c r="I125" s="2884"/>
      <c r="J125" s="2883"/>
      <c r="K125" s="2883"/>
      <c r="L125" s="2884"/>
      <c r="M125" s="2883"/>
      <c r="N125" s="2883"/>
      <c r="O125" s="2884"/>
      <c r="P125" s="2883"/>
      <c r="Q125" s="2883"/>
      <c r="R125" s="2885"/>
    </row>
    <row r="126" s="2005" customFormat="1" spans="2:18">
      <c r="B126" s="2883"/>
      <c r="C126" s="2883"/>
      <c r="D126" s="2883"/>
      <c r="E126" s="2883"/>
      <c r="F126" s="2883"/>
      <c r="G126" s="2884"/>
      <c r="H126" s="2883"/>
      <c r="I126" s="2884"/>
      <c r="J126" s="2883"/>
      <c r="K126" s="2883"/>
      <c r="L126" s="2884"/>
      <c r="M126" s="2883"/>
      <c r="N126" s="2883"/>
      <c r="O126" s="2884"/>
      <c r="P126" s="2883"/>
      <c r="Q126" s="2883"/>
      <c r="R126" s="2885"/>
    </row>
    <row r="127" s="2005" customFormat="1" spans="2:18">
      <c r="B127" s="2883"/>
      <c r="C127" s="2883"/>
      <c r="D127" s="2883"/>
      <c r="E127" s="2883"/>
      <c r="F127" s="2883"/>
      <c r="G127" s="2884"/>
      <c r="H127" s="2883"/>
      <c r="I127" s="2884"/>
      <c r="J127" s="2883"/>
      <c r="K127" s="2883"/>
      <c r="L127" s="2884"/>
      <c r="M127" s="2883"/>
      <c r="N127" s="2883"/>
      <c r="O127" s="2884"/>
      <c r="P127" s="2883"/>
      <c r="Q127" s="2883"/>
      <c r="R127" s="2885"/>
    </row>
    <row r="128" s="2005" customFormat="1" spans="2:18">
      <c r="B128" s="2883"/>
      <c r="C128" s="2883"/>
      <c r="D128" s="2883"/>
      <c r="E128" s="2883"/>
      <c r="F128" s="2883"/>
      <c r="G128" s="2884"/>
      <c r="H128" s="2883"/>
      <c r="I128" s="2884"/>
      <c r="J128" s="2883"/>
      <c r="K128" s="2883"/>
      <c r="L128" s="2884"/>
      <c r="M128" s="2883"/>
      <c r="N128" s="2883"/>
      <c r="O128" s="2884"/>
      <c r="P128" s="2883"/>
      <c r="Q128" s="2883"/>
      <c r="R128" s="2885"/>
    </row>
    <row r="129" s="2005" customFormat="1" spans="2:18">
      <c r="B129" s="2883"/>
      <c r="C129" s="2883"/>
      <c r="D129" s="2883"/>
      <c r="E129" s="2883"/>
      <c r="F129" s="2883"/>
      <c r="G129" s="2884"/>
      <c r="H129" s="2883"/>
      <c r="I129" s="2884"/>
      <c r="J129" s="2883"/>
      <c r="K129" s="2883"/>
      <c r="L129" s="2884"/>
      <c r="M129" s="2883"/>
      <c r="N129" s="2883"/>
      <c r="O129" s="2884"/>
      <c r="P129" s="2883"/>
      <c r="Q129" s="2883"/>
      <c r="R129" s="2885"/>
    </row>
    <row r="130" s="2005" customFormat="1" spans="2:18">
      <c r="B130" s="2883"/>
      <c r="C130" s="2883"/>
      <c r="D130" s="2883"/>
      <c r="E130" s="2883"/>
      <c r="F130" s="2883"/>
      <c r="G130" s="2884"/>
      <c r="H130" s="2883"/>
      <c r="I130" s="2884"/>
      <c r="J130" s="2883"/>
      <c r="K130" s="2883"/>
      <c r="L130" s="2884"/>
      <c r="M130" s="2883"/>
      <c r="N130" s="2883"/>
      <c r="O130" s="2884"/>
      <c r="P130" s="2883"/>
      <c r="Q130" s="2883"/>
      <c r="R130" s="2885"/>
    </row>
    <row r="131" s="2005" customFormat="1" spans="2:18">
      <c r="B131" s="2883"/>
      <c r="C131" s="2883"/>
      <c r="D131" s="2883"/>
      <c r="E131" s="2883"/>
      <c r="F131" s="2883"/>
      <c r="G131" s="2884"/>
      <c r="H131" s="2883"/>
      <c r="I131" s="2884"/>
      <c r="J131" s="2883"/>
      <c r="K131" s="2883"/>
      <c r="L131" s="2884"/>
      <c r="M131" s="2883"/>
      <c r="N131" s="2883"/>
      <c r="O131" s="2884"/>
      <c r="P131" s="2883"/>
      <c r="Q131" s="2883"/>
      <c r="R131" s="2885"/>
    </row>
    <row r="132" s="2005" customFormat="1" spans="2:18">
      <c r="B132" s="2883"/>
      <c r="C132" s="2883"/>
      <c r="D132" s="2883"/>
      <c r="E132" s="2883"/>
      <c r="F132" s="2883"/>
      <c r="G132" s="2884"/>
      <c r="H132" s="2883"/>
      <c r="I132" s="2884"/>
      <c r="J132" s="2883"/>
      <c r="K132" s="2883"/>
      <c r="L132" s="2884"/>
      <c r="M132" s="2883"/>
      <c r="N132" s="2883"/>
      <c r="O132" s="2884"/>
      <c r="P132" s="2883"/>
      <c r="Q132" s="2883"/>
      <c r="R132" s="2885"/>
    </row>
    <row r="133" s="2005" customFormat="1" spans="2:18">
      <c r="B133" s="2883"/>
      <c r="C133" s="2883"/>
      <c r="D133" s="2883"/>
      <c r="E133" s="2883"/>
      <c r="F133" s="2883"/>
      <c r="G133" s="2884"/>
      <c r="H133" s="2883"/>
      <c r="I133" s="2884"/>
      <c r="J133" s="2883"/>
      <c r="K133" s="2883"/>
      <c r="L133" s="2884"/>
      <c r="M133" s="2883"/>
      <c r="N133" s="2883"/>
      <c r="O133" s="2884"/>
      <c r="P133" s="2883"/>
      <c r="Q133" s="2883"/>
      <c r="R133" s="2885"/>
    </row>
    <row r="134" s="2005" customFormat="1" spans="2:18">
      <c r="B134" s="2883"/>
      <c r="C134" s="2883"/>
      <c r="D134" s="2883"/>
      <c r="E134" s="2883"/>
      <c r="F134" s="2883"/>
      <c r="G134" s="2884"/>
      <c r="H134" s="2883"/>
      <c r="I134" s="2884"/>
      <c r="J134" s="2883"/>
      <c r="K134" s="2883"/>
      <c r="L134" s="2884"/>
      <c r="M134" s="2883"/>
      <c r="N134" s="2883"/>
      <c r="O134" s="2884"/>
      <c r="P134" s="2883"/>
      <c r="Q134" s="2883"/>
      <c r="R134" s="2885"/>
    </row>
    <row r="135" s="2005" customFormat="1" spans="2:18">
      <c r="B135" s="2883"/>
      <c r="C135" s="2883"/>
      <c r="D135" s="2883"/>
      <c r="E135" s="2883"/>
      <c r="F135" s="2883"/>
      <c r="G135" s="2884"/>
      <c r="H135" s="2883"/>
      <c r="I135" s="2884"/>
      <c r="J135" s="2883"/>
      <c r="K135" s="2883"/>
      <c r="L135" s="2884"/>
      <c r="M135" s="2883"/>
      <c r="N135" s="2883"/>
      <c r="O135" s="2884"/>
      <c r="P135" s="2883"/>
      <c r="Q135" s="2883"/>
      <c r="R135" s="2885"/>
    </row>
    <row r="136" s="2005" customFormat="1" spans="2:18">
      <c r="B136" s="2883"/>
      <c r="C136" s="2883"/>
      <c r="D136" s="2883"/>
      <c r="E136" s="2883"/>
      <c r="F136" s="2883"/>
      <c r="G136" s="2884"/>
      <c r="H136" s="2883"/>
      <c r="I136" s="2884"/>
      <c r="J136" s="2883"/>
      <c r="K136" s="2883"/>
      <c r="L136" s="2884"/>
      <c r="M136" s="2883"/>
      <c r="N136" s="2883"/>
      <c r="O136" s="2884"/>
      <c r="P136" s="2883"/>
      <c r="Q136" s="2883"/>
      <c r="R136" s="2885"/>
    </row>
    <row r="137" s="2005" customFormat="1" spans="2:18">
      <c r="B137" s="2883"/>
      <c r="C137" s="2883"/>
      <c r="D137" s="2883"/>
      <c r="E137" s="2883"/>
      <c r="F137" s="2883"/>
      <c r="G137" s="2884"/>
      <c r="H137" s="2883"/>
      <c r="I137" s="2884"/>
      <c r="J137" s="2883"/>
      <c r="K137" s="2883"/>
      <c r="L137" s="2884"/>
      <c r="M137" s="2883"/>
      <c r="N137" s="2883"/>
      <c r="O137" s="2884"/>
      <c r="P137" s="2883"/>
      <c r="Q137" s="2883"/>
      <c r="R137" s="2885"/>
    </row>
    <row r="138" s="2005" customFormat="1" spans="2:18">
      <c r="B138" s="2883"/>
      <c r="C138" s="2883"/>
      <c r="D138" s="2883"/>
      <c r="E138" s="2883"/>
      <c r="F138" s="2883"/>
      <c r="G138" s="2884"/>
      <c r="H138" s="2883"/>
      <c r="I138" s="2884"/>
      <c r="J138" s="2883"/>
      <c r="K138" s="2883"/>
      <c r="L138" s="2884"/>
      <c r="M138" s="2883"/>
      <c r="N138" s="2883"/>
      <c r="O138" s="2884"/>
      <c r="P138" s="2883"/>
      <c r="Q138" s="2883"/>
      <c r="R138" s="2885"/>
    </row>
    <row r="139" s="2005" customFormat="1" spans="2:18">
      <c r="B139" s="2883"/>
      <c r="C139" s="2883"/>
      <c r="D139" s="2883"/>
      <c r="E139" s="2883"/>
      <c r="F139" s="2883"/>
      <c r="G139" s="2884"/>
      <c r="H139" s="2883"/>
      <c r="I139" s="2884"/>
      <c r="J139" s="2883"/>
      <c r="K139" s="2883"/>
      <c r="L139" s="2884"/>
      <c r="M139" s="2883"/>
      <c r="N139" s="2883"/>
      <c r="O139" s="2884"/>
      <c r="P139" s="2883"/>
      <c r="Q139" s="2883"/>
      <c r="R139" s="2885"/>
    </row>
    <row r="140" s="2005" customFormat="1" spans="2:18">
      <c r="B140" s="2883"/>
      <c r="C140" s="2883"/>
      <c r="D140" s="2883"/>
      <c r="E140" s="2883"/>
      <c r="F140" s="2883"/>
      <c r="G140" s="2884"/>
      <c r="H140" s="2883"/>
      <c r="I140" s="2884"/>
      <c r="J140" s="2883"/>
      <c r="K140" s="2883"/>
      <c r="L140" s="2884"/>
      <c r="M140" s="2883"/>
      <c r="N140" s="2883"/>
      <c r="O140" s="2884"/>
      <c r="P140" s="2883"/>
      <c r="Q140" s="2883"/>
      <c r="R140" s="2885"/>
    </row>
    <row r="141" s="2005" customFormat="1" spans="2:18">
      <c r="B141" s="2883"/>
      <c r="C141" s="2883"/>
      <c r="D141" s="2883"/>
      <c r="E141" s="2883"/>
      <c r="F141" s="2883"/>
      <c r="G141" s="2884"/>
      <c r="H141" s="2883"/>
      <c r="I141" s="2884"/>
      <c r="J141" s="2883"/>
      <c r="K141" s="2883"/>
      <c r="L141" s="2884"/>
      <c r="M141" s="2883"/>
      <c r="N141" s="2883"/>
      <c r="O141" s="2884"/>
      <c r="P141" s="2883"/>
      <c r="Q141" s="2883"/>
      <c r="R141" s="2885"/>
    </row>
    <row r="142" s="2005" customFormat="1" spans="2:18">
      <c r="B142" s="2883"/>
      <c r="C142" s="2883"/>
      <c r="D142" s="2883"/>
      <c r="E142" s="2883"/>
      <c r="F142" s="2883"/>
      <c r="G142" s="2884"/>
      <c r="H142" s="2883"/>
      <c r="I142" s="2884"/>
      <c r="J142" s="2883"/>
      <c r="K142" s="2883"/>
      <c r="L142" s="2884"/>
      <c r="M142" s="2883"/>
      <c r="N142" s="2883"/>
      <c r="O142" s="2884"/>
      <c r="P142" s="2883"/>
      <c r="Q142" s="2883"/>
      <c r="R142" s="2885"/>
    </row>
    <row r="143" s="2005" customFormat="1" spans="2:18">
      <c r="B143" s="2883"/>
      <c r="C143" s="2883"/>
      <c r="D143" s="2883"/>
      <c r="E143" s="2883"/>
      <c r="F143" s="2883"/>
      <c r="G143" s="2884"/>
      <c r="H143" s="2883"/>
      <c r="I143" s="2884"/>
      <c r="J143" s="2883"/>
      <c r="K143" s="2883"/>
      <c r="L143" s="2884"/>
      <c r="M143" s="2883"/>
      <c r="N143" s="2883"/>
      <c r="O143" s="2884"/>
      <c r="P143" s="2883"/>
      <c r="Q143" s="2883"/>
      <c r="R143" s="2885"/>
    </row>
    <row r="144" s="2005" customFormat="1" spans="2:18">
      <c r="B144" s="2883"/>
      <c r="C144" s="2883"/>
      <c r="D144" s="2883"/>
      <c r="E144" s="2883"/>
      <c r="F144" s="2883"/>
      <c r="G144" s="2884"/>
      <c r="H144" s="2883"/>
      <c r="I144" s="2884"/>
      <c r="J144" s="2883"/>
      <c r="K144" s="2883"/>
      <c r="L144" s="2884"/>
      <c r="M144" s="2883"/>
      <c r="N144" s="2883"/>
      <c r="O144" s="2884"/>
      <c r="P144" s="2883"/>
      <c r="Q144" s="2883"/>
      <c r="R144" s="2885"/>
    </row>
    <row r="145" s="2005" customFormat="1" spans="2:18">
      <c r="B145" s="2883"/>
      <c r="C145" s="2883"/>
      <c r="D145" s="2883"/>
      <c r="E145" s="2883"/>
      <c r="F145" s="2883"/>
      <c r="G145" s="2884"/>
      <c r="H145" s="2883"/>
      <c r="I145" s="2884"/>
      <c r="J145" s="2883"/>
      <c r="K145" s="2883"/>
      <c r="L145" s="2884"/>
      <c r="M145" s="2883"/>
      <c r="N145" s="2883"/>
      <c r="O145" s="2884"/>
      <c r="P145" s="2883"/>
      <c r="Q145" s="2883"/>
      <c r="R145" s="2885"/>
    </row>
    <row r="146" s="2005" customFormat="1" spans="2:18">
      <c r="B146" s="2883"/>
      <c r="C146" s="2883"/>
      <c r="D146" s="2883"/>
      <c r="E146" s="2883"/>
      <c r="F146" s="2883"/>
      <c r="G146" s="2884"/>
      <c r="H146" s="2883"/>
      <c r="I146" s="2884"/>
      <c r="J146" s="2883"/>
      <c r="K146" s="2883"/>
      <c r="L146" s="2884"/>
      <c r="M146" s="2883"/>
      <c r="N146" s="2883"/>
      <c r="O146" s="2884"/>
      <c r="P146" s="2883"/>
      <c r="Q146" s="2883"/>
      <c r="R146" s="2885"/>
    </row>
    <row r="147" s="2005" customFormat="1" spans="2:18">
      <c r="B147" s="2883"/>
      <c r="C147" s="2883"/>
      <c r="D147" s="2883"/>
      <c r="E147" s="2883"/>
      <c r="F147" s="2883"/>
      <c r="G147" s="2884"/>
      <c r="H147" s="2883"/>
      <c r="I147" s="2884"/>
      <c r="J147" s="2883"/>
      <c r="K147" s="2883"/>
      <c r="L147" s="2884"/>
      <c r="M147" s="2883"/>
      <c r="N147" s="2883"/>
      <c r="O147" s="2884"/>
      <c r="P147" s="2883"/>
      <c r="Q147" s="2883"/>
      <c r="R147" s="2885"/>
    </row>
    <row r="148" s="2005" customFormat="1" spans="2:18">
      <c r="B148" s="2883"/>
      <c r="C148" s="2883"/>
      <c r="D148" s="2883"/>
      <c r="E148" s="2883"/>
      <c r="F148" s="2883"/>
      <c r="G148" s="2884"/>
      <c r="H148" s="2883"/>
      <c r="I148" s="2884"/>
      <c r="J148" s="2883"/>
      <c r="K148" s="2883"/>
      <c r="L148" s="2884"/>
      <c r="M148" s="2883"/>
      <c r="N148" s="2883"/>
      <c r="O148" s="2884"/>
      <c r="P148" s="2883"/>
      <c r="Q148" s="2883"/>
      <c r="R148" s="2885"/>
    </row>
    <row r="149" s="2005" customFormat="1" spans="2:18">
      <c r="B149" s="2883"/>
      <c r="C149" s="2883"/>
      <c r="D149" s="2883"/>
      <c r="E149" s="2883"/>
      <c r="F149" s="2883"/>
      <c r="G149" s="2884"/>
      <c r="H149" s="2883"/>
      <c r="I149" s="2884"/>
      <c r="J149" s="2883"/>
      <c r="K149" s="2883"/>
      <c r="L149" s="2884"/>
      <c r="M149" s="2883"/>
      <c r="N149" s="2883"/>
      <c r="O149" s="2884"/>
      <c r="P149" s="2883"/>
      <c r="Q149" s="2883"/>
      <c r="R149" s="2885"/>
    </row>
    <row r="150" s="2005" customFormat="1" spans="2:18">
      <c r="B150" s="2883"/>
      <c r="C150" s="2883"/>
      <c r="D150" s="2883"/>
      <c r="E150" s="2883"/>
      <c r="F150" s="2883"/>
      <c r="G150" s="2884"/>
      <c r="H150" s="2883"/>
      <c r="I150" s="2884"/>
      <c r="J150" s="2883"/>
      <c r="K150" s="2883"/>
      <c r="L150" s="2884"/>
      <c r="M150" s="2883"/>
      <c r="N150" s="2883"/>
      <c r="O150" s="2884"/>
      <c r="P150" s="2883"/>
      <c r="Q150" s="2883"/>
      <c r="R150" s="2885"/>
    </row>
    <row r="151" s="2005" customFormat="1" spans="2:18">
      <c r="B151" s="2883"/>
      <c r="C151" s="2883"/>
      <c r="D151" s="2883"/>
      <c r="E151" s="2883"/>
      <c r="F151" s="2883"/>
      <c r="G151" s="2884"/>
      <c r="H151" s="2883"/>
      <c r="I151" s="2884"/>
      <c r="J151" s="2883"/>
      <c r="K151" s="2883"/>
      <c r="L151" s="2884"/>
      <c r="M151" s="2883"/>
      <c r="N151" s="2883"/>
      <c r="O151" s="2884"/>
      <c r="P151" s="2883"/>
      <c r="Q151" s="2883"/>
      <c r="R151" s="2885"/>
    </row>
    <row r="152" s="2005" customFormat="1" spans="2:18">
      <c r="B152" s="2883"/>
      <c r="C152" s="2883"/>
      <c r="D152" s="2883"/>
      <c r="E152" s="2883"/>
      <c r="F152" s="2883"/>
      <c r="G152" s="2884"/>
      <c r="H152" s="2883"/>
      <c r="I152" s="2884"/>
      <c r="J152" s="2883"/>
      <c r="K152" s="2883"/>
      <c r="L152" s="2884"/>
      <c r="M152" s="2883"/>
      <c r="N152" s="2883"/>
      <c r="O152" s="2884"/>
      <c r="P152" s="2883"/>
      <c r="Q152" s="2883"/>
      <c r="R152" s="2885"/>
    </row>
    <row r="153" s="2005" customFormat="1" spans="2:18">
      <c r="B153" s="2883"/>
      <c r="C153" s="2883"/>
      <c r="D153" s="2883"/>
      <c r="E153" s="2883"/>
      <c r="F153" s="2883"/>
      <c r="G153" s="2884"/>
      <c r="H153" s="2883"/>
      <c r="I153" s="2884"/>
      <c r="J153" s="2883"/>
      <c r="K153" s="2883"/>
      <c r="L153" s="2884"/>
      <c r="M153" s="2883"/>
      <c r="N153" s="2883"/>
      <c r="O153" s="2884"/>
      <c r="P153" s="2883"/>
      <c r="Q153" s="2883"/>
      <c r="R153" s="2885"/>
    </row>
    <row r="154" s="2005" customFormat="1" spans="2:18">
      <c r="B154" s="2883"/>
      <c r="C154" s="2883"/>
      <c r="D154" s="2883"/>
      <c r="E154" s="2883"/>
      <c r="F154" s="2883"/>
      <c r="G154" s="2884"/>
      <c r="H154" s="2883"/>
      <c r="I154" s="2884"/>
      <c r="J154" s="2883"/>
      <c r="K154" s="2883"/>
      <c r="L154" s="2884"/>
      <c r="M154" s="2883"/>
      <c r="N154" s="2883"/>
      <c r="O154" s="2884"/>
      <c r="P154" s="2883"/>
      <c r="Q154" s="2883"/>
      <c r="R154" s="2885"/>
    </row>
    <row r="155" s="2005" customFormat="1" spans="2:18">
      <c r="B155" s="2883"/>
      <c r="C155" s="2883"/>
      <c r="D155" s="2883"/>
      <c r="E155" s="2883"/>
      <c r="F155" s="2883"/>
      <c r="G155" s="2884"/>
      <c r="H155" s="2883"/>
      <c r="I155" s="2884"/>
      <c r="J155" s="2883"/>
      <c r="K155" s="2883"/>
      <c r="L155" s="2884"/>
      <c r="M155" s="2883"/>
      <c r="N155" s="2883"/>
      <c r="O155" s="2884"/>
      <c r="P155" s="2883"/>
      <c r="Q155" s="2883"/>
      <c r="R155" s="2885"/>
    </row>
    <row r="156" s="2005" customFormat="1" spans="2:18">
      <c r="B156" s="2883"/>
      <c r="C156" s="2883"/>
      <c r="D156" s="2883"/>
      <c r="E156" s="2883"/>
      <c r="F156" s="2883"/>
      <c r="G156" s="2884"/>
      <c r="H156" s="2883"/>
      <c r="I156" s="2884"/>
      <c r="J156" s="2883"/>
      <c r="K156" s="2883"/>
      <c r="L156" s="2884"/>
      <c r="M156" s="2883"/>
      <c r="N156" s="2883"/>
      <c r="O156" s="2884"/>
      <c r="P156" s="2883"/>
      <c r="Q156" s="2883"/>
      <c r="R156" s="2885"/>
    </row>
    <row r="157" s="2005" customFormat="1" spans="2:18">
      <c r="B157" s="2883"/>
      <c r="C157" s="2883"/>
      <c r="D157" s="2883"/>
      <c r="E157" s="2883"/>
      <c r="F157" s="2883"/>
      <c r="G157" s="2884"/>
      <c r="H157" s="2883"/>
      <c r="I157" s="2884"/>
      <c r="J157" s="2883"/>
      <c r="K157" s="2883"/>
      <c r="L157" s="2884"/>
      <c r="M157" s="2883"/>
      <c r="N157" s="2883"/>
      <c r="O157" s="2884"/>
      <c r="P157" s="2883"/>
      <c r="Q157" s="2883"/>
      <c r="R157" s="2885"/>
    </row>
    <row r="158" s="2005" customFormat="1" spans="2:18">
      <c r="B158" s="2883"/>
      <c r="C158" s="2883"/>
      <c r="D158" s="2883"/>
      <c r="E158" s="2883"/>
      <c r="F158" s="2883"/>
      <c r="G158" s="2884"/>
      <c r="H158" s="2883"/>
      <c r="I158" s="2884"/>
      <c r="J158" s="2883"/>
      <c r="K158" s="2883"/>
      <c r="L158" s="2884"/>
      <c r="M158" s="2883"/>
      <c r="N158" s="2883"/>
      <c r="O158" s="2884"/>
      <c r="P158" s="2883"/>
      <c r="Q158" s="2883"/>
      <c r="R158" s="2885"/>
    </row>
    <row r="159" s="2005" customFormat="1" spans="2:18">
      <c r="B159" s="2883"/>
      <c r="C159" s="2883"/>
      <c r="D159" s="2883"/>
      <c r="E159" s="2883"/>
      <c r="F159" s="2883"/>
      <c r="G159" s="2884"/>
      <c r="H159" s="2883"/>
      <c r="I159" s="2884"/>
      <c r="J159" s="2883"/>
      <c r="K159" s="2883"/>
      <c r="L159" s="2884"/>
      <c r="M159" s="2883"/>
      <c r="N159" s="2883"/>
      <c r="O159" s="2884"/>
      <c r="P159" s="2883"/>
      <c r="Q159" s="2883"/>
      <c r="R159" s="2885"/>
    </row>
    <row r="160" s="2005" customFormat="1" spans="2:18">
      <c r="B160" s="2883"/>
      <c r="C160" s="2883"/>
      <c r="D160" s="2883"/>
      <c r="E160" s="2883"/>
      <c r="F160" s="2883"/>
      <c r="G160" s="2884"/>
      <c r="H160" s="2883"/>
      <c r="I160" s="2884"/>
      <c r="J160" s="2883"/>
      <c r="K160" s="2883"/>
      <c r="L160" s="2884"/>
      <c r="M160" s="2883"/>
      <c r="N160" s="2883"/>
      <c r="O160" s="2884"/>
      <c r="P160" s="2883"/>
      <c r="Q160" s="2883"/>
      <c r="R160" s="2885"/>
    </row>
    <row r="161" s="2005" customFormat="1" spans="2:18">
      <c r="B161" s="2883"/>
      <c r="C161" s="2883"/>
      <c r="D161" s="2883"/>
      <c r="E161" s="2883"/>
      <c r="F161" s="2883"/>
      <c r="G161" s="2884"/>
      <c r="H161" s="2883"/>
      <c r="I161" s="2884"/>
      <c r="J161" s="2883"/>
      <c r="K161" s="2883"/>
      <c r="L161" s="2884"/>
      <c r="M161" s="2883"/>
      <c r="N161" s="2883"/>
      <c r="O161" s="2884"/>
      <c r="P161" s="2883"/>
      <c r="Q161" s="2883"/>
      <c r="R161" s="2885"/>
    </row>
    <row r="162" s="2005" customFormat="1" spans="2:18">
      <c r="B162" s="2883"/>
      <c r="C162" s="2883"/>
      <c r="D162" s="2883"/>
      <c r="E162" s="2883"/>
      <c r="F162" s="2883"/>
      <c r="G162" s="2884"/>
      <c r="H162" s="2883"/>
      <c r="I162" s="2884"/>
      <c r="J162" s="2883"/>
      <c r="K162" s="2883"/>
      <c r="L162" s="2884"/>
      <c r="M162" s="2883"/>
      <c r="N162" s="2883"/>
      <c r="O162" s="2884"/>
      <c r="P162" s="2883"/>
      <c r="Q162" s="2883"/>
      <c r="R162" s="2885"/>
    </row>
    <row r="163" s="2005" customFormat="1" spans="2:18">
      <c r="B163" s="2883"/>
      <c r="C163" s="2883"/>
      <c r="D163" s="2883"/>
      <c r="E163" s="2883"/>
      <c r="F163" s="2883"/>
      <c r="G163" s="2884"/>
      <c r="H163" s="2883"/>
      <c r="I163" s="2884"/>
      <c r="J163" s="2883"/>
      <c r="K163" s="2883"/>
      <c r="L163" s="2884"/>
      <c r="M163" s="2883"/>
      <c r="N163" s="2883"/>
      <c r="O163" s="2884"/>
      <c r="P163" s="2883"/>
      <c r="Q163" s="2883"/>
      <c r="R163" s="2885"/>
    </row>
    <row r="164" s="2005" customFormat="1" spans="2:18">
      <c r="B164" s="2883"/>
      <c r="C164" s="2883"/>
      <c r="D164" s="2883"/>
      <c r="E164" s="2883"/>
      <c r="F164" s="2883"/>
      <c r="G164" s="2884"/>
      <c r="H164" s="2883"/>
      <c r="I164" s="2884"/>
      <c r="J164" s="2883"/>
      <c r="K164" s="2883"/>
      <c r="L164" s="2884"/>
      <c r="M164" s="2883"/>
      <c r="N164" s="2883"/>
      <c r="O164" s="2884"/>
      <c r="P164" s="2883"/>
      <c r="Q164" s="2883"/>
      <c r="R164" s="2885"/>
    </row>
    <row r="165" s="2005" customFormat="1" spans="2:18">
      <c r="B165" s="2883"/>
      <c r="C165" s="2883"/>
      <c r="D165" s="2883"/>
      <c r="E165" s="2883"/>
      <c r="F165" s="2883"/>
      <c r="G165" s="2884"/>
      <c r="H165" s="2883"/>
      <c r="I165" s="2884"/>
      <c r="J165" s="2883"/>
      <c r="K165" s="2883"/>
      <c r="L165" s="2884"/>
      <c r="M165" s="2883"/>
      <c r="N165" s="2883"/>
      <c r="O165" s="2884"/>
      <c r="P165" s="2883"/>
      <c r="Q165" s="2883"/>
      <c r="R165" s="2885"/>
    </row>
    <row r="166" s="2005" customFormat="1" spans="2:18">
      <c r="B166" s="2883"/>
      <c r="C166" s="2883"/>
      <c r="D166" s="2883"/>
      <c r="E166" s="2883"/>
      <c r="F166" s="2883"/>
      <c r="G166" s="2884"/>
      <c r="H166" s="2883"/>
      <c r="I166" s="2884"/>
      <c r="J166" s="2883"/>
      <c r="K166" s="2883"/>
      <c r="L166" s="2884"/>
      <c r="M166" s="2883"/>
      <c r="N166" s="2883"/>
      <c r="O166" s="2884"/>
      <c r="P166" s="2883"/>
      <c r="Q166" s="2883"/>
      <c r="R166" s="2885"/>
    </row>
    <row r="167" s="2005" customFormat="1" spans="2:18">
      <c r="B167" s="2883"/>
      <c r="C167" s="2883"/>
      <c r="D167" s="2883"/>
      <c r="E167" s="2883"/>
      <c r="F167" s="2883"/>
      <c r="G167" s="2884"/>
      <c r="H167" s="2883"/>
      <c r="I167" s="2884"/>
      <c r="J167" s="2883"/>
      <c r="K167" s="2883"/>
      <c r="L167" s="2884"/>
      <c r="M167" s="2883"/>
      <c r="N167" s="2883"/>
      <c r="O167" s="2884"/>
      <c r="P167" s="2883"/>
      <c r="Q167" s="2883"/>
      <c r="R167" s="2885"/>
    </row>
    <row r="168" s="2005" customFormat="1" spans="2:18">
      <c r="B168" s="2883"/>
      <c r="C168" s="2883"/>
      <c r="D168" s="2883"/>
      <c r="E168" s="2883"/>
      <c r="F168" s="2883"/>
      <c r="G168" s="2884"/>
      <c r="H168" s="2883"/>
      <c r="I168" s="2884"/>
      <c r="J168" s="2883"/>
      <c r="K168" s="2883"/>
      <c r="L168" s="2884"/>
      <c r="M168" s="2883"/>
      <c r="N168" s="2883"/>
      <c r="O168" s="2884"/>
      <c r="P168" s="2883"/>
      <c r="Q168" s="2883"/>
      <c r="R168" s="2885"/>
    </row>
    <row r="169" s="2005" customFormat="1" spans="2:18">
      <c r="B169" s="2883"/>
      <c r="C169" s="2883"/>
      <c r="D169" s="2883"/>
      <c r="E169" s="2883"/>
      <c r="F169" s="2883"/>
      <c r="G169" s="2884"/>
      <c r="H169" s="2883"/>
      <c r="I169" s="2884"/>
      <c r="J169" s="2883"/>
      <c r="K169" s="2883"/>
      <c r="L169" s="2884"/>
      <c r="M169" s="2883"/>
      <c r="N169" s="2883"/>
      <c r="O169" s="2884"/>
      <c r="P169" s="2883"/>
      <c r="Q169" s="2883"/>
      <c r="R169" s="2885"/>
    </row>
    <row r="170" s="2005" customFormat="1" spans="2:18">
      <c r="B170" s="2883"/>
      <c r="C170" s="2883"/>
      <c r="D170" s="2883"/>
      <c r="E170" s="2883"/>
      <c r="F170" s="2883"/>
      <c r="G170" s="2884"/>
      <c r="H170" s="2883"/>
      <c r="I170" s="2884"/>
      <c r="J170" s="2883"/>
      <c r="K170" s="2883"/>
      <c r="L170" s="2884"/>
      <c r="M170" s="2883"/>
      <c r="N170" s="2883"/>
      <c r="O170" s="2884"/>
      <c r="P170" s="2883"/>
      <c r="Q170" s="2883"/>
      <c r="R170" s="2885"/>
    </row>
    <row r="171" s="2005" customFormat="1" spans="2:18">
      <c r="B171" s="2883"/>
      <c r="C171" s="2883"/>
      <c r="D171" s="2883"/>
      <c r="E171" s="2883"/>
      <c r="F171" s="2883"/>
      <c r="G171" s="2884"/>
      <c r="H171" s="2883"/>
      <c r="I171" s="2884"/>
      <c r="J171" s="2883"/>
      <c r="K171" s="2883"/>
      <c r="L171" s="2884"/>
      <c r="M171" s="2883"/>
      <c r="N171" s="2883"/>
      <c r="O171" s="2884"/>
      <c r="P171" s="2883"/>
      <c r="Q171" s="2883"/>
      <c r="R171" s="2885"/>
    </row>
    <row r="172" s="2005" customFormat="1" spans="2:18">
      <c r="B172" s="2883"/>
      <c r="C172" s="2883"/>
      <c r="D172" s="2883"/>
      <c r="E172" s="2883"/>
      <c r="F172" s="2883"/>
      <c r="G172" s="2884"/>
      <c r="H172" s="2883"/>
      <c r="I172" s="2884"/>
      <c r="J172" s="2883"/>
      <c r="K172" s="2883"/>
      <c r="L172" s="2884"/>
      <c r="M172" s="2883"/>
      <c r="N172" s="2883"/>
      <c r="O172" s="2884"/>
      <c r="P172" s="2883"/>
      <c r="Q172" s="2883"/>
      <c r="R172" s="2885"/>
    </row>
    <row r="173" s="2005" customFormat="1" spans="2:18">
      <c r="B173" s="2883"/>
      <c r="C173" s="2883"/>
      <c r="D173" s="2883"/>
      <c r="E173" s="2883"/>
      <c r="F173" s="2883"/>
      <c r="G173" s="2884"/>
      <c r="H173" s="2883"/>
      <c r="I173" s="2884"/>
      <c r="J173" s="2883"/>
      <c r="K173" s="2883"/>
      <c r="L173" s="2884"/>
      <c r="M173" s="2883"/>
      <c r="N173" s="2883"/>
      <c r="O173" s="2884"/>
      <c r="P173" s="2883"/>
      <c r="Q173" s="2883"/>
      <c r="R173" s="2885"/>
    </row>
    <row r="174" s="2005" customFormat="1" spans="2:18">
      <c r="B174" s="2883"/>
      <c r="C174" s="2883"/>
      <c r="D174" s="2883"/>
      <c r="E174" s="2883"/>
      <c r="F174" s="2883"/>
      <c r="G174" s="2884"/>
      <c r="H174" s="2883"/>
      <c r="I174" s="2884"/>
      <c r="J174" s="2883"/>
      <c r="K174" s="2883"/>
      <c r="L174" s="2884"/>
      <c r="M174" s="2883"/>
      <c r="N174" s="2883"/>
      <c r="O174" s="2884"/>
      <c r="P174" s="2883"/>
      <c r="Q174" s="2883"/>
      <c r="R174" s="2885"/>
    </row>
    <row r="175" s="2005" customFormat="1" spans="2:18">
      <c r="B175" s="2883"/>
      <c r="C175" s="2883"/>
      <c r="D175" s="2883"/>
      <c r="E175" s="2883"/>
      <c r="F175" s="2883"/>
      <c r="G175" s="2884"/>
      <c r="H175" s="2883"/>
      <c r="I175" s="2884"/>
      <c r="J175" s="2883"/>
      <c r="K175" s="2883"/>
      <c r="L175" s="2884"/>
      <c r="M175" s="2883"/>
      <c r="N175" s="2883"/>
      <c r="O175" s="2884"/>
      <c r="P175" s="2883"/>
      <c r="Q175" s="2883"/>
      <c r="R175" s="2885"/>
    </row>
    <row r="176" s="2005" customFormat="1" spans="2:18">
      <c r="B176" s="2883"/>
      <c r="C176" s="2883"/>
      <c r="D176" s="2883"/>
      <c r="E176" s="2883"/>
      <c r="F176" s="2883"/>
      <c r="G176" s="2884"/>
      <c r="H176" s="2883"/>
      <c r="I176" s="2884"/>
      <c r="J176" s="2883"/>
      <c r="K176" s="2883"/>
      <c r="L176" s="2884"/>
      <c r="M176" s="2883"/>
      <c r="N176" s="2883"/>
      <c r="O176" s="2884"/>
      <c r="P176" s="2883"/>
      <c r="Q176" s="2883"/>
      <c r="R176" s="2885"/>
    </row>
    <row r="177" s="2005" customFormat="1" spans="2:18">
      <c r="B177" s="2883"/>
      <c r="C177" s="2883"/>
      <c r="D177" s="2883"/>
      <c r="E177" s="2883"/>
      <c r="F177" s="2883"/>
      <c r="G177" s="2884"/>
      <c r="H177" s="2883"/>
      <c r="I177" s="2884"/>
      <c r="J177" s="2883"/>
      <c r="K177" s="2883"/>
      <c r="L177" s="2884"/>
      <c r="M177" s="2883"/>
      <c r="N177" s="2883"/>
      <c r="O177" s="2884"/>
      <c r="P177" s="2883"/>
      <c r="Q177" s="2883"/>
      <c r="R177" s="2885"/>
    </row>
    <row r="178" s="2005" customFormat="1" spans="2:18">
      <c r="B178" s="2883"/>
      <c r="C178" s="2883"/>
      <c r="D178" s="2883"/>
      <c r="E178" s="2883"/>
      <c r="F178" s="2883"/>
      <c r="G178" s="2884"/>
      <c r="H178" s="2883"/>
      <c r="I178" s="2884"/>
      <c r="J178" s="2883"/>
      <c r="K178" s="2883"/>
      <c r="L178" s="2884"/>
      <c r="M178" s="2883"/>
      <c r="N178" s="2883"/>
      <c r="O178" s="2884"/>
      <c r="P178" s="2883"/>
      <c r="Q178" s="2883"/>
      <c r="R178" s="2885"/>
    </row>
    <row r="179" s="2005" customFormat="1" spans="2:18">
      <c r="B179" s="2883"/>
      <c r="C179" s="2883"/>
      <c r="D179" s="2883"/>
      <c r="E179" s="2883"/>
      <c r="F179" s="2883"/>
      <c r="G179" s="2884"/>
      <c r="H179" s="2883"/>
      <c r="I179" s="2884"/>
      <c r="J179" s="2883"/>
      <c r="K179" s="2883"/>
      <c r="L179" s="2884"/>
      <c r="M179" s="2883"/>
      <c r="N179" s="2883"/>
      <c r="O179" s="2884"/>
      <c r="P179" s="2883"/>
      <c r="Q179" s="2883"/>
      <c r="R179" s="2885"/>
    </row>
    <row r="180" s="2005" customFormat="1" spans="2:18">
      <c r="B180" s="2883"/>
      <c r="C180" s="2883"/>
      <c r="D180" s="2883"/>
      <c r="E180" s="2883"/>
      <c r="F180" s="2883"/>
      <c r="G180" s="2884"/>
      <c r="H180" s="2883"/>
      <c r="I180" s="2884"/>
      <c r="J180" s="2883"/>
      <c r="K180" s="2883"/>
      <c r="L180" s="2884"/>
      <c r="M180" s="2883"/>
      <c r="N180" s="2883"/>
      <c r="O180" s="2884"/>
      <c r="P180" s="2883"/>
      <c r="Q180" s="2883"/>
      <c r="R180" s="2885"/>
    </row>
    <row r="181" s="2005" customFormat="1" spans="2:18">
      <c r="B181" s="2883"/>
      <c r="C181" s="2883"/>
      <c r="D181" s="2883"/>
      <c r="E181" s="2883"/>
      <c r="F181" s="2883"/>
      <c r="G181" s="2884"/>
      <c r="H181" s="2883"/>
      <c r="I181" s="2884"/>
      <c r="J181" s="2883"/>
      <c r="K181" s="2883"/>
      <c r="L181" s="2884"/>
      <c r="M181" s="2883"/>
      <c r="N181" s="2883"/>
      <c r="O181" s="2884"/>
      <c r="P181" s="2883"/>
      <c r="Q181" s="2883"/>
      <c r="R181" s="2885"/>
    </row>
    <row r="182" s="2005" customFormat="1" spans="2:18">
      <c r="B182" s="2883"/>
      <c r="C182" s="2883"/>
      <c r="D182" s="2883"/>
      <c r="E182" s="2883"/>
      <c r="F182" s="2883"/>
      <c r="G182" s="2884"/>
      <c r="H182" s="2883"/>
      <c r="I182" s="2884"/>
      <c r="J182" s="2883"/>
      <c r="K182" s="2883"/>
      <c r="L182" s="2884"/>
      <c r="M182" s="2883"/>
      <c r="N182" s="2883"/>
      <c r="O182" s="2884"/>
      <c r="P182" s="2883"/>
      <c r="Q182" s="2883"/>
      <c r="R182" s="2885"/>
    </row>
    <row r="183" s="2005" customFormat="1" spans="2:18">
      <c r="B183" s="2883"/>
      <c r="C183" s="2883"/>
      <c r="D183" s="2883"/>
      <c r="E183" s="2883"/>
      <c r="F183" s="2883"/>
      <c r="G183" s="2884"/>
      <c r="H183" s="2883"/>
      <c r="I183" s="2884"/>
      <c r="J183" s="2883"/>
      <c r="K183" s="2883"/>
      <c r="L183" s="2884"/>
      <c r="M183" s="2883"/>
      <c r="N183" s="2883"/>
      <c r="O183" s="2884"/>
      <c r="P183" s="2883"/>
      <c r="Q183" s="2883"/>
      <c r="R183" s="2885"/>
    </row>
    <row r="184" s="2005" customFormat="1" spans="2:18">
      <c r="B184" s="2883"/>
      <c r="C184" s="2883"/>
      <c r="D184" s="2883"/>
      <c r="E184" s="2883"/>
      <c r="F184" s="2883"/>
      <c r="G184" s="2884"/>
      <c r="H184" s="2883"/>
      <c r="I184" s="2884"/>
      <c r="J184" s="2883"/>
      <c r="K184" s="2883"/>
      <c r="L184" s="2884"/>
      <c r="M184" s="2883"/>
      <c r="N184" s="2883"/>
      <c r="O184" s="2884"/>
      <c r="P184" s="2883"/>
      <c r="Q184" s="2883"/>
      <c r="R184" s="2885"/>
    </row>
    <row r="185" s="2005"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005"/>
      <c r="B186" s="2883"/>
      <c r="C186" s="2883"/>
      <c r="E186" s="2883"/>
      <c r="F186" s="2883"/>
      <c r="G186" s="2884"/>
    </row>
    <row r="187" spans="1:7">
      <c r="A187" s="2005"/>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860" customWidth="1"/>
    <col min="2" max="9" width="15.7545454545455" style="2860" customWidth="1"/>
    <col min="10" max="16384" width="9" style="2860"/>
  </cols>
  <sheetData>
    <row r="1" ht="16.5" spans="1:11">
      <c r="A1" s="2861" t="s">
        <v>756</v>
      </c>
      <c r="B1" s="2861">
        <f>SUM(B14:B23)</f>
        <v>68156.19</v>
      </c>
      <c r="C1" s="2862"/>
      <c r="D1" s="2862"/>
      <c r="E1" s="2862"/>
      <c r="F1" s="2862"/>
      <c r="G1" s="2863"/>
      <c r="H1" s="2864"/>
      <c r="I1" s="2864"/>
      <c r="J1" s="2864"/>
      <c r="K1" s="2864"/>
    </row>
    <row r="2" ht="16.5" spans="1:11">
      <c r="A2" s="2861" t="s">
        <v>757</v>
      </c>
      <c r="B2" s="2861">
        <f>SUM(C14:C23)</f>
        <v>11645.87</v>
      </c>
      <c r="C2" s="2862"/>
      <c r="D2" s="2862"/>
      <c r="E2" s="2862"/>
      <c r="F2" s="2862"/>
      <c r="G2" s="2863"/>
      <c r="H2" s="2864"/>
      <c r="I2" s="2864"/>
      <c r="J2" s="2864"/>
      <c r="K2" s="2864"/>
    </row>
    <row r="3" ht="16.5" spans="1:11">
      <c r="A3" s="2861" t="s">
        <v>758</v>
      </c>
      <c r="B3" s="2865">
        <f>项目基本情况!D3</f>
        <v>45644</v>
      </c>
      <c r="C3" s="2862"/>
      <c r="D3" s="2862"/>
      <c r="E3" s="2862"/>
      <c r="F3" s="2862"/>
      <c r="G3" s="2863"/>
      <c r="H3" s="2864"/>
      <c r="I3" s="2864"/>
      <c r="J3" s="2864"/>
      <c r="K3" s="2864"/>
    </row>
    <row r="4" ht="33" spans="1:11">
      <c r="A4" s="2861" t="s">
        <v>759</v>
      </c>
      <c r="B4" s="2861" t="s">
        <v>760</v>
      </c>
      <c r="C4" s="2861" t="s">
        <v>761</v>
      </c>
      <c r="D4" s="2861" t="s">
        <v>762</v>
      </c>
      <c r="E4" s="2862"/>
      <c r="F4" s="2863"/>
      <c r="G4" s="2863"/>
      <c r="H4" s="2864"/>
      <c r="I4" s="2864"/>
      <c r="J4" s="2864"/>
      <c r="K4" s="2864"/>
    </row>
    <row r="5" ht="16.5" spans="1:11">
      <c r="A5" s="2861" t="s">
        <v>763</v>
      </c>
      <c r="B5" s="2861">
        <f ca="1">SUM(D14:D23)</f>
        <v>50065</v>
      </c>
      <c r="C5" s="2861">
        <f ca="1">IF(B5=D14,结果表!H102,ROUND(B5*10000/$B$1,0))</f>
        <v>7346</v>
      </c>
      <c r="D5" s="2861">
        <f ca="1">ROUND(B5*10000/$B$2,0)</f>
        <v>42989</v>
      </c>
      <c r="E5" s="2866">
        <f ca="1">B5*10000</f>
        <v>500650000</v>
      </c>
      <c r="F5" s="2863"/>
      <c r="G5" s="2863"/>
      <c r="H5" s="2864"/>
      <c r="I5" s="2864"/>
      <c r="J5" s="2864"/>
      <c r="K5" s="2864"/>
    </row>
    <row r="6" ht="16.5" spans="1:11">
      <c r="A6" s="2861" t="s">
        <v>764</v>
      </c>
      <c r="B6" s="2861">
        <f ca="1">SUM(G14:G23)</f>
        <v>50065</v>
      </c>
      <c r="C6" s="2861">
        <f ca="1">IF(B6=G14,结果表!H108,ROUND(B6*10000/$B$1,0))</f>
        <v>7346</v>
      </c>
      <c r="D6" s="2861">
        <f ca="1">ROUND(B6*10000/$B$2,0)</f>
        <v>42989</v>
      </c>
      <c r="E6" s="2862"/>
      <c r="F6" s="2863"/>
      <c r="G6" s="2863"/>
      <c r="H6" s="2864"/>
      <c r="I6" s="2864"/>
      <c r="J6" s="2864"/>
      <c r="K6" s="2864"/>
    </row>
    <row r="7" ht="16.5" spans="1:11">
      <c r="A7" s="2861" t="s">
        <v>765</v>
      </c>
      <c r="B7" s="2861">
        <f>SUM(H14:H23)</f>
        <v>0</v>
      </c>
      <c r="C7" s="2861" t="str">
        <f ca="1">IF(B7=H14,结果表!H110,ROUND(B7*10000/$B$1,0))</f>
        <v>——</v>
      </c>
      <c r="D7" s="2861">
        <f>ROUND(B7*10000/$B$2,0)</f>
        <v>0</v>
      </c>
      <c r="E7" s="2862"/>
      <c r="F7" s="2863"/>
      <c r="G7" s="2863"/>
      <c r="H7" s="2864"/>
      <c r="I7" s="2864"/>
      <c r="J7" s="2864"/>
      <c r="K7" s="2864"/>
    </row>
    <row r="8" ht="16.5" spans="1:11">
      <c r="A8" s="2861" t="s">
        <v>336</v>
      </c>
      <c r="B8" s="2861">
        <f>SUM(I14:I23)</f>
        <v>0</v>
      </c>
      <c r="C8" s="2861" t="str">
        <f ca="1">IF(B8=I14,结果表!H112,ROUND(B8*10000/$B$1,0))</f>
        <v>——</v>
      </c>
      <c r="D8" s="2861">
        <f>ROUND(B8*10000/$B$2,0)</f>
        <v>0</v>
      </c>
      <c r="E8" s="2862"/>
      <c r="F8" s="2863"/>
      <c r="G8" s="2863"/>
      <c r="H8" s="2864"/>
      <c r="I8" s="2864"/>
      <c r="J8" s="2864"/>
      <c r="K8" s="2864"/>
    </row>
    <row r="9" ht="16.5" spans="1:11">
      <c r="A9" s="2861" t="s">
        <v>766</v>
      </c>
      <c r="B9" s="2867"/>
      <c r="C9" s="2862"/>
      <c r="D9" s="2862"/>
      <c r="E9" s="2862"/>
      <c r="F9" s="2863"/>
      <c r="G9" s="2863"/>
      <c r="H9" s="2864"/>
      <c r="I9" s="2864"/>
      <c r="J9" s="2864"/>
      <c r="K9" s="2864"/>
    </row>
    <row r="10" ht="16.5" spans="1:11">
      <c r="A10" s="2861" t="s">
        <v>767</v>
      </c>
      <c r="B10" s="2861">
        <f>IF(E10="",0,ROUND(B1*(E10*365/G10)/10000,0))</f>
        <v>0</v>
      </c>
      <c r="C10" s="2861" t="s">
        <v>768</v>
      </c>
      <c r="D10" s="2861" t="s">
        <v>767</v>
      </c>
      <c r="E10" s="2868"/>
      <c r="F10" s="2869" t="s">
        <v>769</v>
      </c>
      <c r="G10" s="2870"/>
      <c r="H10" s="2864"/>
      <c r="I10" s="2864"/>
      <c r="J10" s="2864"/>
      <c r="K10" s="2864"/>
    </row>
    <row r="11" ht="16.5" spans="1:11">
      <c r="A11" s="2861" t="s">
        <v>770</v>
      </c>
      <c r="B11" s="2867"/>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1" t="s">
        <v>771</v>
      </c>
      <c r="B13" s="2872" t="s">
        <v>756</v>
      </c>
      <c r="C13" s="2872" t="s">
        <v>757</v>
      </c>
      <c r="D13" s="2872" t="s">
        <v>772</v>
      </c>
      <c r="E13" s="2861" t="s">
        <v>761</v>
      </c>
      <c r="F13" s="2861" t="s">
        <v>762</v>
      </c>
      <c r="G13" s="2872" t="s">
        <v>773</v>
      </c>
      <c r="H13" s="2872" t="s">
        <v>774</v>
      </c>
      <c r="I13" s="2872" t="s">
        <v>775</v>
      </c>
      <c r="J13" s="2863"/>
      <c r="K13" s="2864"/>
    </row>
    <row r="14" ht="16.5" spans="1:11">
      <c r="A14" s="2873" t="s">
        <v>776</v>
      </c>
      <c r="B14" s="2874">
        <f>'数据-汇总表'!E3</f>
        <v>68156.19</v>
      </c>
      <c r="C14" s="2874">
        <f>'数据-汇总表'!D3</f>
        <v>11645.87</v>
      </c>
      <c r="D14" s="2874">
        <f ca="1">结果表!G19</f>
        <v>50065</v>
      </c>
      <c r="E14" s="2874">
        <f ca="1">ROUND(D14*10000/B14,0)</f>
        <v>7346</v>
      </c>
      <c r="F14" s="2874">
        <f ca="1">ROUND(D14*10000/C14,0)</f>
        <v>42989</v>
      </c>
      <c r="G14" s="2874">
        <f ca="1">D14</f>
        <v>50065</v>
      </c>
      <c r="H14" s="2874"/>
      <c r="I14" s="2874"/>
      <c r="J14" s="2863"/>
      <c r="K14" s="2864"/>
    </row>
    <row r="15" ht="16.5" spans="1:11">
      <c r="A15" s="2873" t="s">
        <v>777</v>
      </c>
      <c r="B15" s="2875"/>
      <c r="C15" s="2875"/>
      <c r="D15" s="2875"/>
      <c r="E15" s="2874" t="e">
        <f t="shared" ref="E15:E23" si="0">ROUND(D15*10000/B15,0)</f>
        <v>#DIV/0!</v>
      </c>
      <c r="F15" s="2874" t="e">
        <f t="shared" ref="F15:F23" si="1">ROUND(D15*10000/C15,0)</f>
        <v>#DIV/0!</v>
      </c>
      <c r="G15" s="2876"/>
      <c r="H15" s="2876"/>
      <c r="I15" s="2875"/>
      <c r="J15" s="2863"/>
      <c r="K15" s="2864"/>
    </row>
    <row r="16" ht="16.5" spans="1:11">
      <c r="A16" s="2873" t="s">
        <v>778</v>
      </c>
      <c r="B16" s="2875"/>
      <c r="C16" s="2875"/>
      <c r="D16" s="2875"/>
      <c r="E16" s="2874" t="e">
        <f t="shared" si="0"/>
        <v>#DIV/0!</v>
      </c>
      <c r="F16" s="2874" t="e">
        <f t="shared" si="1"/>
        <v>#DIV/0!</v>
      </c>
      <c r="G16" s="2876"/>
      <c r="H16" s="2876"/>
      <c r="I16" s="2875"/>
      <c r="J16" s="2864"/>
      <c r="K16" s="2864"/>
    </row>
    <row r="17" ht="16.5" spans="1:11">
      <c r="A17" s="2873" t="s">
        <v>779</v>
      </c>
      <c r="B17" s="2875"/>
      <c r="C17" s="2875"/>
      <c r="D17" s="2875"/>
      <c r="E17" s="2874" t="e">
        <f t="shared" si="0"/>
        <v>#DIV/0!</v>
      </c>
      <c r="F17" s="2874" t="e">
        <f t="shared" si="1"/>
        <v>#DIV/0!</v>
      </c>
      <c r="G17" s="2876"/>
      <c r="H17" s="2876"/>
      <c r="I17" s="2875"/>
      <c r="J17" s="2864"/>
      <c r="K17" s="2864"/>
    </row>
    <row r="18" ht="16.5" spans="1:11">
      <c r="A18" s="2873" t="s">
        <v>780</v>
      </c>
      <c r="B18" s="2875"/>
      <c r="C18" s="2875"/>
      <c r="D18" s="2875"/>
      <c r="E18" s="2874" t="e">
        <f t="shared" si="0"/>
        <v>#DIV/0!</v>
      </c>
      <c r="F18" s="2874" t="e">
        <f t="shared" si="1"/>
        <v>#DIV/0!</v>
      </c>
      <c r="G18" s="2875"/>
      <c r="H18" s="2875"/>
      <c r="I18" s="2875"/>
      <c r="J18" s="2864"/>
      <c r="K18" s="2864"/>
    </row>
    <row r="19" ht="16.5" spans="1:11">
      <c r="A19" s="2873" t="s">
        <v>781</v>
      </c>
      <c r="B19" s="2875"/>
      <c r="C19" s="2875"/>
      <c r="D19" s="2875"/>
      <c r="E19" s="2874" t="e">
        <f t="shared" si="0"/>
        <v>#DIV/0!</v>
      </c>
      <c r="F19" s="2874" t="e">
        <f t="shared" si="1"/>
        <v>#DIV/0!</v>
      </c>
      <c r="G19" s="2875"/>
      <c r="H19" s="2875"/>
      <c r="I19" s="2875"/>
      <c r="J19" s="2864"/>
      <c r="K19" s="2864"/>
    </row>
    <row r="20" ht="16.5" spans="1:11">
      <c r="A20" s="2873" t="s">
        <v>782</v>
      </c>
      <c r="B20" s="2875"/>
      <c r="C20" s="2875"/>
      <c r="D20" s="2875"/>
      <c r="E20" s="2874" t="e">
        <f t="shared" si="0"/>
        <v>#DIV/0!</v>
      </c>
      <c r="F20" s="2874" t="e">
        <f t="shared" si="1"/>
        <v>#DIV/0!</v>
      </c>
      <c r="G20" s="2875"/>
      <c r="H20" s="2875"/>
      <c r="I20" s="2875"/>
      <c r="J20" s="2864"/>
      <c r="K20" s="2864"/>
    </row>
    <row r="21" ht="16.5" spans="1:11">
      <c r="A21" s="2873" t="s">
        <v>783</v>
      </c>
      <c r="B21" s="2875"/>
      <c r="C21" s="2875"/>
      <c r="D21" s="2875"/>
      <c r="E21" s="2874" t="e">
        <f t="shared" si="0"/>
        <v>#DIV/0!</v>
      </c>
      <c r="F21" s="2874" t="e">
        <f t="shared" si="1"/>
        <v>#DIV/0!</v>
      </c>
      <c r="G21" s="2875"/>
      <c r="H21" s="2875"/>
      <c r="I21" s="2875"/>
      <c r="J21" s="2864"/>
      <c r="K21" s="2864"/>
    </row>
    <row r="22" ht="16.5" spans="1:11">
      <c r="A22" s="2873" t="s">
        <v>784</v>
      </c>
      <c r="B22" s="2875"/>
      <c r="C22" s="2875"/>
      <c r="D22" s="2875"/>
      <c r="E22" s="2874" t="e">
        <f t="shared" si="0"/>
        <v>#DIV/0!</v>
      </c>
      <c r="F22" s="2874" t="e">
        <f t="shared" si="1"/>
        <v>#DIV/0!</v>
      </c>
      <c r="G22" s="2875"/>
      <c r="H22" s="2875"/>
      <c r="I22" s="2875"/>
      <c r="J22" s="2864"/>
      <c r="K22" s="2864"/>
    </row>
    <row r="23" ht="16.5" spans="1:11">
      <c r="A23" s="2873" t="s">
        <v>785</v>
      </c>
      <c r="B23" s="2875"/>
      <c r="C23" s="2875"/>
      <c r="D23" s="2875"/>
      <c r="E23" s="2867" t="e">
        <f t="shared" si="0"/>
        <v>#DIV/0!</v>
      </c>
      <c r="F23" s="2867" t="e">
        <f t="shared" si="1"/>
        <v>#DIV/0!</v>
      </c>
      <c r="G23" s="2875"/>
      <c r="H23" s="2875"/>
      <c r="I23" s="2875"/>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3" workbookViewId="0">
      <selection activeCell="H119" sqref="H119:I119"/>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587" customWidth="1"/>
    <col min="12" max="12" width="12.6272727272727" style="587"/>
    <col min="13" max="13" width="14.1272727272727" style="587" customWidth="1"/>
    <col min="14" max="26" width="12.6272727272727" style="587"/>
    <col min="27" max="35" width="12.6272727272727" style="2508"/>
    <col min="36" max="16384" width="12.6272727272727" style="2509"/>
  </cols>
  <sheetData>
    <row r="1" customHeight="1" spans="1:9">
      <c r="A1" s="2510" t="s">
        <v>786</v>
      </c>
      <c r="B1" s="2511"/>
      <c r="C1" s="2512"/>
      <c r="D1" s="2511"/>
      <c r="E1" s="2511"/>
      <c r="F1" s="2513" t="s">
        <v>787</v>
      </c>
      <c r="G1" s="2514"/>
      <c r="H1" s="2515" t="str">
        <f>IF(G1="现房","——","估价对象范围")</f>
        <v>估价对象范围</v>
      </c>
      <c r="I1" s="2676"/>
    </row>
    <row r="2" customHeight="1" spans="1:9">
      <c r="A2" s="2516" t="str">
        <f>项目基本情况!S2</f>
        <v>北京市房地产</v>
      </c>
      <c r="B2" s="2517"/>
      <c r="C2" s="2517"/>
      <c r="D2" s="2517"/>
      <c r="E2" s="2517"/>
      <c r="F2" s="2517"/>
      <c r="G2" s="2517"/>
      <c r="H2" s="2517"/>
      <c r="I2" s="2677"/>
    </row>
    <row r="3" ht="14" spans="1:9">
      <c r="A3" s="2518" t="s">
        <v>788</v>
      </c>
      <c r="B3" s="1761"/>
      <c r="C3" s="1761"/>
      <c r="D3" s="1761"/>
      <c r="E3" s="1761"/>
      <c r="F3" s="1761"/>
      <c r="G3" s="1761"/>
      <c r="H3" s="1761"/>
      <c r="I3" s="1761"/>
    </row>
    <row r="4" ht="14" spans="1:12">
      <c r="A4" s="2519" t="s">
        <v>789</v>
      </c>
      <c r="B4" s="2520" t="s">
        <v>790</v>
      </c>
      <c r="C4" s="2521" t="s">
        <v>791</v>
      </c>
      <c r="D4" s="2521" t="s">
        <v>792</v>
      </c>
      <c r="E4" s="2522" t="s">
        <v>793</v>
      </c>
      <c r="F4" s="2523"/>
      <c r="G4" s="2523"/>
      <c r="H4" s="2523"/>
      <c r="I4" s="267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 spans="1:9">
      <c r="A5" s="2524" t="s">
        <v>794</v>
      </c>
      <c r="B5" s="963">
        <v>25</v>
      </c>
      <c r="C5" s="2525"/>
      <c r="D5" s="2526"/>
      <c r="E5" s="1750" t="s">
        <v>795</v>
      </c>
      <c r="F5" s="2527"/>
      <c r="G5" s="2527"/>
      <c r="H5" s="2527"/>
      <c r="I5" s="1980"/>
    </row>
    <row r="6" ht="14" spans="1:9">
      <c r="A6" s="2524"/>
      <c r="B6" s="963"/>
      <c r="C6" s="2528"/>
      <c r="D6" s="2526"/>
      <c r="E6" s="1750" t="s">
        <v>796</v>
      </c>
      <c r="F6" s="2527"/>
      <c r="G6" s="2527"/>
      <c r="H6" s="2527"/>
      <c r="I6" s="1980"/>
    </row>
    <row r="7" ht="14" spans="1:9">
      <c r="A7" s="2524"/>
      <c r="B7" s="963"/>
      <c r="C7" s="2529"/>
      <c r="D7" s="2526"/>
      <c r="E7" s="1750" t="s">
        <v>797</v>
      </c>
      <c r="F7" s="2527"/>
      <c r="G7" s="2527"/>
      <c r="H7" s="2527"/>
      <c r="I7" s="1980"/>
    </row>
    <row r="8" ht="14" spans="1:9">
      <c r="A8" s="2524" t="s">
        <v>798</v>
      </c>
      <c r="B8" s="963">
        <v>15</v>
      </c>
      <c r="C8" s="2525"/>
      <c r="D8" s="2526"/>
      <c r="E8" s="1750" t="s">
        <v>799</v>
      </c>
      <c r="F8" s="2527"/>
      <c r="G8" s="2527"/>
      <c r="H8" s="2527"/>
      <c r="I8" s="1980"/>
    </row>
    <row r="9" ht="14" spans="1:9">
      <c r="A9" s="2524"/>
      <c r="B9" s="963"/>
      <c r="C9" s="2529"/>
      <c r="D9" s="2526"/>
      <c r="E9" s="1750" t="s">
        <v>800</v>
      </c>
      <c r="F9" s="2527"/>
      <c r="G9" s="2527"/>
      <c r="H9" s="2527"/>
      <c r="I9" s="1980"/>
    </row>
    <row r="10" ht="14" spans="1:9">
      <c r="A10" s="2524" t="s">
        <v>801</v>
      </c>
      <c r="B10" s="963">
        <v>15</v>
      </c>
      <c r="C10" s="2525"/>
      <c r="D10" s="2526"/>
      <c r="E10" s="1750" t="s">
        <v>802</v>
      </c>
      <c r="F10" s="2527"/>
      <c r="G10" s="2527"/>
      <c r="H10" s="2527"/>
      <c r="I10" s="1980"/>
    </row>
    <row r="11" ht="14" spans="1:9">
      <c r="A11" s="2524"/>
      <c r="B11" s="963"/>
      <c r="C11" s="2529"/>
      <c r="D11" s="2526"/>
      <c r="E11" s="1750" t="s">
        <v>803</v>
      </c>
      <c r="F11" s="2527"/>
      <c r="G11" s="2527"/>
      <c r="H11" s="2527"/>
      <c r="I11" s="1980"/>
    </row>
    <row r="12" ht="14" spans="1:9">
      <c r="A12" s="2524" t="s">
        <v>804</v>
      </c>
      <c r="B12" s="963">
        <v>15</v>
      </c>
      <c r="C12" s="2525"/>
      <c r="D12" s="2526"/>
      <c r="E12" s="1750" t="s">
        <v>805</v>
      </c>
      <c r="F12" s="2527"/>
      <c r="G12" s="2527"/>
      <c r="H12" s="2527"/>
      <c r="I12" s="1980"/>
    </row>
    <row r="13" ht="14" spans="1:9">
      <c r="A13" s="2524"/>
      <c r="B13" s="963"/>
      <c r="C13" s="2529"/>
      <c r="D13" s="2526"/>
      <c r="E13" s="1750" t="s">
        <v>806</v>
      </c>
      <c r="F13" s="2527"/>
      <c r="G13" s="2527"/>
      <c r="H13" s="2527"/>
      <c r="I13" s="1980"/>
    </row>
    <row r="14" ht="14" spans="1:9">
      <c r="A14" s="2524" t="s">
        <v>807</v>
      </c>
      <c r="B14" s="963">
        <v>30</v>
      </c>
      <c r="C14" s="2525">
        <v>6</v>
      </c>
      <c r="D14" s="2526">
        <v>4</v>
      </c>
      <c r="E14" s="1750" t="s">
        <v>808</v>
      </c>
      <c r="F14" s="2527"/>
      <c r="G14" s="2527"/>
      <c r="H14" s="2527"/>
      <c r="I14" s="1980"/>
    </row>
    <row r="15" ht="14" spans="1:9">
      <c r="A15" s="2524"/>
      <c r="B15" s="963"/>
      <c r="C15" s="2528"/>
      <c r="D15" s="2526"/>
      <c r="E15" s="1750" t="s">
        <v>809</v>
      </c>
      <c r="F15" s="2527"/>
      <c r="G15" s="2527"/>
      <c r="H15" s="2527"/>
      <c r="I15" s="1980"/>
    </row>
    <row r="16" ht="14" spans="1:9">
      <c r="A16" s="2524"/>
      <c r="B16" s="963"/>
      <c r="C16" s="2529"/>
      <c r="D16" s="2526"/>
      <c r="E16" s="1750" t="s">
        <v>810</v>
      </c>
      <c r="F16" s="2527"/>
      <c r="G16" s="2527"/>
      <c r="H16" s="2527"/>
      <c r="I16" s="1980"/>
    </row>
    <row r="17" ht="14" spans="1:13">
      <c r="A17" s="2530" t="s">
        <v>811</v>
      </c>
      <c r="B17" s="2531"/>
      <c r="C17" s="2532">
        <f>SUM(C5:C16)</f>
        <v>6</v>
      </c>
      <c r="D17" s="2532">
        <f>SUM(D5:D16)</f>
        <v>4</v>
      </c>
      <c r="E17" s="632"/>
      <c r="F17" s="632"/>
      <c r="G17" s="632"/>
      <c r="H17" s="632"/>
      <c r="I17" s="632"/>
      <c r="K17" s="1708"/>
      <c r="L17" s="1708" t="s">
        <v>812</v>
      </c>
      <c r="M17" s="1708" t="s">
        <v>813</v>
      </c>
    </row>
    <row r="18" ht="31.9" customHeight="1" spans="1:13">
      <c r="A18" s="2533" t="s">
        <v>814</v>
      </c>
      <c r="B18" s="2534"/>
      <c r="C18" s="2535">
        <f>ROUND(C17/SUM(C17:D17),2)</f>
        <v>0.6</v>
      </c>
      <c r="D18" s="2535">
        <f>1-C18</f>
        <v>0.4</v>
      </c>
      <c r="E18" s="2536" t="s">
        <v>815</v>
      </c>
      <c r="F18" s="2537"/>
      <c r="G18" s="2537"/>
      <c r="H18" s="2537"/>
      <c r="I18" s="2537"/>
      <c r="K18" s="1708" t="s">
        <v>456</v>
      </c>
      <c r="L18" s="1708">
        <f>IF(C1="",'数据-汇总表'!E3,SUMIF(项目类型,C1,'数据-汇总表'!E17:E26)+SUMIF(项目类型,C1,'数据-汇总表'!I17:I26))</f>
        <v>68156.19</v>
      </c>
      <c r="M18" s="1708">
        <f>IF(C1="",'数据-汇总表'!E3,SUMIF(项目类型,C1,'数据-汇总表'!E17:E26))</f>
        <v>68156.19</v>
      </c>
    </row>
    <row r="19" ht="14" spans="1:13">
      <c r="A19" s="2538" t="s">
        <v>816</v>
      </c>
      <c r="B19" s="2539" t="s">
        <v>817</v>
      </c>
      <c r="C19" s="2540">
        <f ca="1">SUMIF(INDIRECT("'"&amp;C4&amp;"'"&amp;"!A:A"),结果表!B19,INDIRECT("'"&amp;C4&amp;"'"&amp;"!B:B"))</f>
        <v>59647</v>
      </c>
      <c r="D19" s="1989">
        <f ca="1">SUMIF(INDIRECT("'"&amp;D4&amp;"'"&amp;"!A:A"),结果表!B19,INDIRECT("'"&amp;D4&amp;"'"&amp;"!B:B"))</f>
        <v>35693</v>
      </c>
      <c r="E19" s="2538" t="s">
        <v>818</v>
      </c>
      <c r="F19" s="2539" t="s">
        <v>817</v>
      </c>
      <c r="G19" s="2541">
        <f ca="1">ROUND(C19*$C$18+D19*$D$18,0)</f>
        <v>50065</v>
      </c>
      <c r="H19" s="2542" t="s">
        <v>819</v>
      </c>
      <c r="I19" s="632"/>
      <c r="K19" s="1708" t="s">
        <v>460</v>
      </c>
      <c r="L19" s="1708">
        <f>IF(C1="",'数据-汇总表'!D3,SUMIF(项目类型,C1,'数据-汇总表'!D17:D26)+SUMIF(项目类型,C1,'数据-汇总表'!H17:H27))</f>
        <v>11645.87</v>
      </c>
      <c r="M19" s="1708">
        <f>IF(C1="",'数据-汇总表'!D3,SUMIF(项目类型,C1,'数据-汇总表'!D17:D26))</f>
        <v>11645.87</v>
      </c>
    </row>
    <row r="20" ht="14" spans="1:9">
      <c r="A20" s="2543"/>
      <c r="B20" s="2544" t="s">
        <v>820</v>
      </c>
      <c r="C20" s="1424">
        <f ca="1">SUMIF(INDIRECT("'"&amp;C4&amp;"'"&amp;"!A:A"),结果表!B20,INDIRECT("'"&amp;C4&amp;"'"&amp;"!B:B"))</f>
        <v>8752</v>
      </c>
      <c r="D20" s="1427">
        <f ca="1">SUMIF(INDIRECT("'"&amp;D4&amp;"'"&amp;"!A:A"),结果表!B20,INDIRECT("'"&amp;D4&amp;"'"&amp;"!B:B"))</f>
        <v>5237</v>
      </c>
      <c r="E20" s="2543"/>
      <c r="F20" s="2544" t="s">
        <v>820</v>
      </c>
      <c r="G20" s="2545">
        <f ca="1">ROUND(C20*$C$18+D20*$D$18,0)</f>
        <v>7346</v>
      </c>
      <c r="H20" s="1866" t="s">
        <v>821</v>
      </c>
      <c r="I20" s="632"/>
    </row>
    <row r="21" ht="15" customHeight="1" spans="1:9">
      <c r="A21" s="2080"/>
      <c r="B21" s="2546" t="s">
        <v>822</v>
      </c>
      <c r="C21" s="2547">
        <f ca="1">ROUND(C19*10000/L19,0)</f>
        <v>51217</v>
      </c>
      <c r="D21" s="2548">
        <f ca="1">ROUND(D19*10000/L19,0)</f>
        <v>30649</v>
      </c>
      <c r="E21" s="2080"/>
      <c r="F21" s="2546" t="s">
        <v>822</v>
      </c>
      <c r="G21" s="2549">
        <f ca="1">ROUND(G19*10000/L19,0)</f>
        <v>42989</v>
      </c>
      <c r="H21" s="2550" t="s">
        <v>821</v>
      </c>
      <c r="I21" s="632"/>
    </row>
    <row r="22" ht="14.75" spans="1:9">
      <c r="A22" s="2551" t="s">
        <v>823</v>
      </c>
      <c r="B22" s="2552"/>
      <c r="C22" s="2553"/>
      <c r="D22" s="2554">
        <f ca="1">IF(C19&lt;D19,D19/C19-1,C19/D19-1)</f>
        <v>0.671111982741714</v>
      </c>
      <c r="E22" s="632"/>
      <c r="F22" s="2555"/>
      <c r="G22" s="2556"/>
      <c r="H22" s="632"/>
      <c r="I22" s="632"/>
    </row>
    <row r="23" ht="14.75" spans="1:9">
      <c r="A23" s="2511"/>
      <c r="B23" s="2511"/>
      <c r="C23" s="2511"/>
      <c r="D23" s="2511"/>
      <c r="E23" s="632"/>
      <c r="F23" s="2555"/>
      <c r="G23" s="2556"/>
      <c r="H23" s="632"/>
      <c r="I23" s="632"/>
    </row>
    <row r="24" ht="14" spans="1:9">
      <c r="A24" s="2557" t="s">
        <v>824</v>
      </c>
      <c r="B24" s="2539" t="s">
        <v>817</v>
      </c>
      <c r="C24" s="2541">
        <f>IF(B30=0,0,D30)</f>
        <v>0</v>
      </c>
      <c r="D24" s="2558"/>
      <c r="E24" s="632"/>
      <c r="F24" s="2555"/>
      <c r="G24" s="2556"/>
      <c r="H24" s="632"/>
      <c r="I24" s="632"/>
    </row>
    <row r="25" ht="14" spans="1:9">
      <c r="A25" s="2559"/>
      <c r="B25" s="2544" t="s">
        <v>820</v>
      </c>
      <c r="C25" s="2560">
        <f>IF(B30=0,0,C30)</f>
        <v>0</v>
      </c>
      <c r="D25" s="2561"/>
      <c r="E25" s="632"/>
      <c r="F25" s="2555"/>
      <c r="G25" s="2556"/>
      <c r="H25" s="2556"/>
      <c r="I25" s="632"/>
    </row>
    <row r="26" ht="13.5" customHeight="1" spans="1:9">
      <c r="A26" s="2562" t="s">
        <v>825</v>
      </c>
      <c r="B26" s="2563" t="s">
        <v>826</v>
      </c>
      <c r="C26" s="2563" t="s">
        <v>827</v>
      </c>
      <c r="D26" s="2564" t="s">
        <v>828</v>
      </c>
      <c r="E26" s="632"/>
      <c r="F26" s="632"/>
      <c r="G26" s="632"/>
      <c r="H26" s="632"/>
      <c r="I26" s="632"/>
    </row>
    <row r="27" ht="14" spans="1:9">
      <c r="A27" s="2562"/>
      <c r="B27" s="2563">
        <v>0</v>
      </c>
      <c r="C27" s="2563">
        <v>0</v>
      </c>
      <c r="D27" s="2564">
        <f>ROUND(C27*B27/10000,0)</f>
        <v>0</v>
      </c>
      <c r="E27" s="632"/>
      <c r="F27" s="632"/>
      <c r="G27" s="632"/>
      <c r="H27" s="632"/>
      <c r="I27" s="632"/>
    </row>
    <row r="28" ht="14" spans="1:9">
      <c r="A28" s="2562"/>
      <c r="B28" s="2563"/>
      <c r="C28" s="2563"/>
      <c r="D28" s="2564"/>
      <c r="E28" s="632"/>
      <c r="F28" s="632"/>
      <c r="G28" s="632"/>
      <c r="H28" s="632"/>
      <c r="I28" s="632"/>
    </row>
    <row r="29" ht="14" spans="1:9">
      <c r="A29" s="2562"/>
      <c r="B29" s="2563"/>
      <c r="C29" s="2563"/>
      <c r="D29" s="2564"/>
      <c r="E29" s="632"/>
      <c r="F29" s="632"/>
      <c r="G29" s="632"/>
      <c r="H29" s="632"/>
      <c r="I29" s="632"/>
    </row>
    <row r="30" ht="14.75" spans="1:9">
      <c r="A30" s="2563" t="s">
        <v>829</v>
      </c>
      <c r="B30" s="2563"/>
      <c r="C30" s="2563"/>
      <c r="D30" s="2563"/>
      <c r="E30" s="2565" t="s">
        <v>830</v>
      </c>
      <c r="F30" s="632"/>
      <c r="G30" s="632"/>
      <c r="H30" s="632"/>
      <c r="I30" s="632"/>
    </row>
    <row r="31" s="2505" customFormat="1" ht="26.45" customHeight="1" spans="1:36">
      <c r="A31" s="2566"/>
      <c r="B31" s="2567"/>
      <c r="C31" s="2567"/>
      <c r="D31" s="2567"/>
      <c r="E31" s="2567"/>
      <c r="F31" s="2567"/>
      <c r="G31" s="2567"/>
      <c r="H31" s="2567"/>
      <c r="I31" s="2679" t="s">
        <v>831</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5.5" spans="1:9">
      <c r="A32" s="2568" t="s">
        <v>832</v>
      </c>
      <c r="B32" s="2569"/>
      <c r="C32" s="2570">
        <f ca="1">IF(D32="总价",G19-C24,G20-C25)</f>
        <v>50065</v>
      </c>
      <c r="D32" s="2571" t="s">
        <v>833</v>
      </c>
      <c r="E32" s="632"/>
      <c r="F32" s="632"/>
      <c r="G32" s="632"/>
      <c r="H32" s="632"/>
      <c r="I32" s="632"/>
    </row>
    <row r="33" ht="14" spans="1:9">
      <c r="A33" s="2021" t="s">
        <v>834</v>
      </c>
      <c r="B33" s="2572"/>
      <c r="C33" s="2573" t="s">
        <v>835</v>
      </c>
      <c r="D33" s="2574" t="s">
        <v>791</v>
      </c>
      <c r="E33" s="2575" t="s">
        <v>836</v>
      </c>
      <c r="F33" s="2576" t="str">
        <f>IF(D32="楼面单价","取值（单价）","取值（总价）")</f>
        <v>取值（总价）</v>
      </c>
      <c r="G33" s="632"/>
      <c r="H33" s="632"/>
      <c r="I33" s="632"/>
    </row>
    <row r="34" ht="14" spans="1:9">
      <c r="A34" s="2577"/>
      <c r="B34" s="2578" t="s">
        <v>837</v>
      </c>
      <c r="C34" s="2579">
        <f ca="1">IF(C33="自定义",F34,C32-C35)</f>
        <v>13968</v>
      </c>
      <c r="D34" s="2580">
        <f ca="1">IF(C33="自定义",ROUND(C34/C32,3),IF(C33="收益比率",SUMIF(INDIRECT("'"&amp;D33&amp;"'"&amp;"!b:b"),"土地收益比率",INDIRECT("'"&amp;D33&amp;"'"&amp;"!c:c")),SUMIF(INDIRECT("'"&amp;D33&amp;"'"&amp;"!b:b"),"土地成本比率",INDIRECT("'"&amp;D33&amp;"'"&amp;"!c:c"))))</f>
        <v>0.279</v>
      </c>
      <c r="E34" s="2581" t="s">
        <v>838</v>
      </c>
      <c r="F34" s="2582"/>
      <c r="G34" s="632"/>
      <c r="H34" s="632"/>
      <c r="I34" s="632"/>
    </row>
    <row r="35" ht="14.75" spans="1:9">
      <c r="A35" s="2583"/>
      <c r="B35" s="2584" t="s">
        <v>839</v>
      </c>
      <c r="C35" s="2585">
        <f ca="1">IF(C33="自定义",F35,ROUND(C32*D35,0))</f>
        <v>36097</v>
      </c>
      <c r="D35" s="2586">
        <f ca="1">IF(C33="自定义",ROUND(C35/C32,3),IF(C33="收益比率",SUMIF(INDIRECT("'"&amp;D33&amp;"'"&amp;"!b:b"),"建筑物收益比率",INDIRECT("'"&amp;D33&amp;"'"&amp;"!c:c")),SUMIF(INDIRECT("'"&amp;D33&amp;"'"&amp;"!b:b"),"建筑物成本比率",INDIRECT("'"&amp;D33&amp;"'"&amp;"!c:c"))))</f>
        <v>0.721</v>
      </c>
      <c r="E35" s="2587" t="s">
        <v>840</v>
      </c>
      <c r="F35" s="2588"/>
      <c r="G35" s="632"/>
      <c r="H35" s="632"/>
      <c r="I35" s="632"/>
    </row>
    <row r="36" ht="14.75" spans="1:9">
      <c r="A36" s="2589" t="s">
        <v>841</v>
      </c>
      <c r="B36" s="2590" t="s">
        <v>842</v>
      </c>
      <c r="C36" s="2591"/>
      <c r="D36" s="2592"/>
      <c r="E36" s="2593"/>
      <c r="F36" s="2594"/>
      <c r="G36" s="632"/>
      <c r="H36" s="632"/>
      <c r="I36" s="632"/>
    </row>
    <row r="37" ht="14.75" spans="1:9">
      <c r="A37" s="2595"/>
      <c r="B37" s="2596" t="s">
        <v>843</v>
      </c>
      <c r="C37" s="2597"/>
      <c r="D37" s="2598"/>
      <c r="E37" s="2598"/>
      <c r="F37" s="2594"/>
      <c r="G37" s="632"/>
      <c r="H37" s="632"/>
      <c r="I37" s="632"/>
    </row>
    <row r="38" ht="14.75" spans="1:9">
      <c r="A38" s="2599"/>
      <c r="B38" s="2600" t="s">
        <v>844</v>
      </c>
      <c r="C38" s="2601"/>
      <c r="D38" s="2602" t="s">
        <v>845</v>
      </c>
      <c r="E38" s="2598"/>
      <c r="F38" s="2594"/>
      <c r="G38" s="632"/>
      <c r="H38" s="632"/>
      <c r="I38" s="632"/>
    </row>
    <row r="39" ht="14" spans="1:9">
      <c r="A39" s="2543" t="s">
        <v>846</v>
      </c>
      <c r="B39" s="2603" t="s">
        <v>826</v>
      </c>
      <c r="C39" s="2604" t="s">
        <v>827</v>
      </c>
      <c r="D39" s="2604" t="s">
        <v>847</v>
      </c>
      <c r="E39" s="2605" t="s">
        <v>828</v>
      </c>
      <c r="F39" s="2594"/>
      <c r="G39" s="632"/>
      <c r="H39" s="632"/>
      <c r="I39" s="632"/>
    </row>
    <row r="40" ht="14" spans="1:9">
      <c r="A40" s="2606" t="s">
        <v>848</v>
      </c>
      <c r="B40" s="2607"/>
      <c r="C40" s="650"/>
      <c r="D40" s="650"/>
      <c r="E40" s="2608"/>
      <c r="F40" s="2594"/>
      <c r="G40" s="632"/>
      <c r="H40" s="632"/>
      <c r="I40" s="632"/>
    </row>
    <row r="41" ht="14" spans="1:9">
      <c r="A41" s="2606" t="s">
        <v>849</v>
      </c>
      <c r="B41" s="2607"/>
      <c r="C41" s="650"/>
      <c r="D41" s="650"/>
      <c r="E41" s="2608"/>
      <c r="F41" s="2594"/>
      <c r="G41" s="632"/>
      <c r="H41" s="632"/>
      <c r="I41" s="632"/>
    </row>
    <row r="42" ht="14.75" spans="1:9">
      <c r="A42" s="2609"/>
      <c r="B42" s="2610"/>
      <c r="C42" s="2611"/>
      <c r="D42" s="2611"/>
      <c r="E42" s="2588"/>
      <c r="F42" s="2594"/>
      <c r="G42" s="632"/>
      <c r="H42" s="632"/>
      <c r="I42" s="632"/>
    </row>
    <row r="43" ht="14" spans="1:9">
      <c r="A43" s="2612"/>
      <c r="B43" s="2612"/>
      <c r="C43" s="2612"/>
      <c r="D43" s="2612"/>
      <c r="E43" s="2612"/>
      <c r="F43" s="2613"/>
      <c r="G43" s="2613"/>
      <c r="H43" s="2613"/>
      <c r="I43" s="2682"/>
    </row>
    <row r="44" ht="18" spans="1:15">
      <c r="A44" s="2614" t="s">
        <v>850</v>
      </c>
      <c r="B44" s="2615"/>
      <c r="C44" s="2615"/>
      <c r="D44" s="2616"/>
      <c r="E44" s="2616"/>
      <c r="F44" s="2617"/>
      <c r="G44" s="2617"/>
      <c r="H44" s="2617"/>
      <c r="I44" s="2617"/>
      <c r="J44" s="2683" t="s">
        <v>851</v>
      </c>
      <c r="K44" s="2684"/>
      <c r="L44" s="2684"/>
      <c r="M44" s="2684"/>
      <c r="N44" s="2684"/>
      <c r="O44" s="2684"/>
    </row>
    <row r="45" ht="14.25" customHeight="1" spans="1:15">
      <c r="A45" s="2618" t="s">
        <v>852</v>
      </c>
      <c r="B45" s="2619"/>
      <c r="C45" s="2620"/>
      <c r="D45" s="1707">
        <f ca="1">ROUND(H101*F45,0)</f>
        <v>50065</v>
      </c>
      <c r="E45" s="2621" t="s">
        <v>853</v>
      </c>
      <c r="F45" s="2622">
        <v>1</v>
      </c>
      <c r="G45" s="2623" t="s">
        <v>854</v>
      </c>
      <c r="H45" s="632"/>
      <c r="I45" s="632"/>
      <c r="J45" s="2685" t="s">
        <v>855</v>
      </c>
      <c r="K45" s="2685"/>
      <c r="L45" s="2685"/>
      <c r="M45" s="2685"/>
      <c r="N45" s="2685"/>
      <c r="O45" s="2685"/>
    </row>
    <row r="46" ht="14.25" customHeight="1" spans="1:15">
      <c r="A46" s="2624" t="s">
        <v>856</v>
      </c>
      <c r="B46" s="2625"/>
      <c r="C46" s="2625"/>
      <c r="D46" s="2625"/>
      <c r="E46" s="2625"/>
      <c r="F46" s="2625"/>
      <c r="G46" s="2626"/>
      <c r="H46" s="2627"/>
      <c r="I46" s="633"/>
      <c r="J46" s="2178">
        <v>1</v>
      </c>
      <c r="K46" s="2686" t="s">
        <v>857</v>
      </c>
      <c r="L46" s="2686"/>
      <c r="M46" s="2687"/>
      <c r="N46" s="2687"/>
      <c r="O46" s="2687"/>
    </row>
    <row r="47" ht="12" customHeight="1" spans="1:15">
      <c r="A47" s="2628" t="s">
        <v>858</v>
      </c>
      <c r="B47" s="2629"/>
      <c r="C47" s="2630"/>
      <c r="D47" s="1760" t="s">
        <v>859</v>
      </c>
      <c r="E47" s="1708" t="s">
        <v>860</v>
      </c>
      <c r="F47" s="2631" t="s">
        <v>861</v>
      </c>
      <c r="G47" s="2632" t="s">
        <v>862</v>
      </c>
      <c r="H47" s="2633"/>
      <c r="I47" s="633"/>
      <c r="J47" s="2178">
        <v>2</v>
      </c>
      <c r="K47" s="2686" t="s">
        <v>863</v>
      </c>
      <c r="L47" s="2686"/>
      <c r="M47" s="2688">
        <f>'数据-取费表'!B2</f>
        <v>45644</v>
      </c>
      <c r="N47" s="2688"/>
      <c r="O47" s="2688"/>
    </row>
    <row r="48" ht="26" spans="1:15">
      <c r="A48" s="2634" t="s">
        <v>864</v>
      </c>
      <c r="B48" s="1764"/>
      <c r="C48" s="1764"/>
      <c r="D48" s="1864" t="b">
        <f ca="1">IF(H48="情况1",0,IF(H48="情况2",D52,IF(H48="情况3",D53,IF(H48="情况4",D54))))</f>
        <v>0</v>
      </c>
      <c r="E48" s="1764" t="str">
        <f>IF(H48="情况4","(销售额-原购置价)×税（费）率","销售额×税（费）率")</f>
        <v>销售额×税（费）率</v>
      </c>
      <c r="F48" s="2635">
        <f>IF(H48="情况1","免征",'数据-取费表'!B41)</f>
        <v>0.056</v>
      </c>
      <c r="G48" s="2636" t="s">
        <v>865</v>
      </c>
      <c r="H48" s="2637"/>
      <c r="I48" s="2627"/>
      <c r="J48" s="2178">
        <v>3</v>
      </c>
      <c r="K48" s="2686" t="s">
        <v>866</v>
      </c>
      <c r="L48" s="2686"/>
      <c r="M48" s="2689">
        <f ca="1">H101</f>
        <v>50065</v>
      </c>
      <c r="N48" s="2689"/>
      <c r="O48" s="2689"/>
    </row>
    <row r="49" ht="25.5" customHeight="1" spans="1:15">
      <c r="A49" s="2634" t="s">
        <v>867</v>
      </c>
      <c r="B49" s="1742" t="s">
        <v>868</v>
      </c>
      <c r="C49" s="1742"/>
      <c r="D49" s="2638">
        <v>0</v>
      </c>
      <c r="E49" s="1770" t="s">
        <v>869</v>
      </c>
      <c r="F49" s="2639" t="s">
        <v>124</v>
      </c>
      <c r="G49" s="2640"/>
      <c r="H49" s="2641" t="s">
        <v>870</v>
      </c>
      <c r="I49" s="2690"/>
      <c r="J49" s="2178">
        <v>4</v>
      </c>
      <c r="K49" s="2686" t="str">
        <f>IF(项目基本情况!E8="房地产抵押价值","房地产抵押价值","抵押担保权已注销时的房地产抵押价值")</f>
        <v>房地产抵押价值</v>
      </c>
      <c r="L49" s="2686"/>
      <c r="M49" s="2689">
        <f ca="1">IF(项目基本情况!E8="房地产抵押价值",H107,H109)</f>
        <v>50065</v>
      </c>
      <c r="N49" s="2689"/>
      <c r="O49" s="2689"/>
    </row>
    <row r="50" ht="25.5" customHeight="1" spans="1:15">
      <c r="A50" s="2642"/>
      <c r="B50" s="1742" t="s">
        <v>871</v>
      </c>
      <c r="C50" s="1742"/>
      <c r="D50" s="2643"/>
      <c r="E50" s="1785"/>
      <c r="F50" s="2639"/>
      <c r="G50" s="2644"/>
      <c r="H50" s="2645" t="s">
        <v>872</v>
      </c>
      <c r="I50" s="2690"/>
      <c r="J50" s="2685" t="s">
        <v>873</v>
      </c>
      <c r="K50" s="2685"/>
      <c r="L50" s="2685"/>
      <c r="M50" s="2685"/>
      <c r="N50" s="2685"/>
      <c r="O50" s="2685"/>
    </row>
    <row r="51" ht="20.45" customHeight="1" spans="1:15">
      <c r="A51" s="2646"/>
      <c r="B51" s="1742" t="s">
        <v>874</v>
      </c>
      <c r="C51" s="1742"/>
      <c r="D51" s="1760"/>
      <c r="E51" s="1774"/>
      <c r="F51" s="2639"/>
      <c r="G51" s="2647"/>
      <c r="H51" s="2645" t="s">
        <v>875</v>
      </c>
      <c r="I51" s="2690"/>
      <c r="J51" s="2686" t="s">
        <v>876</v>
      </c>
      <c r="K51" s="2686" t="s">
        <v>877</v>
      </c>
      <c r="L51" s="2686"/>
      <c r="M51" s="2686" t="s">
        <v>878</v>
      </c>
      <c r="N51" s="2686" t="s">
        <v>879</v>
      </c>
      <c r="O51" s="2686" t="s">
        <v>880</v>
      </c>
    </row>
    <row r="52" ht="24" customHeight="1" spans="1:15">
      <c r="A52" s="2648" t="s">
        <v>881</v>
      </c>
      <c r="B52" s="1742" t="s">
        <v>882</v>
      </c>
      <c r="C52" s="1742"/>
      <c r="D52" s="1760">
        <f ca="1">ROUND(D45*'数据-取费表'!B41/(1+'数据-取费表'!C42),0)</f>
        <v>2670</v>
      </c>
      <c r="E52" s="1764" t="s">
        <v>883</v>
      </c>
      <c r="F52" s="2649">
        <f>'数据-取费表'!B41</f>
        <v>0.056</v>
      </c>
      <c r="G52" s="2650"/>
      <c r="H52" s="1879"/>
      <c r="I52" s="2691"/>
      <c r="J52" s="2178">
        <v>1</v>
      </c>
      <c r="K52" s="2178" t="s">
        <v>884</v>
      </c>
      <c r="L52" s="2178"/>
      <c r="M52" s="2692" t="b">
        <f ca="1">D48</f>
        <v>0</v>
      </c>
      <c r="N52" s="2178" t="str">
        <f>E48</f>
        <v>销售额×税（费）率</v>
      </c>
      <c r="O52" s="2693">
        <f>F48</f>
        <v>0.056</v>
      </c>
    </row>
    <row r="53" ht="12" customHeight="1" spans="1:15">
      <c r="A53" s="2648" t="s">
        <v>885</v>
      </c>
      <c r="B53" s="1741" t="s">
        <v>886</v>
      </c>
      <c r="C53" s="2651"/>
      <c r="D53" s="1760">
        <f ca="1">ROUND(D45*'数据-取费表'!B41/(1+'数据-取费表'!C42),0)</f>
        <v>2670</v>
      </c>
      <c r="E53" s="1764" t="s">
        <v>883</v>
      </c>
      <c r="F53" s="2649">
        <f>'数据-取费表'!B41</f>
        <v>0.056</v>
      </c>
      <c r="G53" s="2650"/>
      <c r="H53" s="1879"/>
      <c r="I53" s="2691"/>
      <c r="J53" s="2178">
        <v>2</v>
      </c>
      <c r="K53" s="2178" t="s">
        <v>887</v>
      </c>
      <c r="L53" s="2178"/>
      <c r="M53" s="2692">
        <f ca="1" t="shared" ref="M53:O54" si="0">D55</f>
        <v>25</v>
      </c>
      <c r="N53" s="2178" t="str">
        <f t="shared" si="0"/>
        <v>销售额×税（费）率</v>
      </c>
      <c r="O53" s="2693" t="str">
        <f t="shared" si="0"/>
        <v>免征</v>
      </c>
    </row>
    <row r="54" ht="12" customHeight="1" spans="1:15">
      <c r="A54" s="2648" t="s">
        <v>888</v>
      </c>
      <c r="B54" s="1741" t="s">
        <v>889</v>
      </c>
      <c r="C54" s="2651"/>
      <c r="D54" s="1760">
        <f ca="1">C68</f>
        <v>2670</v>
      </c>
      <c r="E54" s="1774" t="s">
        <v>890</v>
      </c>
      <c r="F54" s="2649">
        <f>'数据-取费表'!B41</f>
        <v>0.056</v>
      </c>
      <c r="G54" s="2650"/>
      <c r="H54" s="2652"/>
      <c r="I54" s="2691"/>
      <c r="J54" s="2178">
        <v>3</v>
      </c>
      <c r="K54" s="2178" t="s">
        <v>891</v>
      </c>
      <c r="L54" s="2178"/>
      <c r="M54" s="2692">
        <f ca="1" t="shared" si="0"/>
        <v>28337</v>
      </c>
      <c r="N54" s="2178" t="str">
        <f t="shared" si="0"/>
        <v>增值额×税（费）率</v>
      </c>
      <c r="O54" s="2694" t="str">
        <f t="shared" si="0"/>
        <v>免征</v>
      </c>
    </row>
    <row r="55" ht="24" customHeight="1" spans="1:15">
      <c r="A55" s="2648" t="s">
        <v>892</v>
      </c>
      <c r="B55" s="1764"/>
      <c r="C55" s="1764"/>
      <c r="D55" s="1864">
        <f ca="1">IF(H55="个人住宅",0,ROUND(D45*I55,0))</f>
        <v>25</v>
      </c>
      <c r="E55" s="1764" t="s">
        <v>893</v>
      </c>
      <c r="F55" s="2649" t="str">
        <f>IF(H55="正常",I55,"免征")</f>
        <v>免征</v>
      </c>
      <c r="G55" s="2650"/>
      <c r="H55" s="2637"/>
      <c r="I55" s="2695">
        <f>'数据-取费表'!B49</f>
        <v>0.0005</v>
      </c>
      <c r="J55" s="2178">
        <f>IF(H59="非个人房产","",4)</f>
        <v>4</v>
      </c>
      <c r="K55" s="2178" t="str">
        <f>IF(H59="非个人房产","——","个人所得税")</f>
        <v>个人所得税</v>
      </c>
      <c r="L55" s="2178"/>
      <c r="M55" s="2696">
        <f ca="1">D59</f>
        <v>477</v>
      </c>
      <c r="N55" s="2159" t="str">
        <f>E59</f>
        <v>差额计税</v>
      </c>
      <c r="O55" s="2697">
        <f>F59</f>
        <v>0.01</v>
      </c>
    </row>
    <row r="56" ht="26" spans="1:15">
      <c r="A56" s="2648" t="s">
        <v>894</v>
      </c>
      <c r="B56" s="1764"/>
      <c r="C56" s="1764"/>
      <c r="D56" s="1864">
        <f ca="1">IF(H56="个人住宅",D57,D58)</f>
        <v>28337</v>
      </c>
      <c r="E56" s="1764" t="s">
        <v>895</v>
      </c>
      <c r="F56" s="2649" t="str">
        <f>IF(H56="正常",F58,"免征")</f>
        <v>免征</v>
      </c>
      <c r="G56" s="2653" t="s">
        <v>896</v>
      </c>
      <c r="H56" s="2654"/>
      <c r="I56" s="2665"/>
      <c r="J56" s="2178" t="str">
        <f>IF(项目基本情况!K6="上海银行",IF(J55="",4,J55+1),"")</f>
        <v/>
      </c>
      <c r="K56" s="1864" t="str">
        <f>IF(项目基本情况!K6="上海银行","其他处置费用","")</f>
        <v/>
      </c>
      <c r="L56" s="2048"/>
      <c r="M56" s="2692" t="str">
        <f ca="1">IF(项目基本情况!K6="上海银行",M69,"")</f>
        <v/>
      </c>
      <c r="N56" s="1864" t="str">
        <f>IF(项目基本情况!K6="上海银行","包含处置中涉及的律师、诉讼、拍卖、评估等费用","")</f>
        <v/>
      </c>
      <c r="O56" s="1714"/>
    </row>
    <row r="57" ht="14" spans="1:16">
      <c r="A57" s="2648" t="s">
        <v>867</v>
      </c>
      <c r="B57" s="1741" t="s">
        <v>897</v>
      </c>
      <c r="C57" s="2651"/>
      <c r="D57" s="2638">
        <v>0</v>
      </c>
      <c r="E57" s="1770" t="s">
        <v>869</v>
      </c>
      <c r="F57" s="1708"/>
      <c r="G57" s="2650"/>
      <c r="H57" s="2655"/>
      <c r="I57" s="2665"/>
      <c r="J57" s="2178">
        <f>IF(AND(J55="",J56=""),4,IF(项目基本情况!K6="上海银行",结果表!J56+1,结果表!J55+1))</f>
        <v>5</v>
      </c>
      <c r="K57" s="2178" t="s">
        <v>898</v>
      </c>
      <c r="L57" s="2698" t="s">
        <v>899</v>
      </c>
      <c r="M57" s="2699"/>
      <c r="N57" s="2700">
        <f ca="1">SUMIF(M52:M56,"&lt;9e307")</f>
        <v>28839</v>
      </c>
      <c r="O57" s="2701"/>
      <c r="P57" s="2702">
        <f ca="1">N57/M49</f>
        <v>0.57603115949266</v>
      </c>
    </row>
    <row r="58" ht="26" spans="1:15">
      <c r="A58" s="2648" t="s">
        <v>881</v>
      </c>
      <c r="B58" s="1741" t="s">
        <v>900</v>
      </c>
      <c r="C58" s="1742"/>
      <c r="D58" s="1864">
        <f ca="1">IF(H58="转让取得",C81,C97)</f>
        <v>28337</v>
      </c>
      <c r="E58" s="1764" t="s">
        <v>895</v>
      </c>
      <c r="F58" s="1708" t="s">
        <v>124</v>
      </c>
      <c r="G58" s="2650"/>
      <c r="H58" s="2654"/>
      <c r="I58" s="2665"/>
      <c r="J58" s="2178"/>
      <c r="K58" s="2178"/>
      <c r="L58" s="2698" t="s">
        <v>901</v>
      </c>
      <c r="M58" s="2703"/>
      <c r="N58" s="2704" t="str">
        <f ca="1">NUMBERSTRING(INT(N57*10000),2)&amp;"元整"</f>
        <v>贰亿捌仟捌佰叁拾玖万元整</v>
      </c>
      <c r="O58" s="2705"/>
    </row>
    <row r="59" ht="26.75" spans="1:15">
      <c r="A59" s="2656" t="s">
        <v>902</v>
      </c>
      <c r="B59" s="2657"/>
      <c r="C59" s="2657"/>
      <c r="D59" s="2658">
        <f ca="1">IF(H59="非个人房产","——",IF(H59="个人住宅（满五唯一有凭证）",0,IF(H59="个人其他（无凭证）",ROUND(D45*F59,0),ROUND(C67*F59,0))))</f>
        <v>477</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896</v>
      </c>
      <c r="H59" s="2662"/>
      <c r="I59" s="2706" t="s">
        <v>903</v>
      </c>
      <c r="J59" s="2159">
        <f>J57+1</f>
        <v>6</v>
      </c>
      <c r="K59" s="2178" t="s">
        <v>904</v>
      </c>
      <c r="L59" s="2178" t="s">
        <v>899</v>
      </c>
      <c r="M59" s="2707"/>
      <c r="N59" s="2708">
        <f ca="1">M49-N57</f>
        <v>21226</v>
      </c>
      <c r="O59" s="2709"/>
    </row>
    <row r="60" ht="12" customHeight="1" spans="1:15">
      <c r="A60" s="2663"/>
      <c r="B60" s="2511"/>
      <c r="C60" s="2511"/>
      <c r="D60" s="2511"/>
      <c r="E60" s="2664"/>
      <c r="F60" s="2665"/>
      <c r="G60" s="2665"/>
      <c r="H60" s="2666"/>
      <c r="I60" s="632"/>
      <c r="J60" s="2164"/>
      <c r="K60" s="2178"/>
      <c r="L60" s="2698" t="s">
        <v>901</v>
      </c>
      <c r="M60" s="2703"/>
      <c r="N60" s="2704" t="str">
        <f ca="1">NUMBERSTRING(INT(N59*10000),2)&amp;"元整"</f>
        <v>贰亿壹仟贰佰贰拾陆万元整</v>
      </c>
      <c r="O60" s="2705"/>
    </row>
    <row r="61" ht="14.75" spans="1:15">
      <c r="A61" s="2667" t="s">
        <v>905</v>
      </c>
      <c r="B61" s="2667"/>
      <c r="C61" s="2667"/>
      <c r="D61" s="2667"/>
      <c r="E61" s="2667"/>
      <c r="F61" s="2665"/>
      <c r="G61" s="2665"/>
      <c r="H61" s="2666"/>
      <c r="I61" s="632"/>
      <c r="J61" s="2178">
        <f>J59+1</f>
        <v>7</v>
      </c>
      <c r="K61" s="2178" t="s">
        <v>906</v>
      </c>
      <c r="L61" s="2178"/>
      <c r="M61" s="2710"/>
      <c r="N61" s="2711">
        <f ca="1">ROUND(N59*10000/'数据-汇总表'!E3,0)</f>
        <v>3114</v>
      </c>
      <c r="O61" s="2712"/>
    </row>
    <row r="62" ht="14" spans="1:9">
      <c r="A62" s="2668" t="s">
        <v>907</v>
      </c>
      <c r="B62" s="2130"/>
      <c r="C62" s="2130"/>
      <c r="D62" s="2130" t="s">
        <v>908</v>
      </c>
      <c r="E62" s="2669" t="s">
        <v>862</v>
      </c>
      <c r="F62" s="2665"/>
      <c r="G62" s="2665"/>
      <c r="H62" s="2666"/>
      <c r="I62" s="632"/>
    </row>
    <row r="63" ht="14" spans="1:35">
      <c r="A63" s="2670" t="s">
        <v>909</v>
      </c>
      <c r="B63" s="2189" t="s">
        <v>910</v>
      </c>
      <c r="C63" s="2671">
        <f ca="1">ROUND((C64+C65)/(1+'数据-取费表'!C42),0)</f>
        <v>47681</v>
      </c>
      <c r="D63" s="2189"/>
      <c r="E63" s="2672"/>
      <c r="F63" s="2665"/>
      <c r="G63" s="2665"/>
      <c r="H63" s="2666"/>
      <c r="I63" s="632"/>
      <c r="J63" s="2713" t="s">
        <v>911</v>
      </c>
      <c r="K63" s="2713" t="s">
        <v>912</v>
      </c>
      <c r="L63" s="2713">
        <f ca="1">IF(M49&gt;10000,M49*0.5%,IF(AND(M49&gt;1000,M49&lt;=10000),M49*1%,IF(AND(M49&gt;100,M49&lt;=1000),M49*3%,IF(AND(M49&gt;10,M49&lt;=100),M49*5%,M49*8%))))</f>
        <v>250.325</v>
      </c>
      <c r="M63" s="1708">
        <f ca="1">ROUND(L63,1)</f>
        <v>250.3</v>
      </c>
      <c r="N63" s="2714"/>
      <c r="Z63" s="2508"/>
      <c r="AI63" s="2509"/>
    </row>
    <row r="64" ht="14.25" customHeight="1" spans="1:35">
      <c r="A64" s="2673" t="s">
        <v>913</v>
      </c>
      <c r="B64" s="2113" t="s">
        <v>914</v>
      </c>
      <c r="C64" s="2674">
        <f ca="1">D45</f>
        <v>50065</v>
      </c>
      <c r="D64" s="2113" t="s">
        <v>124</v>
      </c>
      <c r="E64" s="2675"/>
      <c r="F64" s="2665"/>
      <c r="G64" s="2665"/>
      <c r="H64" s="2666"/>
      <c r="I64" s="632"/>
      <c r="J64" s="2713"/>
      <c r="K64" s="2713" t="s">
        <v>915</v>
      </c>
      <c r="L64" s="2713">
        <f ca="1">IF(M49&gt;2000,M49*0.5%,IF(AND(M49&gt;1000,M49&lt;=2000),M49*0.6%,IF(AND(M49&gt;500,M49&lt;=1000),M49*0.7%,IF(AND(M49&gt;200,M49&lt;=500),M49*0.8%,IF(AND(M49&gt;100,M49&lt;=200),M49*0.9%,IF(AND(M49&gt;50,M49&lt;=100),M49*1%,IF(AND(M49&gt;20,M49&lt;=50),M49*1.5%,IF(AND(M49&gt;10,M49&lt;=20),M49*2%,IF(AND(M49&gt;1,M49&lt;=10),M49*2.5%)))))))))</f>
        <v>250.325</v>
      </c>
      <c r="M64" s="1708">
        <f ca="1" t="shared" ref="M64:M65" si="1">ROUND(L64,1)</f>
        <v>250.3</v>
      </c>
      <c r="N64" s="1879" t="s">
        <v>916</v>
      </c>
      <c r="Z64" s="2508"/>
      <c r="AI64" s="2509"/>
    </row>
    <row r="65" ht="14.25" customHeight="1" spans="1:35">
      <c r="A65" s="2673" t="s">
        <v>917</v>
      </c>
      <c r="B65" s="2113" t="s">
        <v>918</v>
      </c>
      <c r="C65" s="2716"/>
      <c r="D65" s="2113"/>
      <c r="E65" s="2675"/>
      <c r="F65" s="2665"/>
      <c r="G65" s="2665"/>
      <c r="H65" s="2666"/>
      <c r="I65" s="632"/>
      <c r="J65" s="2713"/>
      <c r="K65" s="2713" t="s">
        <v>919</v>
      </c>
      <c r="L65" s="2713">
        <f ca="1">IF(M49&gt;1000,M49*0.1%,IF(AND(M49&gt;500,M49&lt;=1000),M49*0.5%,IF(AND(M49&gt;50,M49&lt;=500),M49*1%,IF(AND(M49&gt;1,M49&lt;=50),M49*1.5%))))</f>
        <v>50.065</v>
      </c>
      <c r="M65" s="1708">
        <f ca="1" t="shared" si="1"/>
        <v>50.1</v>
      </c>
      <c r="N65" s="1879" t="s">
        <v>916</v>
      </c>
      <c r="Z65" s="2508"/>
      <c r="AI65" s="2509"/>
    </row>
    <row r="66" ht="14.25" customHeight="1" spans="1:35">
      <c r="A66" s="2670" t="s">
        <v>920</v>
      </c>
      <c r="B66" s="2717" t="s">
        <v>921</v>
      </c>
      <c r="C66" s="2718"/>
      <c r="D66" s="2717" t="s">
        <v>124</v>
      </c>
      <c r="E66" s="2719" t="s">
        <v>922</v>
      </c>
      <c r="F66" s="2665"/>
      <c r="G66" s="2665"/>
      <c r="H66" s="2666"/>
      <c r="I66" s="632"/>
      <c r="J66" s="2713"/>
      <c r="K66" s="2713" t="s">
        <v>923</v>
      </c>
      <c r="L66" s="2713">
        <f ca="1">M49*0.5%</f>
        <v>250.325</v>
      </c>
      <c r="M66" s="1708">
        <f ca="1">IF(L66&gt;0.5,0.5,ROUND(L66,0))</f>
        <v>0.5</v>
      </c>
      <c r="N66" s="1879" t="s">
        <v>924</v>
      </c>
      <c r="Z66" s="2508"/>
      <c r="AI66" s="2509"/>
    </row>
    <row r="67" ht="14.25" customHeight="1" spans="1:35">
      <c r="A67" s="2670" t="s">
        <v>925</v>
      </c>
      <c r="B67" s="2717" t="s">
        <v>926</v>
      </c>
      <c r="C67" s="2720">
        <f ca="1">C63-C66</f>
        <v>47681</v>
      </c>
      <c r="D67" s="2113" t="s">
        <v>124</v>
      </c>
      <c r="E67" s="2675"/>
      <c r="F67" s="2665"/>
      <c r="G67" s="2665"/>
      <c r="H67" s="2666"/>
      <c r="I67" s="632"/>
      <c r="J67" s="2713"/>
      <c r="K67" s="2713" t="s">
        <v>927</v>
      </c>
      <c r="L67" s="2713">
        <f ca="1">IF(M49&gt;=10000,(8.25+(M49-10000)*0.01%),IF(AND(M49&gt;=8000,M49&lt;10000),(7.85+(M49-8000)*0.02%),IF(AND(M49&gt;=5000,M49&lt;8000),(6.65+(M49-5000)*0.04%),IF(AND(M49&gt;=2000,M49&lt;5000),(4.25+(PM49-2000)*0.08%),IF(AND(M49&gt;=1000,M49&lt;2000),(2.75+(M49-1000)*0.15%),IF(AND(M49&gt;=100,M49&lt;1000),(0.5+(M49-100)*0.25%),IF(AND(M49&gt;0,M49&lt;100),M49*0.5%)))))))</f>
        <v>12.2565</v>
      </c>
      <c r="M67" s="1708">
        <f ca="1">ROUND(L67*0.9,1)</f>
        <v>11</v>
      </c>
      <c r="N67" s="2714"/>
      <c r="Z67" s="2508"/>
      <c r="AI67" s="2509"/>
    </row>
    <row r="68" ht="14.25" customHeight="1" spans="1:35">
      <c r="A68" s="2721" t="s">
        <v>928</v>
      </c>
      <c r="B68" s="2722" t="s">
        <v>929</v>
      </c>
      <c r="C68" s="2723">
        <f ca="1">IF(C67&lt;=0,0,ROUND(C67*D68,0))</f>
        <v>2670</v>
      </c>
      <c r="D68" s="2379">
        <f>'数据-取费表'!B41</f>
        <v>0.056</v>
      </c>
      <c r="E68" s="2724"/>
      <c r="F68" s="2665"/>
      <c r="G68" s="2665"/>
      <c r="H68" s="2666"/>
      <c r="I68" s="632"/>
      <c r="J68" s="2713"/>
      <c r="K68" s="2713" t="s">
        <v>930</v>
      </c>
      <c r="L68" s="2713">
        <f ca="1">IF(M49&gt;10000,M49*0.5%,IF(AND(M49&gt;5000,M49&lt;=10000),M49*1%,IF(AND(M49&gt;1000,M49&lt;=5000),M49*2%,IF(AND(M49&gt;200,M49&lt;=1000),M49*3%,M49*5%))))</f>
        <v>250.325</v>
      </c>
      <c r="M68" s="1708">
        <f ca="1">ROUND(L68,1)</f>
        <v>250.3</v>
      </c>
      <c r="N68" s="2714"/>
      <c r="Z68" s="2508"/>
      <c r="AI68" s="2509"/>
    </row>
    <row r="69" s="2506" customFormat="1" ht="16.5" customHeight="1" spans="1:34">
      <c r="A69" s="2725"/>
      <c r="B69" s="2726"/>
      <c r="C69" s="2727"/>
      <c r="D69" s="2297"/>
      <c r="E69" s="2728"/>
      <c r="F69" s="2664"/>
      <c r="G69" s="2664"/>
      <c r="H69" s="2612"/>
      <c r="I69" s="2511"/>
      <c r="J69" s="2713"/>
      <c r="K69" s="2713" t="s">
        <v>931</v>
      </c>
      <c r="L69" s="2713"/>
      <c r="M69" s="1708">
        <f ca="1">ROUND(SUM(M63:M68),0)</f>
        <v>813</v>
      </c>
      <c r="N69" s="2826">
        <f ca="1">M69/M49</f>
        <v>0.0162388894437232</v>
      </c>
      <c r="O69" s="587"/>
      <c r="P69" s="587"/>
      <c r="Q69" s="587"/>
      <c r="R69" s="587"/>
      <c r="S69" s="587"/>
      <c r="T69" s="587"/>
      <c r="U69" s="587"/>
      <c r="V69" s="587"/>
      <c r="W69" s="587"/>
      <c r="X69" s="587"/>
      <c r="Y69" s="587"/>
      <c r="Z69" s="2508"/>
      <c r="AA69" s="2508"/>
      <c r="AB69" s="2508"/>
      <c r="AC69" s="2508"/>
      <c r="AD69" s="2508"/>
      <c r="AE69" s="2508"/>
      <c r="AF69" s="2508"/>
      <c r="AG69" s="2508"/>
      <c r="AH69" s="2508"/>
    </row>
    <row r="70" s="2507" customFormat="1" ht="14.75" spans="1:35">
      <c r="A70" s="2729" t="s">
        <v>932</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7" customFormat="1" ht="14" spans="1:35">
      <c r="A71" s="2668" t="s">
        <v>907</v>
      </c>
      <c r="B71" s="2130"/>
      <c r="C71" s="2130"/>
      <c r="D71" s="2130" t="s">
        <v>908</v>
      </c>
      <c r="E71" s="2731" t="s">
        <v>862</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7" customFormat="1" ht="14" spans="1:35">
      <c r="A72" s="2670" t="s">
        <v>909</v>
      </c>
      <c r="B72" s="2717" t="s">
        <v>933</v>
      </c>
      <c r="C72" s="2720">
        <f ca="1">ROUND(D45/(1+'数据-取费表'!C42),0)</f>
        <v>47681</v>
      </c>
      <c r="D72" s="2113" t="s">
        <v>124</v>
      </c>
      <c r="E72" s="1741"/>
      <c r="F72" s="1742"/>
      <c r="G72" s="1742"/>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7" customFormat="1" ht="14" spans="1:35">
      <c r="A73" s="2670" t="s">
        <v>920</v>
      </c>
      <c r="B73" s="2631" t="s">
        <v>934</v>
      </c>
      <c r="C73" s="2720">
        <f ca="1">C74+C78</f>
        <v>286</v>
      </c>
      <c r="D73" s="2113" t="s">
        <v>124</v>
      </c>
      <c r="E73" s="1741"/>
      <c r="F73" s="1742"/>
      <c r="G73" s="1742"/>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7" customFormat="1" ht="26" spans="1:35">
      <c r="A74" s="2673" t="s">
        <v>913</v>
      </c>
      <c r="B74" s="2113" t="s">
        <v>935</v>
      </c>
      <c r="C74" s="2113">
        <f>ROUND(IF(G77="2016年5月1日后购买",C75/(1+'数据-取费表'!C42)+C76+C77,C75+C76+C77),0)</f>
        <v>0</v>
      </c>
      <c r="D74" s="2113" t="s">
        <v>124</v>
      </c>
      <c r="E74" s="1741"/>
      <c r="F74" s="1742"/>
      <c r="G74" s="1742"/>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7" customFormat="1" ht="28" spans="1:35">
      <c r="A75" s="2673" t="s">
        <v>936</v>
      </c>
      <c r="B75" s="2113" t="s">
        <v>937</v>
      </c>
      <c r="C75" s="2735"/>
      <c r="D75" s="2113" t="s">
        <v>124</v>
      </c>
      <c r="E75" s="2736" t="s">
        <v>938</v>
      </c>
      <c r="F75" s="2737"/>
      <c r="G75" s="2736" t="s">
        <v>939</v>
      </c>
      <c r="H75" s="2738"/>
      <c r="I75" s="2398"/>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7" customFormat="1" ht="24.75" customHeight="1" spans="1:35">
      <c r="A76" s="2673" t="s">
        <v>940</v>
      </c>
      <c r="B76" s="2739" t="s">
        <v>941</v>
      </c>
      <c r="C76" s="2113">
        <f>IF(F75="购房发票",ROUND(C75*H75*D76,0),0)</f>
        <v>0</v>
      </c>
      <c r="D76" s="2740">
        <v>0.05</v>
      </c>
      <c r="E76" s="1741" t="s">
        <v>942</v>
      </c>
      <c r="F76" s="1742"/>
      <c r="G76" s="1742"/>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7" customFormat="1" ht="24.75" customHeight="1" spans="1:35">
      <c r="A77" s="2673" t="s">
        <v>943</v>
      </c>
      <c r="B77" s="2113" t="s">
        <v>944</v>
      </c>
      <c r="C77" s="2113">
        <f>ROUND(IF(G77="个人住宅",0,IF(G77="2016年5月1日前购买",C75*D77,C75*D77/(1+'数据-取费表'!C42))),0)</f>
        <v>0</v>
      </c>
      <c r="D77" s="2742">
        <f>'数据-取费表'!B48+'数据-取费表'!B49</f>
        <v>0.0305</v>
      </c>
      <c r="E77" s="1864" t="s">
        <v>945</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7" customFormat="1" ht="24.75" customHeight="1" spans="1:35">
      <c r="A78" s="2673" t="s">
        <v>917</v>
      </c>
      <c r="B78" s="2113" t="s">
        <v>946</v>
      </c>
      <c r="C78" s="2745">
        <f ca="1">ROUND(D45*D78/(1+'数据-取费表'!C42),0)</f>
        <v>286</v>
      </c>
      <c r="D78" s="2746">
        <f>'数据-取费表'!B43</f>
        <v>0.006</v>
      </c>
      <c r="E78" s="2747" t="s">
        <v>947</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7" customFormat="1" ht="14" spans="1:35">
      <c r="A79" s="2670" t="s">
        <v>925</v>
      </c>
      <c r="B79" s="2717" t="s">
        <v>948</v>
      </c>
      <c r="C79" s="2720">
        <f ca="1">C72-C73</f>
        <v>47395</v>
      </c>
      <c r="D79" s="2113" t="s">
        <v>124</v>
      </c>
      <c r="E79" s="1741"/>
      <c r="F79" s="1742"/>
      <c r="G79" s="1742"/>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7" customFormat="1" ht="26" spans="1:35">
      <c r="A80" s="2670" t="s">
        <v>928</v>
      </c>
      <c r="B80" s="2717" t="s">
        <v>949</v>
      </c>
      <c r="C80" s="2750">
        <f ca="1">IF(C79&lt;=0,0,C79/C73)</f>
        <v>165.716783216783</v>
      </c>
      <c r="D80" s="2113" t="s">
        <v>124</v>
      </c>
      <c r="E80" s="1864"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7" customFormat="1" ht="26.75" spans="1:35">
      <c r="A81" s="2721" t="s">
        <v>950</v>
      </c>
      <c r="B81" s="2722" t="s">
        <v>951</v>
      </c>
      <c r="C81" s="2751">
        <f ca="1">ROUND(IF(C79&lt;=0,0,IF(C80&gt;=200%,C79*60%-C73*35%,IF(C80&gt;=100%,C79*50%-C73*15%,IF(C80&gt;=50%,C79*40%-C73*5%,IF(C80&lt;50%,C79*30%,0))))),0)</f>
        <v>28337</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7" customFormat="1" ht="7.5" customHeight="1" spans="1:35">
      <c r="A82" s="2756"/>
      <c r="B82" s="2757"/>
      <c r="C82" s="2281"/>
      <c r="D82" s="2281"/>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7" customFormat="1" ht="14.75" spans="1:35">
      <c r="A83" s="2729" t="s">
        <v>952</v>
      </c>
      <c r="B83" s="2730"/>
      <c r="C83" s="2730"/>
      <c r="D83" s="2730"/>
      <c r="E83" s="2730"/>
      <c r="F83" s="2730"/>
      <c r="G83" s="2730"/>
      <c r="H83" s="2730"/>
      <c r="I83" s="2398"/>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7" customFormat="1" ht="14" spans="1:35">
      <c r="A84" s="2668" t="s">
        <v>907</v>
      </c>
      <c r="B84" s="2130"/>
      <c r="C84" s="2130"/>
      <c r="D84" s="2130" t="s">
        <v>908</v>
      </c>
      <c r="E84" s="2731" t="s">
        <v>862</v>
      </c>
      <c r="F84" s="2732"/>
      <c r="G84" s="2732"/>
      <c r="H84" s="2759"/>
      <c r="I84" s="2398"/>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7" customFormat="1" ht="14" spans="1:35">
      <c r="A85" s="2670" t="s">
        <v>909</v>
      </c>
      <c r="B85" s="2717" t="s">
        <v>933</v>
      </c>
      <c r="C85" s="2720">
        <f ca="1">ROUND(D45/(1+'数据-取费表'!C42),0)</f>
        <v>47681</v>
      </c>
      <c r="D85" s="2113" t="s">
        <v>124</v>
      </c>
      <c r="E85" s="1741"/>
      <c r="F85" s="1742"/>
      <c r="G85" s="1742"/>
      <c r="H85" s="2760"/>
      <c r="I85" s="2398"/>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7" customFormat="1" ht="14" spans="1:35">
      <c r="A86" s="2670" t="s">
        <v>920</v>
      </c>
      <c r="B86" s="2631" t="s">
        <v>934</v>
      </c>
      <c r="C86" s="2720">
        <f ca="1">IF(H88="仅含出让金",C87+C90+C91+C92+C93+C94,C87+C91+C92+C93+C94)</f>
        <v>286</v>
      </c>
      <c r="D86" s="2761"/>
      <c r="E86" s="1741"/>
      <c r="F86" s="1742"/>
      <c r="G86" s="1742"/>
      <c r="H86" s="2760"/>
      <c r="I86" s="2398"/>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7" customFormat="1" ht="14" spans="1:35">
      <c r="A87" s="2673" t="s">
        <v>913</v>
      </c>
      <c r="B87" s="2113" t="s">
        <v>953</v>
      </c>
      <c r="C87" s="2745">
        <f>C88+C89</f>
        <v>0</v>
      </c>
      <c r="D87" s="2746"/>
      <c r="E87" s="2747"/>
      <c r="F87" s="2748"/>
      <c r="G87" s="2748"/>
      <c r="H87" s="2749"/>
      <c r="I87" s="2398"/>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7" customFormat="1" ht="14" spans="1:35">
      <c r="A88" s="2673" t="s">
        <v>936</v>
      </c>
      <c r="B88" s="2113" t="s">
        <v>954</v>
      </c>
      <c r="C88" s="2762"/>
      <c r="D88" s="2746"/>
      <c r="E88" s="2763" t="s">
        <v>955</v>
      </c>
      <c r="F88" s="2748"/>
      <c r="G88" s="2764" t="s">
        <v>956</v>
      </c>
      <c r="H88" s="2765"/>
      <c r="I88" s="2398"/>
      <c r="J88" s="2832" t="s">
        <v>957</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7" customFormat="1" ht="14" spans="1:35">
      <c r="A89" s="2673" t="s">
        <v>940</v>
      </c>
      <c r="B89" s="2113" t="s">
        <v>944</v>
      </c>
      <c r="C89" s="2745">
        <f>ROUND(C88*D89,0)</f>
        <v>0</v>
      </c>
      <c r="D89" s="2746">
        <f>'数据-取费表'!B48+'数据-取费表'!B49</f>
        <v>0.0305</v>
      </c>
      <c r="E89" s="2763" t="s">
        <v>958</v>
      </c>
      <c r="F89" s="2748"/>
      <c r="G89" s="2748"/>
      <c r="H89" s="2749"/>
      <c r="I89" s="2398"/>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7" customFormat="1" ht="14" spans="1:35">
      <c r="A90" s="2673" t="s">
        <v>917</v>
      </c>
      <c r="B90" s="2113" t="s">
        <v>959</v>
      </c>
      <c r="C90" s="2762"/>
      <c r="D90" s="2746"/>
      <c r="E90" s="2763" t="str">
        <f>IF(H88="-","土地取得成本中已包含该笔费用"," ")</f>
        <v> </v>
      </c>
      <c r="F90" s="2748"/>
      <c r="G90" s="2766" t="s">
        <v>960</v>
      </c>
      <c r="H90" s="2767"/>
      <c r="I90" s="2398"/>
      <c r="J90" s="2832" t="s">
        <v>961</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7" customFormat="1" ht="27.75" customHeight="1" spans="1:35">
      <c r="A91" s="2673" t="s">
        <v>962</v>
      </c>
      <c r="B91" s="2113" t="s">
        <v>963</v>
      </c>
      <c r="C91" s="2745">
        <f ca="1">IF(H91="——",成本法!C33,I91)</f>
        <v>0</v>
      </c>
      <c r="D91" s="2746"/>
      <c r="E91" s="2747" t="s">
        <v>964</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7" customFormat="1" ht="25.5" customHeight="1" spans="1:35">
      <c r="A92" s="2673" t="s">
        <v>965</v>
      </c>
      <c r="B92" s="2113" t="s">
        <v>966</v>
      </c>
      <c r="C92" s="2745">
        <f ca="1">ROUND((C87+C90+C91)*D92,0)</f>
        <v>0</v>
      </c>
      <c r="D92" s="2769"/>
      <c r="E92" s="2747" t="s">
        <v>967</v>
      </c>
      <c r="F92" s="2748"/>
      <c r="G92" s="2748"/>
      <c r="H92" s="2749"/>
      <c r="I92" s="2398"/>
      <c r="J92" s="2834" t="s">
        <v>968</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7" customFormat="1" ht="25.5" customHeight="1" spans="1:35">
      <c r="A93" s="2673" t="s">
        <v>969</v>
      </c>
      <c r="B93" s="2113" t="s">
        <v>946</v>
      </c>
      <c r="C93" s="2745">
        <f ca="1">ROUND(D45*D93/(1+'数据-取费表'!C42),0)</f>
        <v>286</v>
      </c>
      <c r="D93" s="2746">
        <f>'数据-取费表'!B43</f>
        <v>0.006</v>
      </c>
      <c r="E93" s="2747" t="s">
        <v>947</v>
      </c>
      <c r="F93" s="2748"/>
      <c r="G93" s="2748"/>
      <c r="H93" s="2749"/>
      <c r="I93" s="2398"/>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7" customFormat="1" ht="36.75" customHeight="1" spans="1:35">
      <c r="A94" s="2673" t="s">
        <v>970</v>
      </c>
      <c r="B94" s="2113" t="s">
        <v>971</v>
      </c>
      <c r="C94" s="2762">
        <f ca="1">ROUND((C87+C90+C91)*D94,0)</f>
        <v>0</v>
      </c>
      <c r="D94" s="2746">
        <v>0.2</v>
      </c>
      <c r="E94" s="2770" t="s">
        <v>972</v>
      </c>
      <c r="F94" s="2771"/>
      <c r="G94" s="2771"/>
      <c r="H94" s="2772"/>
      <c r="I94" s="2398"/>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7" customFormat="1" ht="14" spans="1:35">
      <c r="A95" s="2670" t="s">
        <v>925</v>
      </c>
      <c r="B95" s="2717" t="s">
        <v>948</v>
      </c>
      <c r="C95" s="2720">
        <f ca="1">ROUND(C85-C86,0)</f>
        <v>47395</v>
      </c>
      <c r="D95" s="2113" t="s">
        <v>124</v>
      </c>
      <c r="E95" s="1741"/>
      <c r="F95" s="1742"/>
      <c r="G95" s="1742"/>
      <c r="H95" s="2760"/>
      <c r="I95" s="2398"/>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7" customFormat="1" ht="26" spans="1:35">
      <c r="A96" s="2670" t="s">
        <v>928</v>
      </c>
      <c r="B96" s="2717" t="s">
        <v>949</v>
      </c>
      <c r="C96" s="2750">
        <f ca="1">IF(C95&lt;=0,0,C95/C86)</f>
        <v>165.716783216783</v>
      </c>
      <c r="D96" s="2113" t="s">
        <v>124</v>
      </c>
      <c r="E96" s="1864"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760"/>
      <c r="I96" s="2398"/>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7" customFormat="1" ht="26.75" spans="1:35">
      <c r="A97" s="2721" t="s">
        <v>950</v>
      </c>
      <c r="B97" s="2722" t="s">
        <v>951</v>
      </c>
      <c r="C97" s="2751">
        <f ca="1">ROUND(IF(C95&lt;=0,0,IF(C96&gt;=200%,C95*60%-C86*35%,IF(C96&gt;=100%,C95*50%-C86*15%,IF(C96&gt;=50%,C95*40%-C86*5%,IF(C96&lt;50%,C95*30%,0))))),0)</f>
        <v>28337</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3"/>
      <c r="I97" s="2398"/>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1"/>
      <c r="C98" s="2511"/>
      <c r="D98" s="2511"/>
      <c r="E98" s="2664"/>
      <c r="F98" s="2664"/>
      <c r="G98" s="2664"/>
      <c r="H98" s="2612"/>
      <c r="I98" s="632"/>
    </row>
    <row r="99" customHeight="1" spans="1:9">
      <c r="A99" s="2614" t="s">
        <v>973</v>
      </c>
      <c r="B99" s="2511"/>
      <c r="C99" s="2511"/>
      <c r="D99" s="2511"/>
      <c r="E99" s="2664"/>
      <c r="F99" s="2664"/>
      <c r="G99" s="2664"/>
      <c r="H99" s="2612"/>
      <c r="I99" s="632"/>
    </row>
    <row r="100" ht="18.75" customHeight="1" spans="1:9">
      <c r="A100" s="2774" t="s">
        <v>974</v>
      </c>
      <c r="B100" s="2775"/>
      <c r="C100" s="2775"/>
      <c r="D100" s="2776"/>
      <c r="E100" s="2775" t="s">
        <v>975</v>
      </c>
      <c r="F100" s="2775"/>
      <c r="G100" s="2775"/>
      <c r="H100" s="2776"/>
      <c r="I100" s="632"/>
    </row>
    <row r="101" ht="18.75" customHeight="1" spans="1:9">
      <c r="A101" s="2777" t="s">
        <v>976</v>
      </c>
      <c r="B101" s="2778"/>
      <c r="C101" s="2779" t="str">
        <f>C4</f>
        <v>成本法</v>
      </c>
      <c r="D101" s="2780" t="str">
        <f>D4</f>
        <v>假设开发法</v>
      </c>
      <c r="E101" s="2781" t="s">
        <v>977</v>
      </c>
      <c r="F101" s="2782"/>
      <c r="G101" s="2783" t="s">
        <v>978</v>
      </c>
      <c r="H101" s="2784">
        <f ca="1">H118</f>
        <v>50065</v>
      </c>
      <c r="I101" s="632"/>
    </row>
    <row r="102" ht="18.75" customHeight="1" spans="1:9">
      <c r="A102" s="2785" t="s">
        <v>979</v>
      </c>
      <c r="B102" s="2786" t="s">
        <v>978</v>
      </c>
      <c r="C102" s="2779">
        <f ca="1">IF(D32="楼面单价",ROUND(C19,0),C19)</f>
        <v>59647</v>
      </c>
      <c r="D102" s="2780">
        <f ca="1">IF(D32="楼面单价",ROUND(D19,0),D19)</f>
        <v>35693</v>
      </c>
      <c r="E102" s="2781"/>
      <c r="F102" s="2782"/>
      <c r="G102" s="2783" t="s">
        <v>99</v>
      </c>
      <c r="H102" s="2650">
        <f ca="1">I118</f>
        <v>7346</v>
      </c>
      <c r="I102" s="632"/>
    </row>
    <row r="103" ht="42.75" customHeight="1" spans="1:9">
      <c r="A103" s="2785"/>
      <c r="B103" s="2786" t="s">
        <v>99</v>
      </c>
      <c r="C103" s="2787">
        <f ca="1">C20</f>
        <v>8752</v>
      </c>
      <c r="D103" s="2788">
        <f ca="1">D20</f>
        <v>5237</v>
      </c>
      <c r="E103" s="2789" t="s">
        <v>980</v>
      </c>
      <c r="F103" s="2790"/>
      <c r="G103" s="2791" t="s">
        <v>102</v>
      </c>
      <c r="H103" s="2784">
        <f>IF(D36="正常操作",H104+H105+H106,H105+H106)</f>
        <v>0</v>
      </c>
      <c r="I103" s="632"/>
    </row>
    <row r="104" ht="18.75" customHeight="1" spans="1:9">
      <c r="A104" s="2785" t="s">
        <v>981</v>
      </c>
      <c r="B104" s="2792" t="s">
        <v>978</v>
      </c>
      <c r="C104" s="2793">
        <f ca="1">H118</f>
        <v>50065</v>
      </c>
      <c r="D104" s="2794"/>
      <c r="E104" s="2596" t="s">
        <v>982</v>
      </c>
      <c r="F104" s="2795"/>
      <c r="G104" s="2791" t="s">
        <v>102</v>
      </c>
      <c r="H104" s="2796">
        <f>IF(D36="同一抵押权人同一抵押物续贷",C36&amp;"（续贷，未扣减，详见特别提示）",C36)</f>
        <v>0</v>
      </c>
      <c r="I104" s="632"/>
    </row>
    <row r="105" ht="18.75" customHeight="1" spans="1:9">
      <c r="A105" s="2797"/>
      <c r="B105" s="2798" t="s">
        <v>99</v>
      </c>
      <c r="C105" s="2799">
        <f ca="1">I118</f>
        <v>7346</v>
      </c>
      <c r="D105" s="2800"/>
      <c r="E105" s="2596" t="s">
        <v>983</v>
      </c>
      <c r="F105" s="2795"/>
      <c r="G105" s="2791" t="s">
        <v>102</v>
      </c>
      <c r="H105" s="2801">
        <f>C37</f>
        <v>0</v>
      </c>
      <c r="I105" s="632"/>
    </row>
    <row r="106" ht="18.75" customHeight="1" spans="1:9">
      <c r="A106" s="2511" t="s">
        <v>984</v>
      </c>
      <c r="B106" s="2511"/>
      <c r="C106" s="2511"/>
      <c r="D106" s="2511"/>
      <c r="E106" s="2802" t="s">
        <v>985</v>
      </c>
      <c r="F106" s="2795"/>
      <c r="G106" s="2791" t="s">
        <v>102</v>
      </c>
      <c r="H106" s="2801">
        <f>C38</f>
        <v>0</v>
      </c>
      <c r="I106" s="632"/>
    </row>
    <row r="107" ht="18.75" customHeight="1" spans="1:9">
      <c r="A107" s="632"/>
      <c r="B107" s="632"/>
      <c r="C107" s="632"/>
      <c r="D107" s="632"/>
      <c r="E107" s="2803" t="str">
        <f>IF(项目基本情况!E8="已注销","——","3.房地产抵押价值")</f>
        <v>3.房地产抵押价值</v>
      </c>
      <c r="F107" s="2782"/>
      <c r="G107" s="2783" t="s">
        <v>978</v>
      </c>
      <c r="H107" s="2784">
        <f ca="1">IF(E107="——","——",H101-H103)</f>
        <v>50065</v>
      </c>
      <c r="I107" s="632"/>
    </row>
    <row r="108" ht="18.75" customHeight="1" spans="1:9">
      <c r="A108" s="632"/>
      <c r="B108" s="632"/>
      <c r="C108" s="632"/>
      <c r="D108" s="632"/>
      <c r="E108" s="2803"/>
      <c r="F108" s="2782"/>
      <c r="G108" s="2783" t="s">
        <v>99</v>
      </c>
      <c r="H108" s="2650">
        <f ca="1">IF(H107=H101,H102,ROUND(H107*10000/'数据-汇总表'!E3,0))</f>
        <v>7346</v>
      </c>
      <c r="I108" s="632"/>
    </row>
    <row r="109" ht="18.75" customHeight="1" spans="1:9">
      <c r="A109" s="632"/>
      <c r="B109" s="632"/>
      <c r="C109" s="632"/>
      <c r="D109" s="632"/>
      <c r="E109" s="2803" t="str">
        <f>IF(项目基本情况!E8="已注销及未注销","4.抵押担保权已注销时的房地产抵押价值",IF(项目基本情况!E8="已注销","3.抵押担保权已注销时的房地产抵押价值","——"))</f>
        <v>——</v>
      </c>
      <c r="F109" s="2782"/>
      <c r="G109" s="2783" t="s">
        <v>978</v>
      </c>
      <c r="H109" s="2804" t="str">
        <f ca="1">IF(E109="——","——",H101-H105-H106)</f>
        <v>——</v>
      </c>
      <c r="I109" s="632"/>
    </row>
    <row r="110" ht="18.75" customHeight="1" spans="1:9">
      <c r="A110" s="632"/>
      <c r="B110" s="632"/>
      <c r="C110" s="632"/>
      <c r="D110" s="632"/>
      <c r="E110" s="2803"/>
      <c r="F110" s="2782"/>
      <c r="G110" s="2783" t="s">
        <v>99</v>
      </c>
      <c r="H110" s="2650" t="str">
        <f ca="1">IF(H109="——","——",ROUND(H109*10000/'数据-汇总表'!E3,0))</f>
        <v>——</v>
      </c>
      <c r="I110" s="632"/>
    </row>
    <row r="111" ht="18.75" customHeight="1" spans="1:9">
      <c r="A111" s="632"/>
      <c r="B111" s="632"/>
      <c r="C111" s="632"/>
      <c r="D111" s="632"/>
      <c r="E111" s="2805" t="str">
        <f>IF(项目基本情况!E9="抵押净值",IF(OR(项目基本情况!E8="已注销",项目基本情况!E8="房地产抵押价值"),"4.抵押净值","5.抵押净值"),"——")</f>
        <v>——</v>
      </c>
      <c r="F111" s="2806"/>
      <c r="G111" s="2783" t="s">
        <v>978</v>
      </c>
      <c r="H111" s="2784" t="str">
        <f ca="1">IF(E111="——","——",N59)</f>
        <v>——</v>
      </c>
      <c r="I111" s="632"/>
    </row>
    <row r="112" ht="18.75" customHeight="1" spans="1:9">
      <c r="A112" s="632"/>
      <c r="B112" s="632"/>
      <c r="C112" s="632"/>
      <c r="D112" s="632"/>
      <c r="E112" s="2807"/>
      <c r="F112" s="2808"/>
      <c r="G112" s="2809" t="s">
        <v>99</v>
      </c>
      <c r="H112" s="2810" t="str">
        <f ca="1">IF(E111="——","——",N61)</f>
        <v>——</v>
      </c>
      <c r="I112" s="632"/>
    </row>
    <row r="113" ht="18.75" customHeight="1" spans="1:9">
      <c r="A113" s="632"/>
      <c r="B113" s="632"/>
      <c r="C113" s="632"/>
      <c r="D113" s="632"/>
      <c r="E113" s="2811" t="s">
        <v>984</v>
      </c>
      <c r="F113" s="2811"/>
      <c r="G113" s="2811"/>
      <c r="H113" s="2811"/>
      <c r="I113" s="632"/>
    </row>
    <row r="114" ht="3.75" customHeight="1" spans="1:9">
      <c r="A114" s="2511"/>
      <c r="B114" s="2511"/>
      <c r="C114" s="2511"/>
      <c r="D114" s="2511"/>
      <c r="E114" s="2663"/>
      <c r="F114" s="2663"/>
      <c r="G114" s="2663"/>
      <c r="H114" s="2663"/>
      <c r="I114" s="2511"/>
    </row>
    <row r="115" ht="18.75" customHeight="1" spans="1:9">
      <c r="A115" s="2812" t="s">
        <v>986</v>
      </c>
      <c r="B115" s="2813"/>
      <c r="C115" s="2813"/>
      <c r="D115" s="2813"/>
      <c r="E115" s="2813"/>
      <c r="F115" s="2813"/>
      <c r="G115" s="2813"/>
      <c r="H115" s="2813"/>
      <c r="I115" s="2835"/>
    </row>
    <row r="116" ht="27" customHeight="1" spans="1:9">
      <c r="A116" s="2524" t="s">
        <v>987</v>
      </c>
      <c r="B116" s="2814" t="s">
        <v>988</v>
      </c>
      <c r="C116" s="2814" t="s">
        <v>989</v>
      </c>
      <c r="D116" s="2815" t="s">
        <v>990</v>
      </c>
      <c r="E116" s="2816"/>
      <c r="F116" s="2817" t="s">
        <v>991</v>
      </c>
      <c r="G116" s="2817"/>
      <c r="H116" s="2524" t="s">
        <v>992</v>
      </c>
      <c r="I116" s="2524"/>
    </row>
    <row r="117" ht="18.75" customHeight="1" spans="1:9">
      <c r="A117" s="2524"/>
      <c r="B117" s="2818"/>
      <c r="C117" s="2818"/>
      <c r="D117" s="2524" t="s">
        <v>993</v>
      </c>
      <c r="E117" s="2524" t="s">
        <v>820</v>
      </c>
      <c r="F117" s="2524" t="s">
        <v>993</v>
      </c>
      <c r="G117" s="2524" t="s">
        <v>820</v>
      </c>
      <c r="H117" s="2524" t="s">
        <v>993</v>
      </c>
      <c r="I117" s="2524" t="s">
        <v>820</v>
      </c>
    </row>
    <row r="118" ht="24.75" customHeight="1" spans="1:9">
      <c r="A118" s="2819" t="str">
        <f>项目基本情况!S2</f>
        <v>北京市房地产</v>
      </c>
      <c r="B118" s="2524">
        <f>M18</f>
        <v>68156.19</v>
      </c>
      <c r="C118" s="2524">
        <f>M19</f>
        <v>11645.87</v>
      </c>
      <c r="D118" s="2524">
        <f ca="1">ROUND(IF(D32="总价",C34,E118*B118/10000),0)</f>
        <v>13968</v>
      </c>
      <c r="E118" s="2524">
        <f ca="1">ROUND(IF(C33="自定义",IF(D32="楼面单价",C34,D118*10000/B118),I118-G118),0)</f>
        <v>2050</v>
      </c>
      <c r="F118" s="2524">
        <f ca="1">ROUND(IF(D32="总价",C35,G118*B118/10000),0)</f>
        <v>36097</v>
      </c>
      <c r="G118" s="2524">
        <f ca="1">ROUND(IF(D32="楼面单价",C35,F118*10000/B118),0)</f>
        <v>5296</v>
      </c>
      <c r="H118" s="2524">
        <f ca="1">ROUND(IF(D32="总价",C32,I118*B118/10000),0)</f>
        <v>50065</v>
      </c>
      <c r="I118" s="2524">
        <f ca="1">ROUND(IF(D32="楼面单价",C32,H118*10000/B118),0)</f>
        <v>7346</v>
      </c>
    </row>
    <row r="119" ht="18.75" customHeight="1" spans="1:9">
      <c r="A119" s="2524" t="s">
        <v>994</v>
      </c>
      <c r="B119" s="2524"/>
      <c r="C119" s="2524"/>
      <c r="D119" s="2820" t="str">
        <f ca="1">NUMBERSTRING(INT(D118*10000),2)&amp;"元整"</f>
        <v>壹亿叁仟玖佰陆拾捌万元整</v>
      </c>
      <c r="E119" s="2821"/>
      <c r="F119" s="2820" t="str">
        <f ca="1">NUMBERSTRING(INT(F118*10000),2)&amp;"元整"</f>
        <v>叁亿陆仟零玖拾柒万元整</v>
      </c>
      <c r="G119" s="2821"/>
      <c r="H119" s="2820" t="str">
        <f ca="1">NUMBERSTRING(INT(H118*10000),2)&amp;"元整"</f>
        <v>伍亿零陆拾伍万元整</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20" t="s">
        <v>994</v>
      </c>
      <c r="B121" s="2825"/>
      <c r="C121" s="2821"/>
      <c r="D121" s="2820" t="str">
        <f>IF(D120=0,"零元整",NUMBERSTRING(INT(D120*10000),2)&amp;"元整")</f>
        <v>零元整</v>
      </c>
      <c r="E121" s="2825"/>
      <c r="F121" s="2825"/>
      <c r="G121" s="2825"/>
      <c r="H121" s="2825"/>
      <c r="I121" s="2821"/>
      <c r="AA121" s="587"/>
    </row>
    <row r="122" ht="18.75" customHeight="1" spans="1:27">
      <c r="A122" s="2806" t="str">
        <f>IF(项目基本情况!B9="房地产市场价值","",MID(E107,3,LEN(E107)-2))</f>
        <v>房地产抵押价值</v>
      </c>
      <c r="B122" s="2806"/>
      <c r="C122" s="2806"/>
      <c r="D122" s="2822">
        <f ca="1">H107</f>
        <v>50065</v>
      </c>
      <c r="E122" s="2823"/>
      <c r="F122" s="2823"/>
      <c r="G122" s="2823"/>
      <c r="H122" s="2823"/>
      <c r="I122" s="2824"/>
      <c r="AA122" s="587"/>
    </row>
    <row r="123" ht="18.75" customHeight="1" spans="1:27">
      <c r="A123" s="2524" t="s">
        <v>994</v>
      </c>
      <c r="B123" s="2524"/>
      <c r="C123" s="2524"/>
      <c r="D123" s="2820" t="str">
        <f ca="1">NUMBERSTRING(INT(D122*10000),2)&amp;"元整"</f>
        <v>伍亿零陆拾伍万元整</v>
      </c>
      <c r="E123" s="2825"/>
      <c r="F123" s="2825"/>
      <c r="G123" s="2825"/>
      <c r="H123" s="2825"/>
      <c r="I123" s="2821"/>
      <c r="AA123" s="587"/>
    </row>
    <row r="124" ht="18.75" customHeight="1" spans="1:27">
      <c r="A124" s="2806" t="str">
        <f>IF(项目基本情况!B9="房地产市场价值","",MID(E109,3,LEN(E109)-2))</f>
        <v/>
      </c>
      <c r="B124" s="2806"/>
      <c r="C124" s="2806"/>
      <c r="D124" s="2822" t="str">
        <f ca="1">H109</f>
        <v>——</v>
      </c>
      <c r="E124" s="2823"/>
      <c r="F124" s="2823"/>
      <c r="G124" s="2823"/>
      <c r="H124" s="2823"/>
      <c r="I124" s="2824"/>
      <c r="AA124" s="587"/>
    </row>
    <row r="125" ht="18.75" customHeight="1" spans="1:27">
      <c r="A125" s="2524" t="s">
        <v>994</v>
      </c>
      <c r="B125" s="2524"/>
      <c r="C125" s="2524"/>
      <c r="D125" s="2820" t="e">
        <f ca="1">NUMBERSTRING(INT(D124*10000),2)&amp;"元整"</f>
        <v>#VALUE!</v>
      </c>
      <c r="E125" s="2825"/>
      <c r="F125" s="2825"/>
      <c r="G125" s="2825"/>
      <c r="H125" s="2825"/>
      <c r="I125" s="2821"/>
      <c r="AA125" s="587"/>
    </row>
    <row r="126" ht="18.75" customHeight="1" spans="1:27">
      <c r="A126" s="2806" t="str">
        <f>IF(项目基本情况!B9="房地产市场价值","",MID(E111,3,LEN(E111)-2))</f>
        <v/>
      </c>
      <c r="B126" s="2806"/>
      <c r="C126" s="2806"/>
      <c r="D126" s="2822" t="str">
        <f ca="1">H111</f>
        <v>——</v>
      </c>
      <c r="E126" s="2823"/>
      <c r="F126" s="2823"/>
      <c r="G126" s="2823"/>
      <c r="H126" s="2823"/>
      <c r="I126" s="2824"/>
      <c r="AA126" s="587"/>
    </row>
    <row r="127" ht="18.75" customHeight="1" spans="1:27">
      <c r="A127" s="2524" t="s">
        <v>994</v>
      </c>
      <c r="B127" s="2524"/>
      <c r="C127" s="2524"/>
      <c r="D127" s="2820" t="e">
        <f ca="1">NUMBERSTRING(INT(D126*10000),2)&amp;"元整"</f>
        <v>#VALUE!</v>
      </c>
      <c r="E127" s="2825"/>
      <c r="F127" s="2825"/>
      <c r="G127" s="2825"/>
      <c r="H127" s="2825"/>
      <c r="I127" s="2821"/>
      <c r="AA127" s="587"/>
    </row>
    <row r="128" customHeight="1" spans="1:27">
      <c r="A128" s="1829" t="s">
        <v>113</v>
      </c>
      <c r="B128" s="1829"/>
      <c r="C128" s="1829"/>
      <c r="D128" s="1829"/>
      <c r="E128" s="1829"/>
      <c r="F128" s="1829"/>
      <c r="G128" s="1829"/>
      <c r="H128" s="1829"/>
      <c r="I128" s="1829"/>
      <c r="AA128" s="587"/>
    </row>
    <row r="129" customHeight="1" spans="1:27">
      <c r="A129" s="2837" t="s">
        <v>995</v>
      </c>
      <c r="B129" s="2838"/>
      <c r="C129" s="2839" t="s">
        <v>996</v>
      </c>
      <c r="D129" s="2840"/>
      <c r="E129" s="2840"/>
      <c r="F129" s="2840"/>
      <c r="G129" s="2840"/>
      <c r="H129" s="2841"/>
      <c r="I129" s="2856"/>
      <c r="AA129" s="587"/>
    </row>
    <row r="130" customHeight="1" spans="1:27">
      <c r="A130" s="2842">
        <v>1</v>
      </c>
      <c r="B130" s="2843"/>
      <c r="C130" s="2843"/>
      <c r="D130" s="2844"/>
      <c r="E130" s="2844"/>
      <c r="F130" s="2844"/>
      <c r="G130" s="2844"/>
      <c r="H130" s="2845"/>
      <c r="I130" s="2857"/>
      <c r="AA130" s="587"/>
    </row>
    <row r="131" customHeight="1" spans="1:27">
      <c r="A131" s="2842">
        <v>2</v>
      </c>
      <c r="B131" s="2843"/>
      <c r="C131" s="2843"/>
      <c r="D131" s="2844"/>
      <c r="E131" s="2844"/>
      <c r="F131" s="2844"/>
      <c r="G131" s="2844"/>
      <c r="H131" s="2845"/>
      <c r="I131" s="2857"/>
      <c r="AA131" s="587"/>
    </row>
    <row r="132" customHeight="1" spans="1:27">
      <c r="A132" s="2842">
        <v>3</v>
      </c>
      <c r="B132" s="2843"/>
      <c r="C132" s="2843"/>
      <c r="D132" s="2844"/>
      <c r="E132" s="2844"/>
      <c r="F132" s="2844"/>
      <c r="G132" s="2844"/>
      <c r="H132" s="2845"/>
      <c r="I132" s="2857"/>
      <c r="AA132" s="587"/>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587"/>
    </row>
    <row r="135" customHeight="1" spans="1:9">
      <c r="A135" s="587"/>
      <c r="B135" s="587"/>
      <c r="C135" s="587"/>
      <c r="D135" s="587"/>
      <c r="E135" s="587"/>
      <c r="F135" s="2850" t="s">
        <v>997</v>
      </c>
      <c r="G135" s="2851"/>
      <c r="H135" s="2851"/>
      <c r="I135" s="2859" t="s">
        <v>998</v>
      </c>
    </row>
    <row r="136" customHeight="1" spans="1:9">
      <c r="A136" s="587"/>
      <c r="B136" s="2852" t="s">
        <v>999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51"/>
      <c r="C138" s="2851"/>
      <c r="D138" s="2851"/>
      <c r="E138" s="2851"/>
      <c r="F138" s="2851"/>
      <c r="G138" s="2851"/>
      <c r="H138" s="2851"/>
      <c r="I138" s="2859" t="s">
        <v>1000</v>
      </c>
    </row>
    <row r="139" customHeight="1" spans="1:9">
      <c r="A139" s="587"/>
      <c r="B139" s="2852" t="s">
        <v>1001</v>
      </c>
      <c r="C139" s="587"/>
      <c r="D139" s="587"/>
      <c r="E139" s="587"/>
      <c r="F139" s="587"/>
      <c r="G139" s="587"/>
      <c r="H139" s="587"/>
      <c r="I139" s="587"/>
    </row>
    <row r="140" customHeight="1" spans="1:9">
      <c r="A140" s="587"/>
      <c r="B140" s="2852"/>
      <c r="C140" s="587"/>
      <c r="D140" s="587"/>
      <c r="E140" s="587"/>
      <c r="F140" s="587"/>
      <c r="G140" s="587"/>
      <c r="H140" s="587"/>
      <c r="I140" s="587"/>
    </row>
    <row r="141" customHeight="1" spans="1:9">
      <c r="A141" s="587"/>
      <c r="B141" s="2851"/>
      <c r="C141" s="2851"/>
      <c r="D141" s="2851"/>
      <c r="E141" s="2851"/>
      <c r="F141" s="2851"/>
      <c r="G141" s="2851"/>
      <c r="H141" s="2851"/>
      <c r="I141" s="2859" t="s">
        <v>1000</v>
      </c>
    </row>
    <row r="142" customHeight="1" spans="1:9">
      <c r="A142" s="587"/>
      <c r="B142" s="2852"/>
      <c r="C142" s="2853"/>
      <c r="D142" s="2854"/>
      <c r="E142" s="2854"/>
      <c r="F142" s="2855"/>
      <c r="G142" s="587"/>
      <c r="H142" s="587"/>
      <c r="I142" s="587"/>
    </row>
    <row r="143" s="584" customFormat="1" customHeight="1" spans="1:35">
      <c r="A143" s="587"/>
      <c r="B143" s="2852"/>
      <c r="C143" s="2853"/>
      <c r="D143" s="2854"/>
      <c r="E143" s="2854"/>
      <c r="F143" s="285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8" customFormat="1" customHeight="1" spans="10:26">
      <c r="J409" s="587"/>
      <c r="K409" s="587"/>
      <c r="L409" s="587"/>
      <c r="M409" s="587"/>
      <c r="N409" s="587"/>
      <c r="O409" s="587"/>
      <c r="P409" s="587"/>
      <c r="Q409" s="587"/>
      <c r="R409" s="587"/>
      <c r="S409" s="587"/>
      <c r="T409" s="587"/>
      <c r="U409" s="587"/>
      <c r="V409" s="587"/>
      <c r="W409" s="587"/>
      <c r="X409" s="587"/>
      <c r="Y409" s="587"/>
      <c r="Z409" s="587"/>
    </row>
    <row r="410" s="2508" customFormat="1" customHeight="1" spans="10:26">
      <c r="J410" s="587"/>
      <c r="K410" s="587"/>
      <c r="L410" s="587"/>
      <c r="M410" s="587"/>
      <c r="N410" s="587"/>
      <c r="O410" s="587"/>
      <c r="P410" s="587"/>
      <c r="Q410" s="587"/>
      <c r="R410" s="587"/>
      <c r="S410" s="587"/>
      <c r="T410" s="587"/>
      <c r="U410" s="587"/>
      <c r="V410" s="587"/>
      <c r="W410" s="587"/>
      <c r="X410" s="587"/>
      <c r="Y410" s="587"/>
      <c r="Z410" s="587"/>
    </row>
    <row r="411" s="2508" customFormat="1" customHeight="1" spans="10:26">
      <c r="J411" s="587"/>
      <c r="K411" s="587"/>
      <c r="L411" s="587"/>
      <c r="M411" s="587"/>
      <c r="N411" s="587"/>
      <c r="O411" s="587"/>
      <c r="P411" s="587"/>
      <c r="Q411" s="587"/>
      <c r="R411" s="587"/>
      <c r="S411" s="587"/>
      <c r="T411" s="587"/>
      <c r="U411" s="587"/>
      <c r="V411" s="587"/>
      <c r="W411" s="587"/>
      <c r="X411" s="587"/>
      <c r="Y411" s="587"/>
      <c r="Z411" s="587"/>
    </row>
    <row r="412" s="2508" customFormat="1" customHeight="1" spans="10:26">
      <c r="J412" s="587"/>
      <c r="K412" s="587"/>
      <c r="L412" s="587"/>
      <c r="M412" s="587"/>
      <c r="N412" s="587"/>
      <c r="O412" s="587"/>
      <c r="P412" s="587"/>
      <c r="Q412" s="587"/>
      <c r="R412" s="587"/>
      <c r="S412" s="587"/>
      <c r="T412" s="587"/>
      <c r="U412" s="587"/>
      <c r="V412" s="587"/>
      <c r="W412" s="587"/>
      <c r="X412" s="587"/>
      <c r="Y412" s="587"/>
      <c r="Z412" s="587"/>
    </row>
    <row r="413" s="2508" customFormat="1" customHeight="1" spans="10:26">
      <c r="J413" s="587"/>
      <c r="K413" s="587"/>
      <c r="L413" s="587"/>
      <c r="M413" s="587"/>
      <c r="N413" s="587"/>
      <c r="O413" s="587"/>
      <c r="P413" s="587"/>
      <c r="Q413" s="587"/>
      <c r="R413" s="587"/>
      <c r="S413" s="587"/>
      <c r="T413" s="587"/>
      <c r="U413" s="587"/>
      <c r="V413" s="587"/>
      <c r="W413" s="587"/>
      <c r="X413" s="587"/>
      <c r="Y413" s="587"/>
      <c r="Z413" s="587"/>
    </row>
    <row r="414" s="2508" customFormat="1" customHeight="1" spans="10:26">
      <c r="J414" s="587"/>
      <c r="K414" s="587"/>
      <c r="L414" s="587"/>
      <c r="M414" s="587"/>
      <c r="N414" s="587"/>
      <c r="O414" s="587"/>
      <c r="P414" s="587"/>
      <c r="Q414" s="587"/>
      <c r="R414" s="587"/>
      <c r="S414" s="587"/>
      <c r="T414" s="587"/>
      <c r="U414" s="587"/>
      <c r="V414" s="587"/>
      <c r="W414" s="587"/>
      <c r="X414" s="587"/>
      <c r="Y414" s="587"/>
      <c r="Z414" s="587"/>
    </row>
    <row r="415" s="2508" customFormat="1" customHeight="1" spans="10:26">
      <c r="J415" s="587"/>
      <c r="K415" s="587"/>
      <c r="L415" s="587"/>
      <c r="M415" s="587"/>
      <c r="N415" s="587"/>
      <c r="O415" s="587"/>
      <c r="P415" s="587"/>
      <c r="Q415" s="587"/>
      <c r="R415" s="587"/>
      <c r="S415" s="587"/>
      <c r="T415" s="587"/>
      <c r="U415" s="587"/>
      <c r="V415" s="587"/>
      <c r="W415" s="587"/>
      <c r="X415" s="587"/>
      <c r="Y415" s="587"/>
      <c r="Z415" s="587"/>
    </row>
    <row r="416" s="2508" customFormat="1" customHeight="1" spans="10:26">
      <c r="J416" s="587"/>
      <c r="K416" s="587"/>
      <c r="L416" s="587"/>
      <c r="M416" s="587"/>
      <c r="N416" s="587"/>
      <c r="O416" s="587"/>
      <c r="P416" s="587"/>
      <c r="Q416" s="587"/>
      <c r="R416" s="587"/>
      <c r="S416" s="587"/>
      <c r="T416" s="587"/>
      <c r="U416" s="587"/>
      <c r="V416" s="587"/>
      <c r="W416" s="587"/>
      <c r="X416" s="587"/>
      <c r="Y416" s="587"/>
      <c r="Z416" s="587"/>
    </row>
    <row r="417" s="2508" customFormat="1" customHeight="1" spans="10:26">
      <c r="J417" s="587"/>
      <c r="K417" s="587"/>
      <c r="L417" s="587"/>
      <c r="M417" s="587"/>
      <c r="N417" s="587"/>
      <c r="O417" s="587"/>
      <c r="P417" s="587"/>
      <c r="Q417" s="587"/>
      <c r="R417" s="587"/>
      <c r="S417" s="587"/>
      <c r="T417" s="587"/>
      <c r="U417" s="587"/>
      <c r="V417" s="587"/>
      <c r="W417" s="587"/>
      <c r="X417" s="587"/>
      <c r="Y417" s="587"/>
      <c r="Z417" s="587"/>
    </row>
    <row r="418" s="2508" customFormat="1" customHeight="1" spans="10:26">
      <c r="J418" s="587"/>
      <c r="K418" s="587"/>
      <c r="L418" s="587"/>
      <c r="M418" s="587"/>
      <c r="N418" s="587"/>
      <c r="O418" s="587"/>
      <c r="P418" s="587"/>
      <c r="Q418" s="587"/>
      <c r="R418" s="587"/>
      <c r="S418" s="587"/>
      <c r="T418" s="587"/>
      <c r="U418" s="587"/>
      <c r="V418" s="587"/>
      <c r="W418" s="587"/>
      <c r="X418" s="587"/>
      <c r="Y418" s="587"/>
      <c r="Z418" s="587"/>
    </row>
    <row r="419" s="2508" customFormat="1" customHeight="1" spans="10:26">
      <c r="J419" s="587"/>
      <c r="K419" s="587"/>
      <c r="L419" s="587"/>
      <c r="M419" s="587"/>
      <c r="N419" s="587"/>
      <c r="O419" s="587"/>
      <c r="P419" s="587"/>
      <c r="Q419" s="587"/>
      <c r="R419" s="587"/>
      <c r="S419" s="587"/>
      <c r="T419" s="587"/>
      <c r="U419" s="587"/>
      <c r="V419" s="587"/>
      <c r="W419" s="587"/>
      <c r="X419" s="587"/>
      <c r="Y419" s="587"/>
      <c r="Z419" s="587"/>
    </row>
    <row r="420" s="2508" customFormat="1" customHeight="1" spans="10:26">
      <c r="J420" s="587"/>
      <c r="K420" s="587"/>
      <c r="L420" s="587"/>
      <c r="M420" s="587"/>
      <c r="N420" s="587"/>
      <c r="O420" s="587"/>
      <c r="P420" s="587"/>
      <c r="Q420" s="587"/>
      <c r="R420" s="587"/>
      <c r="S420" s="587"/>
      <c r="T420" s="587"/>
      <c r="U420" s="587"/>
      <c r="V420" s="587"/>
      <c r="W420" s="587"/>
      <c r="X420" s="587"/>
      <c r="Y420" s="587"/>
      <c r="Z420" s="587"/>
    </row>
    <row r="421" s="2508" customFormat="1" customHeight="1" spans="10:26">
      <c r="J421" s="587"/>
      <c r="K421" s="587"/>
      <c r="L421" s="587"/>
      <c r="M421" s="587"/>
      <c r="N421" s="587"/>
      <c r="O421" s="587"/>
      <c r="P421" s="587"/>
      <c r="Q421" s="587"/>
      <c r="R421" s="587"/>
      <c r="S421" s="587"/>
      <c r="T421" s="587"/>
      <c r="U421" s="587"/>
      <c r="V421" s="587"/>
      <c r="W421" s="587"/>
      <c r="X421" s="587"/>
      <c r="Y421" s="587"/>
      <c r="Z421" s="587"/>
    </row>
    <row r="422" s="2508" customFormat="1" customHeight="1" spans="10:26">
      <c r="J422" s="587"/>
      <c r="K422" s="587"/>
      <c r="L422" s="587"/>
      <c r="M422" s="587"/>
      <c r="N422" s="587"/>
      <c r="O422" s="587"/>
      <c r="P422" s="587"/>
      <c r="Q422" s="587"/>
      <c r="R422" s="587"/>
      <c r="S422" s="587"/>
      <c r="T422" s="587"/>
      <c r="U422" s="587"/>
      <c r="V422" s="587"/>
      <c r="W422" s="587"/>
      <c r="X422" s="587"/>
      <c r="Y422" s="587"/>
      <c r="Z422" s="587"/>
    </row>
    <row r="423" s="2508" customFormat="1" customHeight="1" spans="10:26">
      <c r="J423" s="587"/>
      <c r="K423" s="587"/>
      <c r="L423" s="587"/>
      <c r="M423" s="587"/>
      <c r="N423" s="587"/>
      <c r="O423" s="587"/>
      <c r="P423" s="587"/>
      <c r="Q423" s="587"/>
      <c r="R423" s="587"/>
      <c r="S423" s="587"/>
      <c r="T423" s="587"/>
      <c r="U423" s="587"/>
      <c r="V423" s="587"/>
      <c r="W423" s="587"/>
      <c r="X423" s="587"/>
      <c r="Y423" s="587"/>
      <c r="Z423" s="587"/>
    </row>
    <row r="424" s="2508" customFormat="1" customHeight="1" spans="10:26">
      <c r="J424" s="587"/>
      <c r="K424" s="587"/>
      <c r="L424" s="587"/>
      <c r="M424" s="587"/>
      <c r="N424" s="587"/>
      <c r="O424" s="587"/>
      <c r="P424" s="587"/>
      <c r="Q424" s="587"/>
      <c r="R424" s="587"/>
      <c r="S424" s="587"/>
      <c r="T424" s="587"/>
      <c r="U424" s="587"/>
      <c r="V424" s="587"/>
      <c r="W424" s="587"/>
      <c r="X424" s="587"/>
      <c r="Y424" s="587"/>
      <c r="Z424" s="587"/>
    </row>
    <row r="425" s="2508" customFormat="1" customHeight="1" spans="10:26">
      <c r="J425" s="587"/>
      <c r="K425" s="587"/>
      <c r="L425" s="587"/>
      <c r="M425" s="587"/>
      <c r="N425" s="587"/>
      <c r="O425" s="587"/>
      <c r="P425" s="587"/>
      <c r="Q425" s="587"/>
      <c r="R425" s="587"/>
      <c r="S425" s="587"/>
      <c r="T425" s="587"/>
      <c r="U425" s="587"/>
      <c r="V425" s="587"/>
      <c r="W425" s="587"/>
      <c r="X425" s="587"/>
      <c r="Y425" s="587"/>
      <c r="Z425" s="587"/>
    </row>
    <row r="426" s="2508" customFormat="1" customHeight="1" spans="10:26">
      <c r="J426" s="587"/>
      <c r="K426" s="587"/>
      <c r="L426" s="587"/>
      <c r="M426" s="587"/>
      <c r="N426" s="587"/>
      <c r="O426" s="587"/>
      <c r="P426" s="587"/>
      <c r="Q426" s="587"/>
      <c r="R426" s="587"/>
      <c r="S426" s="587"/>
      <c r="T426" s="587"/>
      <c r="U426" s="587"/>
      <c r="V426" s="587"/>
      <c r="W426" s="587"/>
      <c r="X426" s="587"/>
      <c r="Y426" s="587"/>
      <c r="Z426" s="587"/>
    </row>
    <row r="427" s="2508" customFormat="1" customHeight="1" spans="10:26">
      <c r="J427" s="587"/>
      <c r="K427" s="587"/>
      <c r="L427" s="587"/>
      <c r="M427" s="587"/>
      <c r="N427" s="587"/>
      <c r="O427" s="587"/>
      <c r="P427" s="587"/>
      <c r="Q427" s="587"/>
      <c r="R427" s="587"/>
      <c r="S427" s="587"/>
      <c r="T427" s="587"/>
      <c r="U427" s="587"/>
      <c r="V427" s="587"/>
      <c r="W427" s="587"/>
      <c r="X427" s="587"/>
      <c r="Y427" s="587"/>
      <c r="Z427" s="587"/>
    </row>
    <row r="428" s="2508" customFormat="1" customHeight="1" spans="10:26">
      <c r="J428" s="587"/>
      <c r="K428" s="587"/>
      <c r="L428" s="587"/>
      <c r="M428" s="587"/>
      <c r="N428" s="587"/>
      <c r="O428" s="587"/>
      <c r="P428" s="587"/>
      <c r="Q428" s="587"/>
      <c r="R428" s="587"/>
      <c r="S428" s="587"/>
      <c r="T428" s="587"/>
      <c r="U428" s="587"/>
      <c r="V428" s="587"/>
      <c r="W428" s="587"/>
      <c r="X428" s="587"/>
      <c r="Y428" s="587"/>
      <c r="Z428" s="587"/>
    </row>
    <row r="429" s="2508" customFormat="1" customHeight="1" spans="10:26">
      <c r="J429" s="587"/>
      <c r="K429" s="587"/>
      <c r="L429" s="587"/>
      <c r="M429" s="587"/>
      <c r="N429" s="587"/>
      <c r="O429" s="587"/>
      <c r="P429" s="587"/>
      <c r="Q429" s="587"/>
      <c r="R429" s="587"/>
      <c r="S429" s="587"/>
      <c r="T429" s="587"/>
      <c r="U429" s="587"/>
      <c r="V429" s="587"/>
      <c r="W429" s="587"/>
      <c r="X429" s="587"/>
      <c r="Y429" s="587"/>
      <c r="Z429" s="587"/>
    </row>
    <row r="430" s="2508" customFormat="1" customHeight="1" spans="10:26">
      <c r="J430" s="587"/>
      <c r="K430" s="587"/>
      <c r="L430" s="587"/>
      <c r="M430" s="587"/>
      <c r="N430" s="587"/>
      <c r="O430" s="587"/>
      <c r="P430" s="587"/>
      <c r="Q430" s="587"/>
      <c r="R430" s="587"/>
      <c r="S430" s="587"/>
      <c r="T430" s="587"/>
      <c r="U430" s="587"/>
      <c r="V430" s="587"/>
      <c r="W430" s="587"/>
      <c r="X430" s="587"/>
      <c r="Y430" s="587"/>
      <c r="Z430" s="587"/>
    </row>
    <row r="431" s="2508" customFormat="1" customHeight="1" spans="10:26">
      <c r="J431" s="587"/>
      <c r="K431" s="587"/>
      <c r="L431" s="587"/>
      <c r="M431" s="587"/>
      <c r="N431" s="587"/>
      <c r="O431" s="587"/>
      <c r="P431" s="587"/>
      <c r="Q431" s="587"/>
      <c r="R431" s="587"/>
      <c r="S431" s="587"/>
      <c r="T431" s="587"/>
      <c r="U431" s="587"/>
      <c r="V431" s="587"/>
      <c r="W431" s="587"/>
      <c r="X431" s="587"/>
      <c r="Y431" s="587"/>
      <c r="Z431" s="587"/>
    </row>
    <row r="432" s="2508" customFormat="1" customHeight="1" spans="10:26">
      <c r="J432" s="587"/>
      <c r="K432" s="587"/>
      <c r="L432" s="587"/>
      <c r="M432" s="587"/>
      <c r="N432" s="587"/>
      <c r="O432" s="587"/>
      <c r="P432" s="587"/>
      <c r="Q432" s="587"/>
      <c r="R432" s="587"/>
      <c r="S432" s="587"/>
      <c r="T432" s="587"/>
      <c r="U432" s="587"/>
      <c r="V432" s="587"/>
      <c r="W432" s="587"/>
      <c r="X432" s="587"/>
      <c r="Y432" s="587"/>
      <c r="Z432" s="587"/>
    </row>
    <row r="433" s="2508" customFormat="1" customHeight="1" spans="10:26">
      <c r="J433" s="587"/>
      <c r="K433" s="587"/>
      <c r="L433" s="587"/>
      <c r="M433" s="587"/>
      <c r="N433" s="587"/>
      <c r="O433" s="587"/>
      <c r="P433" s="587"/>
      <c r="Q433" s="587"/>
      <c r="R433" s="587"/>
      <c r="S433" s="587"/>
      <c r="T433" s="587"/>
      <c r="U433" s="587"/>
      <c r="V433" s="587"/>
      <c r="W433" s="587"/>
      <c r="X433" s="587"/>
      <c r="Y433" s="587"/>
      <c r="Z433" s="587"/>
    </row>
    <row r="434" s="2508" customFormat="1" customHeight="1" spans="10:26">
      <c r="J434" s="587"/>
      <c r="K434" s="587"/>
      <c r="L434" s="587"/>
      <c r="M434" s="587"/>
      <c r="N434" s="587"/>
      <c r="O434" s="587"/>
      <c r="P434" s="587"/>
      <c r="Q434" s="587"/>
      <c r="R434" s="587"/>
      <c r="S434" s="587"/>
      <c r="T434" s="587"/>
      <c r="U434" s="587"/>
      <c r="V434" s="587"/>
      <c r="W434" s="587"/>
      <c r="X434" s="587"/>
      <c r="Y434" s="587"/>
      <c r="Z434" s="587"/>
    </row>
    <row r="435" s="2508" customFormat="1" customHeight="1" spans="10:26">
      <c r="J435" s="587"/>
      <c r="K435" s="587"/>
      <c r="L435" s="587"/>
      <c r="M435" s="587"/>
      <c r="N435" s="587"/>
      <c r="O435" s="587"/>
      <c r="P435" s="587"/>
      <c r="Q435" s="587"/>
      <c r="R435" s="587"/>
      <c r="S435" s="587"/>
      <c r="T435" s="587"/>
      <c r="U435" s="587"/>
      <c r="V435" s="587"/>
      <c r="W435" s="587"/>
      <c r="X435" s="587"/>
      <c r="Y435" s="587"/>
      <c r="Z435" s="587"/>
    </row>
    <row r="436" s="2508" customFormat="1" customHeight="1" spans="10:26">
      <c r="J436" s="587"/>
      <c r="K436" s="587"/>
      <c r="L436" s="587"/>
      <c r="M436" s="587"/>
      <c r="N436" s="587"/>
      <c r="O436" s="587"/>
      <c r="P436" s="587"/>
      <c r="Q436" s="587"/>
      <c r="R436" s="587"/>
      <c r="S436" s="587"/>
      <c r="T436" s="587"/>
      <c r="U436" s="587"/>
      <c r="V436" s="587"/>
      <c r="W436" s="587"/>
      <c r="X436" s="587"/>
      <c r="Y436" s="587"/>
      <c r="Z436" s="587"/>
    </row>
    <row r="437" s="2508" customFormat="1" customHeight="1" spans="10:26">
      <c r="J437" s="587"/>
      <c r="K437" s="587"/>
      <c r="L437" s="587"/>
      <c r="M437" s="587"/>
      <c r="N437" s="587"/>
      <c r="O437" s="587"/>
      <c r="P437" s="587"/>
      <c r="Q437" s="587"/>
      <c r="R437" s="587"/>
      <c r="S437" s="587"/>
      <c r="T437" s="587"/>
      <c r="U437" s="587"/>
      <c r="V437" s="587"/>
      <c r="W437" s="587"/>
      <c r="X437" s="587"/>
      <c r="Y437" s="587"/>
      <c r="Z437" s="587"/>
    </row>
    <row r="438" s="2508" customFormat="1" customHeight="1" spans="10:26">
      <c r="J438" s="587"/>
      <c r="K438" s="587"/>
      <c r="L438" s="587"/>
      <c r="M438" s="587"/>
      <c r="N438" s="587"/>
      <c r="O438" s="587"/>
      <c r="P438" s="587"/>
      <c r="Q438" s="587"/>
      <c r="R438" s="587"/>
      <c r="S438" s="587"/>
      <c r="T438" s="587"/>
      <c r="U438" s="587"/>
      <c r="V438" s="587"/>
      <c r="W438" s="587"/>
      <c r="X438" s="587"/>
      <c r="Y438" s="587"/>
      <c r="Z438" s="587"/>
    </row>
    <row r="439" s="2508" customFormat="1" customHeight="1" spans="10:26">
      <c r="J439" s="587"/>
      <c r="K439" s="587"/>
      <c r="L439" s="587"/>
      <c r="M439" s="587"/>
      <c r="N439" s="587"/>
      <c r="O439" s="587"/>
      <c r="P439" s="587"/>
      <c r="Q439" s="587"/>
      <c r="R439" s="587"/>
      <c r="S439" s="587"/>
      <c r="T439" s="587"/>
      <c r="U439" s="587"/>
      <c r="V439" s="587"/>
      <c r="W439" s="587"/>
      <c r="X439" s="587"/>
      <c r="Y439" s="587"/>
      <c r="Z439" s="587"/>
    </row>
    <row r="440" s="2508" customFormat="1" customHeight="1" spans="10:26">
      <c r="J440" s="587"/>
      <c r="K440" s="587"/>
      <c r="L440" s="587"/>
      <c r="M440" s="587"/>
      <c r="N440" s="587"/>
      <c r="O440" s="587"/>
      <c r="P440" s="587"/>
      <c r="Q440" s="587"/>
      <c r="R440" s="587"/>
      <c r="S440" s="587"/>
      <c r="T440" s="587"/>
      <c r="U440" s="587"/>
      <c r="V440" s="587"/>
      <c r="W440" s="587"/>
      <c r="X440" s="587"/>
      <c r="Y440" s="587"/>
      <c r="Z440" s="587"/>
    </row>
    <row r="441" s="2508" customFormat="1" customHeight="1" spans="10:26">
      <c r="J441" s="587"/>
      <c r="K441" s="587"/>
      <c r="L441" s="587"/>
      <c r="M441" s="587"/>
      <c r="N441" s="587"/>
      <c r="O441" s="587"/>
      <c r="P441" s="587"/>
      <c r="Q441" s="587"/>
      <c r="R441" s="587"/>
      <c r="S441" s="587"/>
      <c r="T441" s="587"/>
      <c r="U441" s="587"/>
      <c r="V441" s="587"/>
      <c r="W441" s="587"/>
      <c r="X441" s="587"/>
      <c r="Y441" s="587"/>
      <c r="Z441" s="587"/>
    </row>
    <row r="442" s="2508" customFormat="1" customHeight="1" spans="10:26">
      <c r="J442" s="587"/>
      <c r="K442" s="587"/>
      <c r="L442" s="587"/>
      <c r="M442" s="587"/>
      <c r="N442" s="587"/>
      <c r="O442" s="587"/>
      <c r="P442" s="587"/>
      <c r="Q442" s="587"/>
      <c r="R442" s="587"/>
      <c r="S442" s="587"/>
      <c r="T442" s="587"/>
      <c r="U442" s="587"/>
      <c r="V442" s="587"/>
      <c r="W442" s="587"/>
      <c r="X442" s="587"/>
      <c r="Y442" s="587"/>
      <c r="Z442" s="587"/>
    </row>
    <row r="443" s="2508" customFormat="1" customHeight="1" spans="10:26">
      <c r="J443" s="587"/>
      <c r="K443" s="587"/>
      <c r="L443" s="587"/>
      <c r="M443" s="587"/>
      <c r="N443" s="587"/>
      <c r="O443" s="587"/>
      <c r="P443" s="587"/>
      <c r="Q443" s="587"/>
      <c r="R443" s="587"/>
      <c r="S443" s="587"/>
      <c r="T443" s="587"/>
      <c r="U443" s="587"/>
      <c r="V443" s="587"/>
      <c r="W443" s="587"/>
      <c r="X443" s="587"/>
      <c r="Y443" s="587"/>
      <c r="Z443" s="587"/>
    </row>
    <row r="444" s="2508" customFormat="1" customHeight="1" spans="10:26">
      <c r="J444" s="587"/>
      <c r="K444" s="587"/>
      <c r="L444" s="587"/>
      <c r="M444" s="587"/>
      <c r="N444" s="587"/>
      <c r="O444" s="587"/>
      <c r="P444" s="587"/>
      <c r="Q444" s="587"/>
      <c r="R444" s="587"/>
      <c r="S444" s="587"/>
      <c r="T444" s="587"/>
      <c r="U444" s="587"/>
      <c r="V444" s="587"/>
      <c r="W444" s="587"/>
      <c r="X444" s="587"/>
      <c r="Y444" s="587"/>
      <c r="Z444" s="587"/>
    </row>
    <row r="445" s="2508" customFormat="1" customHeight="1" spans="10:26">
      <c r="J445" s="587"/>
      <c r="K445" s="587"/>
      <c r="L445" s="587"/>
      <c r="M445" s="587"/>
      <c r="N445" s="587"/>
      <c r="O445" s="587"/>
      <c r="P445" s="587"/>
      <c r="Q445" s="587"/>
      <c r="R445" s="587"/>
      <c r="S445" s="587"/>
      <c r="T445" s="587"/>
      <c r="U445" s="587"/>
      <c r="V445" s="587"/>
      <c r="W445" s="587"/>
      <c r="X445" s="587"/>
      <c r="Y445" s="587"/>
      <c r="Z445" s="587"/>
    </row>
    <row r="446" s="2508" customFormat="1" customHeight="1" spans="10:26">
      <c r="J446" s="587"/>
      <c r="K446" s="587"/>
      <c r="L446" s="587"/>
      <c r="M446" s="587"/>
      <c r="N446" s="587"/>
      <c r="O446" s="587"/>
      <c r="P446" s="587"/>
      <c r="Q446" s="587"/>
      <c r="R446" s="587"/>
      <c r="S446" s="587"/>
      <c r="T446" s="587"/>
      <c r="U446" s="587"/>
      <c r="V446" s="587"/>
      <c r="W446" s="587"/>
      <c r="X446" s="587"/>
      <c r="Y446" s="587"/>
      <c r="Z446" s="587"/>
    </row>
    <row r="447" s="2508" customFormat="1" customHeight="1" spans="10:26">
      <c r="J447" s="587"/>
      <c r="K447" s="587"/>
      <c r="L447" s="587"/>
      <c r="M447" s="587"/>
      <c r="N447" s="587"/>
      <c r="O447" s="587"/>
      <c r="P447" s="587"/>
      <c r="Q447" s="587"/>
      <c r="R447" s="587"/>
      <c r="S447" s="587"/>
      <c r="T447" s="587"/>
      <c r="U447" s="587"/>
      <c r="V447" s="587"/>
      <c r="W447" s="587"/>
      <c r="X447" s="587"/>
      <c r="Y447" s="587"/>
      <c r="Z447" s="587"/>
    </row>
    <row r="448" s="2508" customFormat="1" customHeight="1" spans="10:26">
      <c r="J448" s="587"/>
      <c r="K448" s="587"/>
      <c r="L448" s="587"/>
      <c r="M448" s="587"/>
      <c r="N448" s="587"/>
      <c r="O448" s="587"/>
      <c r="P448" s="587"/>
      <c r="Q448" s="587"/>
      <c r="R448" s="587"/>
      <c r="S448" s="587"/>
      <c r="T448" s="587"/>
      <c r="U448" s="587"/>
      <c r="V448" s="587"/>
      <c r="W448" s="587"/>
      <c r="X448" s="587"/>
      <c r="Y448" s="587"/>
      <c r="Z448" s="587"/>
    </row>
    <row r="449" s="2508" customFormat="1" customHeight="1" spans="10:26">
      <c r="J449" s="587"/>
      <c r="K449" s="587"/>
      <c r="L449" s="587"/>
      <c r="M449" s="587"/>
      <c r="N449" s="587"/>
      <c r="O449" s="587"/>
      <c r="P449" s="587"/>
      <c r="Q449" s="587"/>
      <c r="R449" s="587"/>
      <c r="S449" s="587"/>
      <c r="T449" s="587"/>
      <c r="U449" s="587"/>
      <c r="V449" s="587"/>
      <c r="W449" s="587"/>
      <c r="X449" s="587"/>
      <c r="Y449" s="587"/>
      <c r="Z449" s="587"/>
    </row>
    <row r="450" s="2508" customFormat="1" customHeight="1" spans="10:26">
      <c r="J450" s="587"/>
      <c r="K450" s="587"/>
      <c r="L450" s="587"/>
      <c r="M450" s="587"/>
      <c r="N450" s="587"/>
      <c r="O450" s="587"/>
      <c r="P450" s="587"/>
      <c r="Q450" s="587"/>
      <c r="R450" s="587"/>
      <c r="S450" s="587"/>
      <c r="T450" s="587"/>
      <c r="U450" s="587"/>
      <c r="V450" s="587"/>
      <c r="W450" s="587"/>
      <c r="X450" s="587"/>
      <c r="Y450" s="587"/>
      <c r="Z450" s="587"/>
    </row>
    <row r="451" s="2508" customFormat="1" customHeight="1" spans="10:26">
      <c r="J451" s="587"/>
      <c r="K451" s="587"/>
      <c r="L451" s="587"/>
      <c r="M451" s="587"/>
      <c r="N451" s="587"/>
      <c r="O451" s="587"/>
      <c r="P451" s="587"/>
      <c r="Q451" s="587"/>
      <c r="R451" s="587"/>
      <c r="S451" s="587"/>
      <c r="T451" s="587"/>
      <c r="U451" s="587"/>
      <c r="V451" s="587"/>
      <c r="W451" s="587"/>
      <c r="X451" s="587"/>
      <c r="Y451" s="587"/>
      <c r="Z451" s="587"/>
    </row>
    <row r="452" s="2508" customFormat="1" customHeight="1" spans="10:26">
      <c r="J452" s="587"/>
      <c r="K452" s="587"/>
      <c r="L452" s="587"/>
      <c r="M452" s="587"/>
      <c r="N452" s="587"/>
      <c r="O452" s="587"/>
      <c r="P452" s="587"/>
      <c r="Q452" s="587"/>
      <c r="R452" s="587"/>
      <c r="S452" s="587"/>
      <c r="T452" s="587"/>
      <c r="U452" s="587"/>
      <c r="V452" s="587"/>
      <c r="W452" s="587"/>
      <c r="X452" s="587"/>
      <c r="Y452" s="587"/>
      <c r="Z452" s="587"/>
    </row>
    <row r="453" s="2508" customFormat="1" customHeight="1" spans="10:26">
      <c r="J453" s="587"/>
      <c r="K453" s="587"/>
      <c r="L453" s="587"/>
      <c r="M453" s="587"/>
      <c r="N453" s="587"/>
      <c r="O453" s="587"/>
      <c r="P453" s="587"/>
      <c r="Q453" s="587"/>
      <c r="R453" s="587"/>
      <c r="S453" s="587"/>
      <c r="T453" s="587"/>
      <c r="U453" s="587"/>
      <c r="V453" s="587"/>
      <c r="W453" s="587"/>
      <c r="X453" s="587"/>
      <c r="Y453" s="587"/>
      <c r="Z453" s="587"/>
    </row>
    <row r="454" s="2508" customFormat="1" customHeight="1" spans="10:26">
      <c r="J454" s="587"/>
      <c r="K454" s="587"/>
      <c r="L454" s="587"/>
      <c r="M454" s="587"/>
      <c r="N454" s="587"/>
      <c r="O454" s="587"/>
      <c r="P454" s="587"/>
      <c r="Q454" s="587"/>
      <c r="R454" s="587"/>
      <c r="S454" s="587"/>
      <c r="T454" s="587"/>
      <c r="U454" s="587"/>
      <c r="V454" s="587"/>
      <c r="W454" s="587"/>
      <c r="X454" s="587"/>
      <c r="Y454" s="587"/>
      <c r="Z454" s="587"/>
    </row>
    <row r="455" s="2508" customFormat="1" customHeight="1" spans="10:26">
      <c r="J455" s="587"/>
      <c r="K455" s="587"/>
      <c r="L455" s="587"/>
      <c r="M455" s="587"/>
      <c r="N455" s="587"/>
      <c r="O455" s="587"/>
      <c r="P455" s="587"/>
      <c r="Q455" s="587"/>
      <c r="R455" s="587"/>
      <c r="S455" s="587"/>
      <c r="T455" s="587"/>
      <c r="U455" s="587"/>
      <c r="V455" s="587"/>
      <c r="W455" s="587"/>
      <c r="X455" s="587"/>
      <c r="Y455" s="587"/>
      <c r="Z455" s="587"/>
    </row>
    <row r="456" s="2508" customFormat="1" customHeight="1" spans="10:26">
      <c r="J456" s="587"/>
      <c r="K456" s="587"/>
      <c r="L456" s="587"/>
      <c r="M456" s="587"/>
      <c r="N456" s="587"/>
      <c r="O456" s="587"/>
      <c r="P456" s="587"/>
      <c r="Q456" s="587"/>
      <c r="R456" s="587"/>
      <c r="S456" s="587"/>
      <c r="T456" s="587"/>
      <c r="U456" s="587"/>
      <c r="V456" s="587"/>
      <c r="W456" s="587"/>
      <c r="X456" s="587"/>
      <c r="Y456" s="587"/>
      <c r="Z456" s="587"/>
    </row>
    <row r="457" s="2508" customFormat="1" customHeight="1" spans="10:26">
      <c r="J457" s="587"/>
      <c r="K457" s="587"/>
      <c r="L457" s="587"/>
      <c r="M457" s="587"/>
      <c r="N457" s="587"/>
      <c r="O457" s="587"/>
      <c r="P457" s="587"/>
      <c r="Q457" s="587"/>
      <c r="R457" s="587"/>
      <c r="S457" s="587"/>
      <c r="T457" s="587"/>
      <c r="U457" s="587"/>
      <c r="V457" s="587"/>
      <c r="W457" s="587"/>
      <c r="X457" s="587"/>
      <c r="Y457" s="587"/>
      <c r="Z457" s="587"/>
    </row>
    <row r="458" s="2508" customFormat="1" customHeight="1" spans="10:26">
      <c r="J458" s="587"/>
      <c r="K458" s="587"/>
      <c r="L458" s="587"/>
      <c r="M458" s="587"/>
      <c r="N458" s="587"/>
      <c r="O458" s="587"/>
      <c r="P458" s="587"/>
      <c r="Q458" s="587"/>
      <c r="R458" s="587"/>
      <c r="S458" s="587"/>
      <c r="T458" s="587"/>
      <c r="U458" s="587"/>
      <c r="V458" s="587"/>
      <c r="W458" s="587"/>
      <c r="X458" s="587"/>
      <c r="Y458" s="587"/>
      <c r="Z458" s="587"/>
    </row>
    <row r="459" s="2508" customFormat="1" customHeight="1" spans="10:26">
      <c r="J459" s="587"/>
      <c r="K459" s="587"/>
      <c r="L459" s="587"/>
      <c r="M459" s="587"/>
      <c r="N459" s="587"/>
      <c r="O459" s="587"/>
      <c r="P459" s="587"/>
      <c r="Q459" s="587"/>
      <c r="R459" s="587"/>
      <c r="S459" s="587"/>
      <c r="T459" s="587"/>
      <c r="U459" s="587"/>
      <c r="V459" s="587"/>
      <c r="W459" s="587"/>
      <c r="X459" s="587"/>
      <c r="Y459" s="587"/>
      <c r="Z459" s="587"/>
    </row>
    <row r="460" s="2508" customFormat="1" customHeight="1" spans="10:26">
      <c r="J460" s="587"/>
      <c r="K460" s="587"/>
      <c r="L460" s="587"/>
      <c r="M460" s="587"/>
      <c r="N460" s="587"/>
      <c r="O460" s="587"/>
      <c r="P460" s="587"/>
      <c r="Q460" s="587"/>
      <c r="R460" s="587"/>
      <c r="S460" s="587"/>
      <c r="T460" s="587"/>
      <c r="U460" s="587"/>
      <c r="V460" s="587"/>
      <c r="W460" s="587"/>
      <c r="X460" s="587"/>
      <c r="Y460" s="587"/>
      <c r="Z460" s="587"/>
    </row>
    <row r="461" s="2508" customFormat="1" customHeight="1" spans="10:26">
      <c r="J461" s="587"/>
      <c r="K461" s="587"/>
      <c r="L461" s="587"/>
      <c r="M461" s="587"/>
      <c r="N461" s="587"/>
      <c r="O461" s="587"/>
      <c r="P461" s="587"/>
      <c r="Q461" s="587"/>
      <c r="R461" s="587"/>
      <c r="S461" s="587"/>
      <c r="T461" s="587"/>
      <c r="U461" s="587"/>
      <c r="V461" s="587"/>
      <c r="W461" s="587"/>
      <c r="X461" s="587"/>
      <c r="Y461" s="587"/>
      <c r="Z461" s="587"/>
    </row>
    <row r="462" s="2508" customFormat="1" customHeight="1" spans="10:26">
      <c r="J462" s="587"/>
      <c r="K462" s="587"/>
      <c r="L462" s="587"/>
      <c r="M462" s="587"/>
      <c r="N462" s="587"/>
      <c r="O462" s="587"/>
      <c r="P462" s="587"/>
      <c r="Q462" s="587"/>
      <c r="R462" s="587"/>
      <c r="S462" s="587"/>
      <c r="T462" s="587"/>
      <c r="U462" s="587"/>
      <c r="V462" s="587"/>
      <c r="W462" s="587"/>
      <c r="X462" s="587"/>
      <c r="Y462" s="587"/>
      <c r="Z462" s="587"/>
    </row>
    <row r="463" s="2508" customFormat="1" customHeight="1" spans="10:26">
      <c r="J463" s="587"/>
      <c r="K463" s="587"/>
      <c r="L463" s="587"/>
      <c r="M463" s="587"/>
      <c r="N463" s="587"/>
      <c r="O463" s="587"/>
      <c r="P463" s="587"/>
      <c r="Q463" s="587"/>
      <c r="R463" s="587"/>
      <c r="S463" s="587"/>
      <c r="T463" s="587"/>
      <c r="U463" s="587"/>
      <c r="V463" s="587"/>
      <c r="W463" s="587"/>
      <c r="X463" s="587"/>
      <c r="Y463" s="587"/>
      <c r="Z463" s="587"/>
    </row>
    <row r="464" s="2508" customFormat="1" customHeight="1" spans="10:26">
      <c r="J464" s="587"/>
      <c r="K464" s="587"/>
      <c r="L464" s="587"/>
      <c r="M464" s="587"/>
      <c r="N464" s="587"/>
      <c r="O464" s="587"/>
      <c r="P464" s="587"/>
      <c r="Q464" s="587"/>
      <c r="R464" s="587"/>
      <c r="S464" s="587"/>
      <c r="T464" s="587"/>
      <c r="U464" s="587"/>
      <c r="V464" s="587"/>
      <c r="W464" s="587"/>
      <c r="X464" s="587"/>
      <c r="Y464" s="587"/>
      <c r="Z464" s="587"/>
    </row>
    <row r="465" s="2508" customFormat="1" customHeight="1" spans="10:26">
      <c r="J465" s="587"/>
      <c r="K465" s="587"/>
      <c r="L465" s="587"/>
      <c r="M465" s="587"/>
      <c r="N465" s="587"/>
      <c r="O465" s="587"/>
      <c r="P465" s="587"/>
      <c r="Q465" s="587"/>
      <c r="R465" s="587"/>
      <c r="S465" s="587"/>
      <c r="T465" s="587"/>
      <c r="U465" s="587"/>
      <c r="V465" s="587"/>
      <c r="W465" s="587"/>
      <c r="X465" s="587"/>
      <c r="Y465" s="587"/>
      <c r="Z465" s="587"/>
    </row>
    <row r="466" s="2508" customFormat="1" customHeight="1" spans="10:26">
      <c r="J466" s="587"/>
      <c r="K466" s="587"/>
      <c r="L466" s="587"/>
      <c r="M466" s="587"/>
      <c r="N466" s="587"/>
      <c r="O466" s="587"/>
      <c r="P466" s="587"/>
      <c r="Q466" s="587"/>
      <c r="R466" s="587"/>
      <c r="S466" s="587"/>
      <c r="T466" s="587"/>
      <c r="U466" s="587"/>
      <c r="V466" s="587"/>
      <c r="W466" s="587"/>
      <c r="X466" s="587"/>
      <c r="Y466" s="587"/>
      <c r="Z466" s="587"/>
    </row>
    <row r="467" s="2508" customFormat="1" customHeight="1" spans="10:26">
      <c r="J467" s="587"/>
      <c r="K467" s="587"/>
      <c r="L467" s="587"/>
      <c r="M467" s="587"/>
      <c r="N467" s="587"/>
      <c r="O467" s="587"/>
      <c r="P467" s="587"/>
      <c r="Q467" s="587"/>
      <c r="R467" s="587"/>
      <c r="S467" s="587"/>
      <c r="T467" s="587"/>
      <c r="U467" s="587"/>
      <c r="V467" s="587"/>
      <c r="W467" s="587"/>
      <c r="X467" s="587"/>
      <c r="Y467" s="587"/>
      <c r="Z467" s="587"/>
    </row>
    <row r="468" s="2508" customFormat="1" customHeight="1" spans="10:26">
      <c r="J468" s="587"/>
      <c r="K468" s="587"/>
      <c r="L468" s="587"/>
      <c r="M468" s="587"/>
      <c r="N468" s="587"/>
      <c r="O468" s="587"/>
      <c r="P468" s="587"/>
      <c r="Q468" s="587"/>
      <c r="R468" s="587"/>
      <c r="S468" s="587"/>
      <c r="T468" s="587"/>
      <c r="U468" s="587"/>
      <c r="V468" s="587"/>
      <c r="W468" s="587"/>
      <c r="X468" s="587"/>
      <c r="Y468" s="587"/>
      <c r="Z468" s="587"/>
    </row>
    <row r="469" s="2508" customFormat="1" customHeight="1" spans="10:26">
      <c r="J469" s="587"/>
      <c r="K469" s="587"/>
      <c r="L469" s="587"/>
      <c r="M469" s="587"/>
      <c r="N469" s="587"/>
      <c r="O469" s="587"/>
      <c r="P469" s="587"/>
      <c r="Q469" s="587"/>
      <c r="R469" s="587"/>
      <c r="S469" s="587"/>
      <c r="T469" s="587"/>
      <c r="U469" s="587"/>
      <c r="V469" s="587"/>
      <c r="W469" s="587"/>
      <c r="X469" s="587"/>
      <c r="Y469" s="587"/>
      <c r="Z469" s="587"/>
    </row>
    <row r="470" s="2508" customFormat="1" customHeight="1" spans="10:26">
      <c r="J470" s="587"/>
      <c r="K470" s="587"/>
      <c r="L470" s="587"/>
      <c r="M470" s="587"/>
      <c r="N470" s="587"/>
      <c r="O470" s="587"/>
      <c r="P470" s="587"/>
      <c r="Q470" s="587"/>
      <c r="R470" s="587"/>
      <c r="S470" s="587"/>
      <c r="T470" s="587"/>
      <c r="U470" s="587"/>
      <c r="V470" s="587"/>
      <c r="W470" s="587"/>
      <c r="X470" s="587"/>
      <c r="Y470" s="587"/>
      <c r="Z470" s="587"/>
    </row>
    <row r="471" s="2508" customFormat="1" customHeight="1" spans="10:26">
      <c r="J471" s="587"/>
      <c r="K471" s="587"/>
      <c r="L471" s="587"/>
      <c r="M471" s="587"/>
      <c r="N471" s="587"/>
      <c r="O471" s="587"/>
      <c r="P471" s="587"/>
      <c r="Q471" s="587"/>
      <c r="R471" s="587"/>
      <c r="S471" s="587"/>
      <c r="T471" s="587"/>
      <c r="U471" s="587"/>
      <c r="V471" s="587"/>
      <c r="W471" s="587"/>
      <c r="X471" s="587"/>
      <c r="Y471" s="587"/>
      <c r="Z471" s="587"/>
    </row>
    <row r="472" s="2508" customFormat="1" customHeight="1" spans="10:26">
      <c r="J472" s="587"/>
      <c r="K472" s="587"/>
      <c r="L472" s="587"/>
      <c r="M472" s="587"/>
      <c r="N472" s="587"/>
      <c r="O472" s="587"/>
      <c r="P472" s="587"/>
      <c r="Q472" s="587"/>
      <c r="R472" s="587"/>
      <c r="S472" s="587"/>
      <c r="T472" s="587"/>
      <c r="U472" s="587"/>
      <c r="V472" s="587"/>
      <c r="W472" s="587"/>
      <c r="X472" s="587"/>
      <c r="Y472" s="587"/>
      <c r="Z472" s="587"/>
    </row>
    <row r="473" s="2508" customFormat="1" customHeight="1" spans="10:26">
      <c r="J473" s="587"/>
      <c r="K473" s="587"/>
      <c r="L473" s="587"/>
      <c r="M473" s="587"/>
      <c r="N473" s="587"/>
      <c r="O473" s="587"/>
      <c r="P473" s="587"/>
      <c r="Q473" s="587"/>
      <c r="R473" s="587"/>
      <c r="S473" s="587"/>
      <c r="T473" s="587"/>
      <c r="U473" s="587"/>
      <c r="V473" s="587"/>
      <c r="W473" s="587"/>
      <c r="X473" s="587"/>
      <c r="Y473" s="587"/>
      <c r="Z473" s="587"/>
    </row>
    <row r="474" s="2508" customFormat="1" customHeight="1" spans="10:26">
      <c r="J474" s="587"/>
      <c r="K474" s="587"/>
      <c r="L474" s="587"/>
      <c r="M474" s="587"/>
      <c r="N474" s="587"/>
      <c r="O474" s="587"/>
      <c r="P474" s="587"/>
      <c r="Q474" s="587"/>
      <c r="R474" s="587"/>
      <c r="S474" s="587"/>
      <c r="T474" s="587"/>
      <c r="U474" s="587"/>
      <c r="V474" s="587"/>
      <c r="W474" s="587"/>
      <c r="X474" s="587"/>
      <c r="Y474" s="587"/>
      <c r="Z474" s="587"/>
    </row>
    <row r="475" s="2508" customFormat="1" customHeight="1" spans="10:26">
      <c r="J475" s="587"/>
      <c r="K475" s="587"/>
      <c r="L475" s="587"/>
      <c r="M475" s="587"/>
      <c r="N475" s="587"/>
      <c r="O475" s="587"/>
      <c r="P475" s="587"/>
      <c r="Q475" s="587"/>
      <c r="R475" s="587"/>
      <c r="S475" s="587"/>
      <c r="T475" s="587"/>
      <c r="U475" s="587"/>
      <c r="V475" s="587"/>
      <c r="W475" s="587"/>
      <c r="X475" s="587"/>
      <c r="Y475" s="587"/>
      <c r="Z475" s="587"/>
    </row>
    <row r="476" s="2508" customFormat="1" customHeight="1" spans="10:26">
      <c r="J476" s="587"/>
      <c r="K476" s="587"/>
      <c r="L476" s="587"/>
      <c r="M476" s="587"/>
      <c r="N476" s="587"/>
      <c r="O476" s="587"/>
      <c r="P476" s="587"/>
      <c r="Q476" s="587"/>
      <c r="R476" s="587"/>
      <c r="S476" s="587"/>
      <c r="T476" s="587"/>
      <c r="U476" s="587"/>
      <c r="V476" s="587"/>
      <c r="W476" s="587"/>
      <c r="X476" s="587"/>
      <c r="Y476" s="587"/>
      <c r="Z476" s="587"/>
    </row>
    <row r="477" s="2508" customFormat="1" customHeight="1" spans="10:26">
      <c r="J477" s="587"/>
      <c r="K477" s="587"/>
      <c r="L477" s="587"/>
      <c r="M477" s="587"/>
      <c r="N477" s="587"/>
      <c r="O477" s="587"/>
      <c r="P477" s="587"/>
      <c r="Q477" s="587"/>
      <c r="R477" s="587"/>
      <c r="S477" s="587"/>
      <c r="T477" s="587"/>
      <c r="U477" s="587"/>
      <c r="V477" s="587"/>
      <c r="W477" s="587"/>
      <c r="X477" s="587"/>
      <c r="Y477" s="587"/>
      <c r="Z477" s="587"/>
    </row>
    <row r="478" s="2508" customFormat="1" customHeight="1" spans="10:26">
      <c r="J478" s="587"/>
      <c r="K478" s="587"/>
      <c r="L478" s="587"/>
      <c r="M478" s="587"/>
      <c r="N478" s="587"/>
      <c r="O478" s="587"/>
      <c r="P478" s="587"/>
      <c r="Q478" s="587"/>
      <c r="R478" s="587"/>
      <c r="S478" s="587"/>
      <c r="T478" s="587"/>
      <c r="U478" s="587"/>
      <c r="V478" s="587"/>
      <c r="W478" s="587"/>
      <c r="X478" s="587"/>
      <c r="Y478" s="587"/>
      <c r="Z478" s="587"/>
    </row>
    <row r="479" s="2508" customFormat="1" customHeight="1" spans="10:26">
      <c r="J479" s="587"/>
      <c r="K479" s="587"/>
      <c r="L479" s="587"/>
      <c r="M479" s="587"/>
      <c r="N479" s="587"/>
      <c r="O479" s="587"/>
      <c r="P479" s="587"/>
      <c r="Q479" s="587"/>
      <c r="R479" s="587"/>
      <c r="S479" s="587"/>
      <c r="T479" s="587"/>
      <c r="U479" s="587"/>
      <c r="V479" s="587"/>
      <c r="W479" s="587"/>
      <c r="X479" s="587"/>
      <c r="Y479" s="587"/>
      <c r="Z479" s="587"/>
    </row>
    <row r="480" s="2508" customFormat="1" customHeight="1" spans="10:26">
      <c r="J480" s="587"/>
      <c r="K480" s="587"/>
      <c r="L480" s="587"/>
      <c r="M480" s="587"/>
      <c r="N480" s="587"/>
      <c r="O480" s="587"/>
      <c r="P480" s="587"/>
      <c r="Q480" s="587"/>
      <c r="R480" s="587"/>
      <c r="S480" s="587"/>
      <c r="T480" s="587"/>
      <c r="U480" s="587"/>
      <c r="V480" s="587"/>
      <c r="W480" s="587"/>
      <c r="X480" s="587"/>
      <c r="Y480" s="587"/>
      <c r="Z480" s="587"/>
    </row>
    <row r="481" s="2508" customFormat="1" customHeight="1" spans="10:26">
      <c r="J481" s="587"/>
      <c r="K481" s="587"/>
      <c r="L481" s="587"/>
      <c r="M481" s="587"/>
      <c r="N481" s="587"/>
      <c r="O481" s="587"/>
      <c r="P481" s="587"/>
      <c r="Q481" s="587"/>
      <c r="R481" s="587"/>
      <c r="S481" s="587"/>
      <c r="T481" s="587"/>
      <c r="U481" s="587"/>
      <c r="V481" s="587"/>
      <c r="W481" s="587"/>
      <c r="X481" s="587"/>
      <c r="Y481" s="587"/>
      <c r="Z481" s="587"/>
    </row>
    <row r="482" s="2508" customFormat="1" customHeight="1" spans="10:26">
      <c r="J482" s="587"/>
      <c r="K482" s="587"/>
      <c r="L482" s="587"/>
      <c r="M482" s="587"/>
      <c r="N482" s="587"/>
      <c r="O482" s="587"/>
      <c r="P482" s="587"/>
      <c r="Q482" s="587"/>
      <c r="R482" s="587"/>
      <c r="S482" s="587"/>
      <c r="T482" s="587"/>
      <c r="U482" s="587"/>
      <c r="V482" s="587"/>
      <c r="W482" s="587"/>
      <c r="X482" s="587"/>
      <c r="Y482" s="587"/>
      <c r="Z482" s="587"/>
    </row>
    <row r="483" s="2508" customFormat="1" customHeight="1" spans="10:26">
      <c r="J483" s="587"/>
      <c r="K483" s="587"/>
      <c r="L483" s="587"/>
      <c r="M483" s="587"/>
      <c r="N483" s="587"/>
      <c r="O483" s="587"/>
      <c r="P483" s="587"/>
      <c r="Q483" s="587"/>
      <c r="R483" s="587"/>
      <c r="S483" s="587"/>
      <c r="T483" s="587"/>
      <c r="U483" s="587"/>
      <c r="V483" s="587"/>
      <c r="W483" s="587"/>
      <c r="X483" s="587"/>
      <c r="Y483" s="587"/>
      <c r="Z483" s="587"/>
    </row>
    <row r="484" s="2508" customFormat="1" customHeight="1" spans="10:26">
      <c r="J484" s="587"/>
      <c r="K484" s="587"/>
      <c r="L484" s="587"/>
      <c r="M484" s="587"/>
      <c r="N484" s="587"/>
      <c r="O484" s="587"/>
      <c r="P484" s="587"/>
      <c r="Q484" s="587"/>
      <c r="R484" s="587"/>
      <c r="S484" s="587"/>
      <c r="T484" s="587"/>
      <c r="U484" s="587"/>
      <c r="V484" s="587"/>
      <c r="W484" s="587"/>
      <c r="X484" s="587"/>
      <c r="Y484" s="587"/>
      <c r="Z484" s="587"/>
    </row>
    <row r="485" s="2508" customFormat="1" customHeight="1" spans="10:26">
      <c r="J485" s="587"/>
      <c r="K485" s="587"/>
      <c r="L485" s="587"/>
      <c r="M485" s="587"/>
      <c r="N485" s="587"/>
      <c r="O485" s="587"/>
      <c r="P485" s="587"/>
      <c r="Q485" s="587"/>
      <c r="R485" s="587"/>
      <c r="S485" s="587"/>
      <c r="T485" s="587"/>
      <c r="U485" s="587"/>
      <c r="V485" s="587"/>
      <c r="W485" s="587"/>
      <c r="X485" s="587"/>
      <c r="Y485" s="587"/>
      <c r="Z485" s="587"/>
    </row>
    <row r="486" s="2508" customFormat="1" customHeight="1" spans="10:26">
      <c r="J486" s="587"/>
      <c r="K486" s="587"/>
      <c r="L486" s="587"/>
      <c r="M486" s="587"/>
      <c r="N486" s="587"/>
      <c r="O486" s="587"/>
      <c r="P486" s="587"/>
      <c r="Q486" s="587"/>
      <c r="R486" s="587"/>
      <c r="S486" s="587"/>
      <c r="T486" s="587"/>
      <c r="U486" s="587"/>
      <c r="V486" s="587"/>
      <c r="W486" s="587"/>
      <c r="X486" s="587"/>
      <c r="Y486" s="587"/>
      <c r="Z486" s="587"/>
    </row>
    <row r="487" s="2508" customFormat="1" customHeight="1" spans="10:26">
      <c r="J487" s="587"/>
      <c r="K487" s="587"/>
      <c r="L487" s="587"/>
      <c r="M487" s="587"/>
      <c r="N487" s="587"/>
      <c r="O487" s="587"/>
      <c r="P487" s="587"/>
      <c r="Q487" s="587"/>
      <c r="R487" s="587"/>
      <c r="S487" s="587"/>
      <c r="T487" s="587"/>
      <c r="U487" s="587"/>
      <c r="V487" s="587"/>
      <c r="W487" s="587"/>
      <c r="X487" s="587"/>
      <c r="Y487" s="587"/>
      <c r="Z487" s="587"/>
    </row>
    <row r="488" s="2508" customFormat="1" customHeight="1" spans="10:26">
      <c r="J488" s="587"/>
      <c r="K488" s="587"/>
      <c r="L488" s="587"/>
      <c r="M488" s="587"/>
      <c r="N488" s="587"/>
      <c r="O488" s="587"/>
      <c r="P488" s="587"/>
      <c r="Q488" s="587"/>
      <c r="R488" s="587"/>
      <c r="S488" s="587"/>
      <c r="T488" s="587"/>
      <c r="U488" s="587"/>
      <c r="V488" s="587"/>
      <c r="W488" s="587"/>
      <c r="X488" s="587"/>
      <c r="Y488" s="587"/>
      <c r="Z488" s="587"/>
    </row>
    <row r="489" s="2508" customFormat="1" customHeight="1" spans="10:26">
      <c r="J489" s="587"/>
      <c r="K489" s="587"/>
      <c r="L489" s="587"/>
      <c r="M489" s="587"/>
      <c r="N489" s="587"/>
      <c r="O489" s="587"/>
      <c r="P489" s="587"/>
      <c r="Q489" s="587"/>
      <c r="R489" s="587"/>
      <c r="S489" s="587"/>
      <c r="T489" s="587"/>
      <c r="U489" s="587"/>
      <c r="V489" s="587"/>
      <c r="W489" s="587"/>
      <c r="X489" s="587"/>
      <c r="Y489" s="587"/>
      <c r="Z489" s="587"/>
    </row>
    <row r="490" s="2508" customFormat="1" customHeight="1" spans="10:26">
      <c r="J490" s="587"/>
      <c r="K490" s="587"/>
      <c r="L490" s="587"/>
      <c r="M490" s="587"/>
      <c r="N490" s="587"/>
      <c r="O490" s="587"/>
      <c r="P490" s="587"/>
      <c r="Q490" s="587"/>
      <c r="R490" s="587"/>
      <c r="S490" s="587"/>
      <c r="T490" s="587"/>
      <c r="U490" s="587"/>
      <c r="V490" s="587"/>
      <c r="W490" s="587"/>
      <c r="X490" s="587"/>
      <c r="Y490" s="587"/>
      <c r="Z490" s="587"/>
    </row>
    <row r="491" s="2508" customFormat="1" customHeight="1" spans="10:26">
      <c r="J491" s="587"/>
      <c r="K491" s="587"/>
      <c r="L491" s="587"/>
      <c r="M491" s="587"/>
      <c r="N491" s="587"/>
      <c r="O491" s="587"/>
      <c r="P491" s="587"/>
      <c r="Q491" s="587"/>
      <c r="R491" s="587"/>
      <c r="S491" s="587"/>
      <c r="T491" s="587"/>
      <c r="U491" s="587"/>
      <c r="V491" s="587"/>
      <c r="W491" s="587"/>
      <c r="X491" s="587"/>
      <c r="Y491" s="587"/>
      <c r="Z491" s="587"/>
    </row>
    <row r="492" s="2508" customFormat="1" customHeight="1" spans="10:26">
      <c r="J492" s="587"/>
      <c r="K492" s="587"/>
      <c r="L492" s="587"/>
      <c r="M492" s="587"/>
      <c r="N492" s="587"/>
      <c r="O492" s="587"/>
      <c r="P492" s="587"/>
      <c r="Q492" s="587"/>
      <c r="R492" s="587"/>
      <c r="S492" s="587"/>
      <c r="T492" s="587"/>
      <c r="U492" s="587"/>
      <c r="V492" s="587"/>
      <c r="W492" s="587"/>
      <c r="X492" s="587"/>
      <c r="Y492" s="587"/>
      <c r="Z492" s="587"/>
    </row>
    <row r="493" s="2508" customFormat="1" customHeight="1" spans="10:26">
      <c r="J493" s="587"/>
      <c r="K493" s="587"/>
      <c r="L493" s="587"/>
      <c r="M493" s="587"/>
      <c r="N493" s="587"/>
      <c r="O493" s="587"/>
      <c r="P493" s="587"/>
      <c r="Q493" s="587"/>
      <c r="R493" s="587"/>
      <c r="S493" s="587"/>
      <c r="T493" s="587"/>
      <c r="U493" s="587"/>
      <c r="V493" s="587"/>
      <c r="W493" s="587"/>
      <c r="X493" s="587"/>
      <c r="Y493" s="587"/>
      <c r="Z493" s="587"/>
    </row>
    <row r="494" s="2508" customFormat="1" customHeight="1" spans="10:26">
      <c r="J494" s="587"/>
      <c r="K494" s="587"/>
      <c r="L494" s="587"/>
      <c r="M494" s="587"/>
      <c r="N494" s="587"/>
      <c r="O494" s="587"/>
      <c r="P494" s="587"/>
      <c r="Q494" s="587"/>
      <c r="R494" s="587"/>
      <c r="S494" s="587"/>
      <c r="T494" s="587"/>
      <c r="U494" s="587"/>
      <c r="V494" s="587"/>
      <c r="W494" s="587"/>
      <c r="X494" s="587"/>
      <c r="Y494" s="587"/>
      <c r="Z494" s="587"/>
    </row>
    <row r="495" s="2508" customFormat="1" customHeight="1" spans="10:26">
      <c r="J495" s="587"/>
      <c r="K495" s="587"/>
      <c r="L495" s="587"/>
      <c r="M495" s="587"/>
      <c r="N495" s="587"/>
      <c r="O495" s="587"/>
      <c r="P495" s="587"/>
      <c r="Q495" s="587"/>
      <c r="R495" s="587"/>
      <c r="S495" s="587"/>
      <c r="T495" s="587"/>
      <c r="U495" s="587"/>
      <c r="V495" s="587"/>
      <c r="W495" s="587"/>
      <c r="X495" s="587"/>
      <c r="Y495" s="587"/>
      <c r="Z495" s="587"/>
    </row>
    <row r="496" s="2508" customFormat="1" customHeight="1" spans="10:26">
      <c r="J496" s="587"/>
      <c r="K496" s="587"/>
      <c r="L496" s="587"/>
      <c r="M496" s="587"/>
      <c r="N496" s="587"/>
      <c r="O496" s="587"/>
      <c r="P496" s="587"/>
      <c r="Q496" s="587"/>
      <c r="R496" s="587"/>
      <c r="S496" s="587"/>
      <c r="T496" s="587"/>
      <c r="U496" s="587"/>
      <c r="V496" s="587"/>
      <c r="W496" s="587"/>
      <c r="X496" s="587"/>
      <c r="Y496" s="587"/>
      <c r="Z496" s="587"/>
    </row>
    <row r="497" s="2508" customFormat="1" customHeight="1" spans="10:26">
      <c r="J497" s="587"/>
      <c r="K497" s="587"/>
      <c r="L497" s="587"/>
      <c r="M497" s="587"/>
      <c r="N497" s="587"/>
      <c r="O497" s="587"/>
      <c r="P497" s="587"/>
      <c r="Q497" s="587"/>
      <c r="R497" s="587"/>
      <c r="S497" s="587"/>
      <c r="T497" s="587"/>
      <c r="U497" s="587"/>
      <c r="V497" s="587"/>
      <c r="W497" s="587"/>
      <c r="X497" s="587"/>
      <c r="Y497" s="587"/>
      <c r="Z497" s="587"/>
    </row>
    <row r="498" s="2508" customFormat="1" customHeight="1" spans="10:26">
      <c r="J498" s="587"/>
      <c r="K498" s="587"/>
      <c r="L498" s="587"/>
      <c r="M498" s="587"/>
      <c r="N498" s="587"/>
      <c r="O498" s="587"/>
      <c r="P498" s="587"/>
      <c r="Q498" s="587"/>
      <c r="R498" s="587"/>
      <c r="S498" s="587"/>
      <c r="T498" s="587"/>
      <c r="U498" s="587"/>
      <c r="V498" s="587"/>
      <c r="W498" s="587"/>
      <c r="X498" s="587"/>
      <c r="Y498" s="587"/>
      <c r="Z498" s="587"/>
    </row>
    <row r="499" s="2508" customFormat="1" customHeight="1" spans="10:26">
      <c r="J499" s="587"/>
      <c r="K499" s="587"/>
      <c r="L499" s="587"/>
      <c r="M499" s="587"/>
      <c r="N499" s="587"/>
      <c r="O499" s="587"/>
      <c r="P499" s="587"/>
      <c r="Q499" s="587"/>
      <c r="R499" s="587"/>
      <c r="S499" s="587"/>
      <c r="T499" s="587"/>
      <c r="U499" s="587"/>
      <c r="V499" s="587"/>
      <c r="W499" s="587"/>
      <c r="X499" s="587"/>
      <c r="Y499" s="587"/>
      <c r="Z499" s="587"/>
    </row>
    <row r="500" s="2508" customFormat="1" customHeight="1" spans="10:26">
      <c r="J500" s="587"/>
      <c r="K500" s="587"/>
      <c r="L500" s="587"/>
      <c r="M500" s="587"/>
      <c r="N500" s="587"/>
      <c r="O500" s="587"/>
      <c r="P500" s="587"/>
      <c r="Q500" s="587"/>
      <c r="R500" s="587"/>
      <c r="S500" s="587"/>
      <c r="T500" s="587"/>
      <c r="U500" s="587"/>
      <c r="V500" s="587"/>
      <c r="W500" s="587"/>
      <c r="X500" s="587"/>
      <c r="Y500" s="587"/>
      <c r="Z500" s="587"/>
    </row>
    <row r="501" s="2508" customFormat="1" customHeight="1" spans="10:26">
      <c r="J501" s="587"/>
      <c r="K501" s="587"/>
      <c r="L501" s="587"/>
      <c r="M501" s="587"/>
      <c r="N501" s="587"/>
      <c r="O501" s="587"/>
      <c r="P501" s="587"/>
      <c r="Q501" s="587"/>
      <c r="R501" s="587"/>
      <c r="S501" s="587"/>
      <c r="T501" s="587"/>
      <c r="U501" s="587"/>
      <c r="V501" s="587"/>
      <c r="W501" s="587"/>
      <c r="X501" s="587"/>
      <c r="Y501" s="587"/>
      <c r="Z501" s="587"/>
    </row>
    <row r="502" s="2508" customFormat="1" customHeight="1" spans="10:26">
      <c r="J502" s="587"/>
      <c r="K502" s="587"/>
      <c r="L502" s="587"/>
      <c r="M502" s="587"/>
      <c r="N502" s="587"/>
      <c r="O502" s="587"/>
      <c r="P502" s="587"/>
      <c r="Q502" s="587"/>
      <c r="R502" s="587"/>
      <c r="S502" s="587"/>
      <c r="T502" s="587"/>
      <c r="U502" s="587"/>
      <c r="V502" s="587"/>
      <c r="W502" s="587"/>
      <c r="X502" s="587"/>
      <c r="Y502" s="587"/>
      <c r="Z502" s="587"/>
    </row>
    <row r="503" s="2508" customFormat="1" customHeight="1" spans="10:26">
      <c r="J503" s="587"/>
      <c r="K503" s="587"/>
      <c r="L503" s="587"/>
      <c r="M503" s="587"/>
      <c r="N503" s="587"/>
      <c r="O503" s="587"/>
      <c r="P503" s="587"/>
      <c r="Q503" s="587"/>
      <c r="R503" s="587"/>
      <c r="S503" s="587"/>
      <c r="T503" s="587"/>
      <c r="U503" s="587"/>
      <c r="V503" s="587"/>
      <c r="W503" s="587"/>
      <c r="X503" s="587"/>
      <c r="Y503" s="587"/>
      <c r="Z503" s="587"/>
    </row>
    <row r="504" s="2508" customFormat="1" customHeight="1" spans="10:26">
      <c r="J504" s="587"/>
      <c r="K504" s="587"/>
      <c r="L504" s="587"/>
      <c r="M504" s="587"/>
      <c r="N504" s="587"/>
      <c r="O504" s="587"/>
      <c r="P504" s="587"/>
      <c r="Q504" s="587"/>
      <c r="R504" s="587"/>
      <c r="S504" s="587"/>
      <c r="T504" s="587"/>
      <c r="U504" s="587"/>
      <c r="V504" s="587"/>
      <c r="W504" s="587"/>
      <c r="X504" s="587"/>
      <c r="Y504" s="587"/>
      <c r="Z504" s="587"/>
    </row>
    <row r="505" s="2508" customFormat="1" customHeight="1" spans="10:26">
      <c r="J505" s="587"/>
      <c r="K505" s="587"/>
      <c r="L505" s="587"/>
      <c r="M505" s="587"/>
      <c r="N505" s="587"/>
      <c r="O505" s="587"/>
      <c r="P505" s="587"/>
      <c r="Q505" s="587"/>
      <c r="R505" s="587"/>
      <c r="S505" s="587"/>
      <c r="T505" s="587"/>
      <c r="U505" s="587"/>
      <c r="V505" s="587"/>
      <c r="W505" s="587"/>
      <c r="X505" s="587"/>
      <c r="Y505" s="587"/>
      <c r="Z505" s="587"/>
    </row>
    <row r="506" s="2508" customFormat="1" customHeight="1" spans="10:26">
      <c r="J506" s="587"/>
      <c r="K506" s="587"/>
      <c r="L506" s="587"/>
      <c r="M506" s="587"/>
      <c r="N506" s="587"/>
      <c r="O506" s="587"/>
      <c r="P506" s="587"/>
      <c r="Q506" s="587"/>
      <c r="R506" s="587"/>
      <c r="S506" s="587"/>
      <c r="T506" s="587"/>
      <c r="U506" s="587"/>
      <c r="V506" s="587"/>
      <c r="W506" s="587"/>
      <c r="X506" s="587"/>
      <c r="Y506" s="587"/>
      <c r="Z506" s="587"/>
    </row>
    <row r="507" s="2508" customFormat="1" customHeight="1" spans="10:26">
      <c r="J507" s="587"/>
      <c r="K507" s="587"/>
      <c r="L507" s="587"/>
      <c r="M507" s="587"/>
      <c r="N507" s="587"/>
      <c r="O507" s="587"/>
      <c r="P507" s="587"/>
      <c r="Q507" s="587"/>
      <c r="R507" s="587"/>
      <c r="S507" s="587"/>
      <c r="T507" s="587"/>
      <c r="U507" s="587"/>
      <c r="V507" s="587"/>
      <c r="W507" s="587"/>
      <c r="X507" s="587"/>
      <c r="Y507" s="587"/>
      <c r="Z507" s="587"/>
    </row>
    <row r="508" s="2508" customFormat="1" customHeight="1" spans="10:26">
      <c r="J508" s="587"/>
      <c r="K508" s="587"/>
      <c r="L508" s="587"/>
      <c r="M508" s="587"/>
      <c r="N508" s="587"/>
      <c r="O508" s="587"/>
      <c r="P508" s="587"/>
      <c r="Q508" s="587"/>
      <c r="R508" s="587"/>
      <c r="S508" s="587"/>
      <c r="T508" s="587"/>
      <c r="U508" s="587"/>
      <c r="V508" s="587"/>
      <c r="W508" s="587"/>
      <c r="X508" s="587"/>
      <c r="Y508" s="587"/>
      <c r="Z508" s="587"/>
    </row>
    <row r="509" s="2508" customFormat="1" customHeight="1" spans="10:26">
      <c r="J509" s="587"/>
      <c r="K509" s="587"/>
      <c r="L509" s="587"/>
      <c r="M509" s="587"/>
      <c r="N509" s="587"/>
      <c r="O509" s="587"/>
      <c r="P509" s="587"/>
      <c r="Q509" s="587"/>
      <c r="R509" s="587"/>
      <c r="S509" s="587"/>
      <c r="T509" s="587"/>
      <c r="U509" s="587"/>
      <c r="V509" s="587"/>
      <c r="W509" s="587"/>
      <c r="X509" s="587"/>
      <c r="Y509" s="587"/>
      <c r="Z509" s="587"/>
    </row>
    <row r="510" s="2508" customFormat="1" customHeight="1" spans="10:26">
      <c r="J510" s="587"/>
      <c r="K510" s="587"/>
      <c r="L510" s="587"/>
      <c r="M510" s="587"/>
      <c r="N510" s="587"/>
      <c r="O510" s="587"/>
      <c r="P510" s="587"/>
      <c r="Q510" s="587"/>
      <c r="R510" s="587"/>
      <c r="S510" s="587"/>
      <c r="T510" s="587"/>
      <c r="U510" s="587"/>
      <c r="V510" s="587"/>
      <c r="W510" s="587"/>
      <c r="X510" s="587"/>
      <c r="Y510" s="587"/>
      <c r="Z510" s="587"/>
    </row>
    <row r="511" s="2508" customFormat="1" customHeight="1" spans="10:26">
      <c r="J511" s="587"/>
      <c r="K511" s="587"/>
      <c r="L511" s="587"/>
      <c r="M511" s="587"/>
      <c r="N511" s="587"/>
      <c r="O511" s="587"/>
      <c r="P511" s="587"/>
      <c r="Q511" s="587"/>
      <c r="R511" s="587"/>
      <c r="S511" s="587"/>
      <c r="T511" s="587"/>
      <c r="U511" s="587"/>
      <c r="V511" s="587"/>
      <c r="W511" s="587"/>
      <c r="X511" s="587"/>
      <c r="Y511" s="587"/>
      <c r="Z511" s="587"/>
    </row>
    <row r="512" s="250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8" sqref="C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1002</v>
      </c>
      <c r="B1" s="2490"/>
      <c r="C1" s="391"/>
      <c r="D1" s="391"/>
      <c r="E1" s="391"/>
      <c r="F1" s="391"/>
      <c r="G1" s="2492">
        <f>MATCH(B1,'数据-取费表'!A6:A16,0)+5</f>
        <v>7</v>
      </c>
    </row>
    <row r="2" s="381" customFormat="1" ht="18" customHeight="1" spans="1:7">
      <c r="A2" s="393" t="s">
        <v>1003</v>
      </c>
      <c r="B2" s="394">
        <f ca="1">IF(D2="——",C52,C52-E2)</f>
        <v>59647</v>
      </c>
      <c r="C2" s="392" t="s">
        <v>1004</v>
      </c>
      <c r="D2" s="2494" t="s">
        <v>124</v>
      </c>
      <c r="E2" s="2495" t="e">
        <f ca="1">SUMIF(INDIRECT("'"&amp;G2&amp;"'"&amp;"!A:A"),"承租人权益价值",INDIRECT("'"&amp;G2&amp;"'"&amp;"!c:c"))</f>
        <v>#REF!</v>
      </c>
      <c r="F2" s="2496" t="s">
        <v>1004</v>
      </c>
      <c r="G2" s="2497"/>
    </row>
    <row r="3" s="381" customFormat="1" ht="18" customHeight="1" spans="1:7">
      <c r="A3" s="396" t="s">
        <v>1005</v>
      </c>
      <c r="B3" s="397">
        <f ca="1">ROUND(B2*10000/(IF(B1="",'数据-汇总表'!E3,INDIRECT("'数据-取费表'!k"&amp;$G$1))),0)</f>
        <v>8752</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12850</v>
      </c>
      <c r="D5" s="403" t="s">
        <v>1010</v>
      </c>
      <c r="E5" s="404" t="s">
        <v>1011</v>
      </c>
      <c r="F5" s="404" t="s">
        <v>908</v>
      </c>
      <c r="G5" s="405"/>
    </row>
    <row r="6" s="383" customFormat="1" ht="13.5" customHeight="1" spans="1:7">
      <c r="A6" s="406" t="s">
        <v>1012</v>
      </c>
      <c r="B6" s="407" t="s">
        <v>1013</v>
      </c>
      <c r="C6" s="408">
        <f>'土地比较法-住宅、综合'!F65</f>
        <v>12470</v>
      </c>
      <c r="D6" s="409"/>
      <c r="E6" s="410"/>
      <c r="F6" s="410"/>
      <c r="G6" s="411"/>
    </row>
    <row r="7" s="383" customFormat="1" ht="13.5" customHeight="1" spans="1:7">
      <c r="A7" s="406" t="s">
        <v>1014</v>
      </c>
      <c r="B7" s="407" t="s">
        <v>1015</v>
      </c>
      <c r="C7" s="412">
        <f>ROUND(C6*F7,0)</f>
        <v>380</v>
      </c>
      <c r="D7" s="412"/>
      <c r="E7" s="410"/>
      <c r="F7" s="413">
        <f>IF(项目基本情况!B8="出让",0,'数据-取费表'!B48+'数据-取费表'!B49)</f>
        <v>0.0305</v>
      </c>
      <c r="G7" s="411"/>
    </row>
    <row r="8" s="384" customFormat="1" ht="13" spans="1:7">
      <c r="A8" s="406" t="s">
        <v>1016</v>
      </c>
      <c r="B8" s="407" t="s">
        <v>1017</v>
      </c>
      <c r="C8" s="412">
        <f ca="1">IF(G8="已包含在土地购买价格中","0",IF(B1="",'数据-取费表'!B29,IF(G9="全部缴纳",C9+C10,H9)))</f>
        <v>0</v>
      </c>
      <c r="D8" s="414"/>
      <c r="E8" s="412"/>
      <c r="F8" s="413"/>
      <c r="G8" s="2498" t="s">
        <v>1018</v>
      </c>
    </row>
    <row r="9" s="383" customFormat="1" ht="13.5" customHeight="1" spans="1:9">
      <c r="A9" s="416" t="s">
        <v>1019</v>
      </c>
      <c r="B9" s="417" t="s">
        <v>1020</v>
      </c>
      <c r="C9" s="418">
        <f ca="1">ROUND(D9*E9/10000,0)</f>
        <v>0</v>
      </c>
      <c r="D9" s="419">
        <f ca="1">IF(B1="",'数据-汇总表'!E5,IF(INDIRECT("'数据-取费表'!c"&amp;$G$1)="住宅",INDIRECT("'数据-取费表'!k"&amp;$G$1),0))</f>
        <v>0</v>
      </c>
      <c r="E9" s="418">
        <f>'数据-取费表'!B27</f>
        <v>0</v>
      </c>
      <c r="F9" s="413"/>
      <c r="G9" s="2502"/>
      <c r="H9" s="2503">
        <f ca="1">C9+C10</f>
        <v>716</v>
      </c>
      <c r="I9" s="2504" t="s">
        <v>1021</v>
      </c>
    </row>
    <row r="10" s="383" customFormat="1" ht="13.5" customHeight="1" spans="1:7">
      <c r="A10" s="416" t="s">
        <v>1022</v>
      </c>
      <c r="B10" s="417" t="s">
        <v>1023</v>
      </c>
      <c r="C10" s="418">
        <f ca="1">ROUND(D10*E10/10000,0)</f>
        <v>716</v>
      </c>
      <c r="D10" s="419">
        <f ca="1">IF(B1="",'数据-汇总表'!E6,IF(INDIRECT("'数据-取费表'!c"&amp;$G$1)="住宅",INDIRECT("'数据-取费表'!s"&amp;$G$1),INDIRECT("'数据-取费表'!k"&amp;$G$1)+INDIRECT("'数据-取费表'!s"&amp;$G$1)))</f>
        <v>68156.19</v>
      </c>
      <c r="E10" s="418">
        <f>'数据-取费表'!B28</f>
        <v>105</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t="str">
        <f ca="1">IF(G19="已包含在土地取得成本中","0",ROUND(D19*E19/10000,0))</f>
        <v>0</v>
      </c>
      <c r="D19" s="427">
        <f ca="1">D9+D10</f>
        <v>68156.19</v>
      </c>
      <c r="E19" s="403">
        <f>'数据-取费表'!B31</f>
        <v>200</v>
      </c>
      <c r="F19" s="428"/>
      <c r="G19" s="2498" t="s">
        <v>1042</v>
      </c>
    </row>
    <row r="20" s="383" customFormat="1" ht="13.5" customHeight="1" spans="1:7">
      <c r="A20" s="401" t="s">
        <v>1043</v>
      </c>
      <c r="B20" s="402" t="s">
        <v>1044</v>
      </c>
      <c r="C20" s="429">
        <f ca="1">ROUND((C5+C19)*F20,0)</f>
        <v>386</v>
      </c>
      <c r="D20" s="429"/>
      <c r="E20" s="429"/>
      <c r="F20" s="430">
        <f>'数据-取费表'!B37</f>
        <v>0.03</v>
      </c>
      <c r="G20" s="434" t="s">
        <v>1045</v>
      </c>
    </row>
    <row r="21" s="383" customFormat="1" ht="13.5" customHeight="1" spans="1:7">
      <c r="A21" s="401" t="s">
        <v>1046</v>
      </c>
      <c r="B21" s="402" t="s">
        <v>1047</v>
      </c>
      <c r="C21" s="432">
        <f>F21</f>
        <v>0.02</v>
      </c>
      <c r="D21" s="433" t="s">
        <v>1048</v>
      </c>
      <c r="E21" s="429"/>
      <c r="F21" s="430">
        <f>'数据-取费表'!B38</f>
        <v>0.02</v>
      </c>
      <c r="G21" s="434" t="s">
        <v>1049</v>
      </c>
    </row>
    <row r="22" s="383" customFormat="1" ht="13.5" customHeight="1" spans="1:7">
      <c r="A22" s="401" t="s">
        <v>1050</v>
      </c>
      <c r="B22" s="402" t="s">
        <v>1051</v>
      </c>
      <c r="C22" s="435">
        <f ca="1">ROUND(SUM(C23:C25),0)</f>
        <v>813</v>
      </c>
      <c r="D22" s="432">
        <f ca="1">C26</f>
        <v>0.0006</v>
      </c>
      <c r="E22" s="433" t="s">
        <v>1048</v>
      </c>
      <c r="F22" s="436">
        <f ca="1">'数据-取费表'!B40</f>
        <v>0.031</v>
      </c>
      <c r="G22" s="434" t="str">
        <f>IF('数据-取费表'!B22&lt;=1,"单利计息","复利计息")</f>
        <v>复利计息</v>
      </c>
    </row>
    <row r="23" s="383" customFormat="1" ht="13.5" customHeight="1" spans="1:7">
      <c r="A23" s="437" t="s">
        <v>1012</v>
      </c>
      <c r="B23" s="407" t="s">
        <v>1052</v>
      </c>
      <c r="C23" s="438">
        <f ca="1">ROUND(IF('数据-取费表'!B22&lt;=1,C5*F22*'数据-取费表'!B23,C5*(POWER((1+F22),'数据-取费表'!B23)-1)),0)</f>
        <v>801</v>
      </c>
      <c r="D23" s="439"/>
      <c r="E23" s="439"/>
      <c r="F23" s="440"/>
      <c r="G23" s="441" t="s">
        <v>1053</v>
      </c>
    </row>
    <row r="24" s="383" customFormat="1" ht="13.5" customHeight="1" spans="1:7">
      <c r="A24" s="437" t="s">
        <v>1014</v>
      </c>
      <c r="B24" s="407" t="s">
        <v>1054</v>
      </c>
      <c r="C24" s="438">
        <f ca="1">ROUND(IF('数据-取费表'!B22&lt;=1,C19*F22*('数据-取费表'!B19/2+'数据-取费表'!B21),C19*(POWER((1+F22),('数据-取费表'!B19/2+'数据-取费表'!B21))-1)),0)</f>
        <v>0</v>
      </c>
      <c r="D24" s="439"/>
      <c r="E24" s="439"/>
      <c r="F24" s="440"/>
      <c r="G24" s="441" t="s">
        <v>1055</v>
      </c>
    </row>
    <row r="25" s="383" customFormat="1" ht="26" spans="1:7">
      <c r="A25" s="437" t="s">
        <v>1016</v>
      </c>
      <c r="B25" s="407" t="s">
        <v>1056</v>
      </c>
      <c r="C25" s="438">
        <f ca="1">ROUND(IF('数据-取费表'!B22&lt;=1,C20*F22*'数据-取费表'!B23/2,C20*(POWER((1+F22),'数据-取费表'!B23/2)-1)),0)</f>
        <v>12</v>
      </c>
      <c r="D25" s="439"/>
      <c r="E25" s="442"/>
      <c r="F25" s="440"/>
      <c r="G25" s="443" t="s">
        <v>1057</v>
      </c>
    </row>
    <row r="26" s="383" customFormat="1" ht="13" spans="1:7">
      <c r="A26" s="437" t="s">
        <v>1058</v>
      </c>
      <c r="B26" s="407" t="s">
        <v>1059</v>
      </c>
      <c r="C26" s="439">
        <f ca="1">ROUND(IF('数据-取费表'!B22&lt;=1,F21*F22*'数据-取费表'!B23/2,F21*(POWER((1+F22),'数据-取费表'!B23/2)-1)),4)</f>
        <v>0.0006</v>
      </c>
      <c r="D26" s="439"/>
      <c r="E26" s="442"/>
      <c r="F26" s="440"/>
      <c r="G26" s="444"/>
    </row>
    <row r="27" s="383" customFormat="1" ht="26" spans="1:7">
      <c r="A27" s="401" t="s">
        <v>1060</v>
      </c>
      <c r="B27" s="445" t="s">
        <v>1061</v>
      </c>
      <c r="C27" s="446">
        <f ca="1">C28</f>
        <v>1310</v>
      </c>
      <c r="D27" s="432">
        <f ca="1">C29</f>
        <v>0.002</v>
      </c>
      <c r="E27" s="433" t="s">
        <v>1048</v>
      </c>
      <c r="F27" s="447">
        <f ca="1">IF(B1="",'数据-取费表'!Q16,INDIRECT("'数据-取费表'!q"&amp;$G$1))</f>
        <v>0.1</v>
      </c>
      <c r="G27" s="448" t="s">
        <v>1062</v>
      </c>
    </row>
    <row r="28" s="383" customFormat="1" ht="13.5" customHeight="1" spans="1:7">
      <c r="A28" s="437" t="s">
        <v>1012</v>
      </c>
      <c r="B28" s="449" t="s">
        <v>1063</v>
      </c>
      <c r="C28" s="450">
        <f ca="1">ROUND((C5+C19+C20)*F27*'数据-取费表'!B21/'数据-取费表'!B20,0)</f>
        <v>1310</v>
      </c>
      <c r="D28" s="432"/>
      <c r="E28" s="433"/>
      <c r="F28" s="447"/>
      <c r="G28" s="448"/>
    </row>
    <row r="29" s="383" customFormat="1" ht="13.5" customHeight="1" spans="1:7">
      <c r="A29" s="437" t="s">
        <v>1014</v>
      </c>
      <c r="B29" s="449" t="s">
        <v>1064</v>
      </c>
      <c r="C29" s="439">
        <f ca="1">ROUND(C21*F27*'数据-取费表'!B21/'数据-取费表'!B20,4)</f>
        <v>0.002</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16620</v>
      </c>
      <c r="D31" s="452"/>
      <c r="E31" s="403"/>
      <c r="F31" s="453"/>
      <c r="G31" s="434" t="s">
        <v>1069</v>
      </c>
    </row>
    <row r="32" s="382" customFormat="1" ht="15.5" spans="1:7">
      <c r="A32" s="454" t="s">
        <v>1070</v>
      </c>
      <c r="B32" s="455"/>
      <c r="C32" s="455"/>
      <c r="D32" s="455"/>
      <c r="E32" s="455"/>
      <c r="F32" s="455"/>
      <c r="G32" s="456"/>
    </row>
    <row r="33" s="383" customFormat="1" ht="13.5" customHeight="1" spans="1:7">
      <c r="A33" s="401" t="s">
        <v>1008</v>
      </c>
      <c r="B33" s="402" t="s">
        <v>1071</v>
      </c>
      <c r="C33" s="457">
        <f ca="1">SUM(C34:C38)</f>
        <v>34141</v>
      </c>
      <c r="D33" s="429"/>
      <c r="E33" s="404"/>
      <c r="F33" s="442"/>
      <c r="G33" s="434"/>
    </row>
    <row r="34" s="385" customFormat="1" ht="13.5" customHeight="1" spans="1:7">
      <c r="A34" s="437" t="s">
        <v>1012</v>
      </c>
      <c r="B34" s="407" t="s">
        <v>1072</v>
      </c>
      <c r="C34" s="412">
        <f ca="1">IF(B1="",IF(F34=100%,'数据-取费表'!M16,'数据-取费表'!O16),IF(F34=100%,INDIRECT("'数据-取费表'!m"&amp;$G$1)+INDIRECT("'数据-取费表'!t"&amp;$G$1),INDIRECT("'数据-取费表'!o"&amp;$G$1)+INDIRECT("'数据-取费表'!aq"&amp;$G$1)))</f>
        <v>30363</v>
      </c>
      <c r="D34" s="409"/>
      <c r="E34" s="412"/>
      <c r="F34" s="458">
        <f ca="1">IF('数据-取费表'!B24=0,1,IF(B1="",'数据-取费表'!N16,INDIRECT("'数据-取费表'!n"&amp;$G$1)))</f>
        <v>0.99</v>
      </c>
      <c r="G34" s="411" t="s">
        <v>1073</v>
      </c>
    </row>
    <row r="35" ht="13.5" customHeight="1" spans="1:7">
      <c r="A35" s="437" t="s">
        <v>1014</v>
      </c>
      <c r="B35" s="407" t="s">
        <v>1074</v>
      </c>
      <c r="C35" s="412">
        <f ca="1">ROUND(C34*F35,0)</f>
        <v>1822</v>
      </c>
      <c r="D35" s="412"/>
      <c r="E35" s="412"/>
      <c r="F35" s="459">
        <f>'数据-取费表'!B33</f>
        <v>0.06</v>
      </c>
      <c r="G35" s="411" t="s">
        <v>1075</v>
      </c>
    </row>
    <row r="36" ht="26" spans="1:7">
      <c r="A36" s="437" t="s">
        <v>1016</v>
      </c>
      <c r="B36" s="407" t="s">
        <v>1076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1077</v>
      </c>
    </row>
    <row r="37" s="385" customFormat="1" ht="13.5" customHeight="1" spans="1:7">
      <c r="A37" s="437" t="s">
        <v>1058</v>
      </c>
      <c r="B37" s="407" t="s">
        <v>1078</v>
      </c>
      <c r="C37" s="450">
        <f ca="1">ROUND(E37*D37*F34/10000,0)</f>
        <v>1349</v>
      </c>
      <c r="D37" s="409">
        <f ca="1">D19</f>
        <v>68156.19</v>
      </c>
      <c r="E37" s="450">
        <f>'数据-取费表'!B35</f>
        <v>200</v>
      </c>
      <c r="F37" s="459"/>
      <c r="G37" s="461" t="s">
        <v>1079</v>
      </c>
    </row>
    <row r="38" ht="13.5" customHeight="1" spans="1:7">
      <c r="A38" s="437" t="s">
        <v>1080</v>
      </c>
      <c r="B38" s="407" t="s">
        <v>944</v>
      </c>
      <c r="C38" s="412">
        <f ca="1">ROUND(C34*F38,0)</f>
        <v>607</v>
      </c>
      <c r="D38" s="412"/>
      <c r="E38" s="412"/>
      <c r="F38" s="459">
        <f>'数据-取费表'!B36</f>
        <v>0.02</v>
      </c>
      <c r="G38" s="411" t="s">
        <v>1075</v>
      </c>
    </row>
    <row r="39" s="383" customFormat="1" ht="13.5" customHeight="1" spans="1:7">
      <c r="A39" s="401" t="s">
        <v>1040</v>
      </c>
      <c r="B39" s="402" t="s">
        <v>1044</v>
      </c>
      <c r="C39" s="429">
        <f ca="1">ROUND(C33*F20,0)</f>
        <v>1024</v>
      </c>
      <c r="D39" s="429"/>
      <c r="E39" s="429"/>
      <c r="F39" s="430">
        <f>F20</f>
        <v>0.03</v>
      </c>
      <c r="G39" s="434" t="s">
        <v>1081</v>
      </c>
    </row>
    <row r="40" s="383" customFormat="1" ht="13.5" customHeight="1" spans="1:7">
      <c r="A40" s="401" t="s">
        <v>1043</v>
      </c>
      <c r="B40" s="402" t="s">
        <v>1047</v>
      </c>
      <c r="C40" s="2501">
        <f>F21</f>
        <v>0.02</v>
      </c>
      <c r="D40" s="433" t="s">
        <v>1082</v>
      </c>
      <c r="E40" s="429"/>
      <c r="F40" s="430">
        <f>F21</f>
        <v>0.02</v>
      </c>
      <c r="G40" s="434" t="s">
        <v>1083</v>
      </c>
    </row>
    <row r="41" s="383" customFormat="1" ht="13.5" customHeight="1" spans="1:7">
      <c r="A41" s="401" t="s">
        <v>1046</v>
      </c>
      <c r="B41" s="402" t="s">
        <v>1051</v>
      </c>
      <c r="C41" s="429">
        <f ca="1">ROUND(SUM(C42:C43),0)</f>
        <v>1079</v>
      </c>
      <c r="D41" s="432">
        <f ca="1">C44</f>
        <v>0.0006</v>
      </c>
      <c r="E41" s="433" t="s">
        <v>1082</v>
      </c>
      <c r="F41" s="436">
        <f ca="1">F22</f>
        <v>0.031</v>
      </c>
      <c r="G41" s="434" t="str">
        <f>IF('数据-取费表'!B22&lt;=1,"单利计息","复利计息")</f>
        <v>复利计息</v>
      </c>
    </row>
    <row r="42" ht="13.5" customHeight="1" spans="1:7">
      <c r="A42" s="437" t="s">
        <v>1012</v>
      </c>
      <c r="B42" s="407" t="s">
        <v>1052</v>
      </c>
      <c r="C42" s="439">
        <f ca="1">ROUND(IF('数据-取费表'!B22&lt;=1,C33*F22*'数据-取费表'!B21/2,C33*(POWER((1+F22),'数据-取费表'!B21/2)-1)),0)</f>
        <v>1048</v>
      </c>
      <c r="D42" s="439"/>
      <c r="E42" s="439"/>
      <c r="F42" s="440"/>
      <c r="G42" s="463" t="s">
        <v>1084</v>
      </c>
    </row>
    <row r="43" ht="13.5" customHeight="1" spans="1:7">
      <c r="A43" s="437" t="s">
        <v>1014</v>
      </c>
      <c r="B43" s="407" t="s">
        <v>1054</v>
      </c>
      <c r="C43" s="439">
        <f ca="1">ROUND(IF('数据-取费表'!B22&lt;=1,C39*F22*'数据-取费表'!B21/2,C39*(POWER((1+F22),'数据-取费表'!B21/2)-1)),0)</f>
        <v>31</v>
      </c>
      <c r="D43" s="439"/>
      <c r="E43" s="439"/>
      <c r="F43" s="440"/>
      <c r="G43" s="464"/>
    </row>
    <row r="44" ht="13.5" customHeight="1" spans="1:7">
      <c r="A44" s="437" t="s">
        <v>1016</v>
      </c>
      <c r="B44" s="407" t="s">
        <v>1056</v>
      </c>
      <c r="C44" s="439">
        <f ca="1">ROUND(IF('数据-取费表'!B22&lt;=1,C40*F22*'数据-取费表'!B21/2,C40*(POWER((1+F22),'数据-取费表'!B21/2)-1)),4)</f>
        <v>0.0006</v>
      </c>
      <c r="D44" s="439"/>
      <c r="E44" s="439"/>
      <c r="F44" s="440"/>
      <c r="G44" s="465"/>
    </row>
    <row r="45" s="383" customFormat="1" ht="13.5" customHeight="1" spans="1:7">
      <c r="A45" s="401" t="s">
        <v>1050</v>
      </c>
      <c r="B45" s="445" t="s">
        <v>1061</v>
      </c>
      <c r="C45" s="446">
        <f ca="1">C46</f>
        <v>3517</v>
      </c>
      <c r="D45" s="432">
        <f ca="1">C47</f>
        <v>0.002</v>
      </c>
      <c r="E45" s="433" t="s">
        <v>1082</v>
      </c>
      <c r="F45" s="447">
        <f ca="1">F27</f>
        <v>0.1</v>
      </c>
      <c r="G45" s="448" t="s">
        <v>1085</v>
      </c>
    </row>
    <row r="46" s="383" customFormat="1" ht="13.5" customHeight="1" spans="1:7">
      <c r="A46" s="437" t="s">
        <v>1012</v>
      </c>
      <c r="B46" s="449" t="s">
        <v>1086</v>
      </c>
      <c r="C46" s="450">
        <f ca="1">ROUND((C33+C39)*F27,0)</f>
        <v>3517</v>
      </c>
      <c r="D46" s="466"/>
      <c r="E46" s="433"/>
      <c r="F46" s="447"/>
      <c r="G46" s="448"/>
    </row>
    <row r="47" s="383" customFormat="1" ht="13.5" customHeight="1" spans="1:7">
      <c r="A47" s="437" t="s">
        <v>1014</v>
      </c>
      <c r="B47" s="449" t="s">
        <v>1087</v>
      </c>
      <c r="C47" s="439">
        <f ca="1">ROUND(C40*F27,4)</f>
        <v>0.002</v>
      </c>
      <c r="D47" s="466"/>
      <c r="E47" s="433"/>
      <c r="F47" s="447"/>
      <c r="G47" s="448"/>
    </row>
    <row r="48" s="383" customFormat="1" ht="13.5" customHeight="1" spans="1:7">
      <c r="A48" s="401" t="s">
        <v>1060</v>
      </c>
      <c r="B48" s="402" t="s">
        <v>1066</v>
      </c>
      <c r="C48" s="2501">
        <f>ROUND(F30/(1+'数据-取费表'!C42),4)</f>
        <v>0.0533</v>
      </c>
      <c r="D48" s="433" t="s">
        <v>1082</v>
      </c>
      <c r="E48" s="429"/>
      <c r="F48" s="436">
        <f>F30</f>
        <v>0.056</v>
      </c>
      <c r="G48" s="434" t="s">
        <v>1088</v>
      </c>
    </row>
    <row r="49" ht="16.5" customHeight="1" spans="1:7">
      <c r="A49" s="401" t="s">
        <v>1065</v>
      </c>
      <c r="B49" s="402" t="s">
        <v>1089</v>
      </c>
      <c r="C49" s="429">
        <f ca="1">ROUND((C33+C39+C41+C45)/(1-C40-D41-D45-C48),0)</f>
        <v>43027</v>
      </c>
      <c r="D49" s="429"/>
      <c r="E49" s="429"/>
      <c r="F49" s="467"/>
      <c r="G49" s="434" t="s">
        <v>1090</v>
      </c>
    </row>
    <row r="50" s="385" customFormat="1" ht="26" spans="1:7">
      <c r="A50" s="401" t="s">
        <v>1091</v>
      </c>
      <c r="B50" s="402" t="s">
        <v>1092</v>
      </c>
      <c r="C50" s="429"/>
      <c r="D50" s="429"/>
      <c r="E50" s="429"/>
      <c r="F50" s="467">
        <f>IF('数据-取费表'!B24=0,'数据-取费表'!N16,1)</f>
        <v>1</v>
      </c>
      <c r="G50" s="448" t="s">
        <v>1093</v>
      </c>
    </row>
    <row r="51" ht="16.5" customHeight="1" spans="1:7">
      <c r="A51" s="401" t="s">
        <v>1094</v>
      </c>
      <c r="B51" s="402" t="s">
        <v>1095</v>
      </c>
      <c r="C51" s="429">
        <f ca="1">ROUND(C49*F50,0)</f>
        <v>43027</v>
      </c>
      <c r="D51" s="429"/>
      <c r="E51" s="429"/>
      <c r="F51" s="467"/>
      <c r="G51" s="434" t="s">
        <v>1096</v>
      </c>
    </row>
    <row r="52" s="382" customFormat="1" ht="16.25" spans="1:7">
      <c r="A52" s="468" t="s">
        <v>1097</v>
      </c>
      <c r="B52" s="469"/>
      <c r="C52" s="470">
        <f ca="1">C31+C51</f>
        <v>59647</v>
      </c>
      <c r="D52" s="469"/>
      <c r="E52" s="469"/>
      <c r="F52" s="469"/>
      <c r="G52" s="471"/>
    </row>
    <row r="55" ht="15.5" spans="2:3">
      <c r="B55" s="472" t="s">
        <v>1098</v>
      </c>
      <c r="C55" s="473"/>
    </row>
    <row r="56" ht="13" spans="2:3">
      <c r="B56" s="474" t="s">
        <v>1099</v>
      </c>
      <c r="C56" s="476">
        <f ca="1">1-C57</f>
        <v>0.279</v>
      </c>
    </row>
    <row r="57" ht="13" spans="2:3">
      <c r="B57" s="474" t="s">
        <v>1100</v>
      </c>
      <c r="C57" s="475">
        <f ca="1">ROUND(C51/C52,3)</f>
        <v>0.721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1002</v>
      </c>
      <c r="B1" s="2490"/>
      <c r="C1" s="2491" t="s">
        <v>1101</v>
      </c>
      <c r="D1" s="391"/>
      <c r="E1" s="391"/>
      <c r="F1" s="391"/>
      <c r="G1" s="2492">
        <f>MATCH(B1,'数据-取费表'!A6:A16,0)+5</f>
        <v>7</v>
      </c>
      <c r="H1" s="1402" t="str">
        <f>IF(ISERROR(FIND("住宅",B1)),"非住宅","住宅")</f>
        <v>非住宅</v>
      </c>
    </row>
    <row r="2" s="381" customFormat="1" ht="18" customHeight="1" spans="1:7">
      <c r="A2" s="393" t="s">
        <v>1003</v>
      </c>
      <c r="B2" s="2493">
        <f ca="1">ROUND(IF(D2="——",C52/10000,C52/10000-E2),4)</f>
        <v>46167.116</v>
      </c>
      <c r="C2" s="392" t="s">
        <v>1004</v>
      </c>
      <c r="D2" s="2494" t="s">
        <v>124</v>
      </c>
      <c r="E2" s="2495" t="e">
        <f ca="1">SUMIF(INDIRECT("'"&amp;G2&amp;"'"&amp;"!A:A"),"承租人权益价值",INDIRECT("'"&amp;G2&amp;"'"&amp;"!c:c"))</f>
        <v>#REF!</v>
      </c>
      <c r="F2" s="2496" t="s">
        <v>1004</v>
      </c>
      <c r="G2" s="2497"/>
    </row>
    <row r="3" s="381" customFormat="1" ht="18" customHeight="1" spans="1:7">
      <c r="A3" s="396" t="s">
        <v>1005</v>
      </c>
      <c r="B3" s="397">
        <f ca="1">ROUND(B2*10000/(IF(B1="",'数据-汇总表'!E3,INDIRECT("'数据-取费表'!k"&amp;$G$1))),0)</f>
        <v>6774</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7156400</v>
      </c>
      <c r="D5" s="403" t="s">
        <v>1010</v>
      </c>
      <c r="E5" s="404" t="s">
        <v>1011</v>
      </c>
      <c r="F5" s="404" t="s">
        <v>908</v>
      </c>
      <c r="G5" s="405"/>
    </row>
    <row r="6" s="383" customFormat="1" ht="13.5" customHeight="1" spans="1:7">
      <c r="A6" s="406" t="s">
        <v>1012</v>
      </c>
      <c r="B6" s="407" t="s">
        <v>1013</v>
      </c>
      <c r="C6" s="408"/>
      <c r="D6" s="409"/>
      <c r="E6" s="410"/>
      <c r="F6" s="410"/>
      <c r="G6" s="411"/>
    </row>
    <row r="7" s="383" customFormat="1" ht="13.5" customHeight="1" spans="1:7">
      <c r="A7" s="406" t="s">
        <v>1014</v>
      </c>
      <c r="B7" s="407" t="s">
        <v>1015</v>
      </c>
      <c r="C7" s="412">
        <f>ROUND(C6*F7,0)</f>
        <v>0</v>
      </c>
      <c r="D7" s="412"/>
      <c r="E7" s="410"/>
      <c r="F7" s="413">
        <f>IF(项目基本情况!B8="出让",0,'数据-取费表'!B48+'数据-取费表'!B49)</f>
        <v>0.0305</v>
      </c>
      <c r="G7" s="411"/>
    </row>
    <row r="8" s="384" customFormat="1" ht="13" spans="1:7">
      <c r="A8" s="406" t="s">
        <v>1016</v>
      </c>
      <c r="B8" s="407" t="s">
        <v>1017</v>
      </c>
      <c r="C8" s="412">
        <f ca="1">IF(G8="已包含在土地购买价格中",0,C9+C10)</f>
        <v>7156400</v>
      </c>
      <c r="D8" s="414"/>
      <c r="E8" s="412"/>
      <c r="F8" s="413"/>
      <c r="G8" s="2498"/>
    </row>
    <row r="9" s="383" customFormat="1" ht="13.5" customHeight="1" spans="1:7">
      <c r="A9" s="416" t="s">
        <v>1019</v>
      </c>
      <c r="B9" s="417" t="s">
        <v>1020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1022</v>
      </c>
      <c r="B10" s="417" t="s">
        <v>1023</v>
      </c>
      <c r="C10" s="418">
        <f ca="1">ROUND(D10*E10,0)</f>
        <v>7156400</v>
      </c>
      <c r="D10" s="419">
        <f ca="1">IF(B1="",'数据-汇总表'!E6,IF(INDIRECT("'数据-取费表'!c"&amp;$G$1)="住宅",INDIRECT("'数据-取费表'!s"&amp;$G$1),INDIRECT("'数据-取费表'!k"&amp;$G$1)+INDIRECT("'数据-取费表'!s"&amp;$G$1)))</f>
        <v>68156.19</v>
      </c>
      <c r="E10" s="418">
        <f>'数据-取费表'!B28</f>
        <v>105</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f ca="1">IF(G19="已包含在土地取得成本中","0",ROUND(D19*E19,0))</f>
        <v>13631238</v>
      </c>
      <c r="D19" s="427">
        <f ca="1">D9+D10</f>
        <v>68156.19</v>
      </c>
      <c r="E19" s="403">
        <f>'数据-取费表'!B31</f>
        <v>200</v>
      </c>
      <c r="F19" s="428"/>
      <c r="G19" s="2498"/>
    </row>
    <row r="20" s="383" customFormat="1" ht="13.5" customHeight="1" spans="1:7">
      <c r="A20" s="401" t="s">
        <v>1043</v>
      </c>
      <c r="B20" s="402" t="s">
        <v>1044</v>
      </c>
      <c r="C20" s="429">
        <f ca="1">ROUND((C5+C19)*F20,0)</f>
        <v>623629</v>
      </c>
      <c r="D20" s="429"/>
      <c r="E20" s="429"/>
      <c r="F20" s="430">
        <f>'数据-取费表'!B37</f>
        <v>0.03</v>
      </c>
      <c r="G20" s="434" t="s">
        <v>1045</v>
      </c>
    </row>
    <row r="21" s="383" customFormat="1" ht="13.5" customHeight="1" spans="1:7">
      <c r="A21" s="401" t="s">
        <v>1046</v>
      </c>
      <c r="B21" s="402" t="s">
        <v>1047</v>
      </c>
      <c r="C21" s="432">
        <f>F21</f>
        <v>0.02</v>
      </c>
      <c r="D21" s="433" t="s">
        <v>1048</v>
      </c>
      <c r="E21" s="429"/>
      <c r="F21" s="430">
        <f>'数据-取费表'!B38</f>
        <v>0.02</v>
      </c>
      <c r="G21" s="434" t="s">
        <v>1049</v>
      </c>
    </row>
    <row r="22" s="383" customFormat="1" ht="13.5" customHeight="1" spans="1:7">
      <c r="A22" s="401" t="s">
        <v>1050</v>
      </c>
      <c r="B22" s="402" t="s">
        <v>1051</v>
      </c>
      <c r="C22" s="2499">
        <f ca="1">ROUND(SUM(C23:C25),0)</f>
        <v>1328142</v>
      </c>
      <c r="D22" s="432">
        <f ca="1">C26</f>
        <v>0.0006</v>
      </c>
      <c r="E22" s="433" t="s">
        <v>1048</v>
      </c>
      <c r="F22" s="436">
        <f ca="1">'数据-取费表'!B40</f>
        <v>0.031</v>
      </c>
      <c r="G22" s="434" t="str">
        <f>IF('数据-取费表'!B22&lt;=1,"单利计息","复利计息")</f>
        <v>复利计息</v>
      </c>
    </row>
    <row r="23" s="383" customFormat="1" ht="13.5" customHeight="1" spans="1:7">
      <c r="A23" s="437" t="s">
        <v>1012</v>
      </c>
      <c r="B23" s="407" t="s">
        <v>1052</v>
      </c>
      <c r="C23" s="2500">
        <f ca="1">ROUND(IF('数据-取费表'!B22&lt;=1,C5*F22*'数据-取费表'!B22,C5*(POWER((1+F22),'数据-取费表'!B22)-1)),0)</f>
        <v>450574</v>
      </c>
      <c r="D23" s="439"/>
      <c r="E23" s="439"/>
      <c r="F23" s="440"/>
      <c r="G23" s="441" t="s">
        <v>1053</v>
      </c>
    </row>
    <row r="24" s="383" customFormat="1" ht="13.5" customHeight="1" spans="1:7">
      <c r="A24" s="437" t="s">
        <v>1014</v>
      </c>
      <c r="B24" s="407" t="s">
        <v>1054</v>
      </c>
      <c r="C24" s="2500">
        <f ca="1">ROUND(IF('数据-取费表'!B22&lt;=1,C19*F22*('数据-取费表'!B19/2+'数据-取费表'!B20),C19*(POWER((1+F22),('数据-取费表'!B19/2+'数据-取费表'!B20))-1)),0)</f>
        <v>858236</v>
      </c>
      <c r="D24" s="439"/>
      <c r="E24" s="439"/>
      <c r="F24" s="440"/>
      <c r="G24" s="441" t="s">
        <v>1055</v>
      </c>
    </row>
    <row r="25" s="383" customFormat="1" ht="26" spans="1:7">
      <c r="A25" s="437" t="s">
        <v>1016</v>
      </c>
      <c r="B25" s="407" t="s">
        <v>1056</v>
      </c>
      <c r="C25" s="2500">
        <f ca="1">ROUND(IF('数据-取费表'!B22&lt;=1,C20*F22*'数据-取费表'!B22/2,C20*(POWER((1+F22),'数据-取费表'!B22/2)-1)),0)</f>
        <v>19332</v>
      </c>
      <c r="D25" s="439"/>
      <c r="E25" s="442"/>
      <c r="F25" s="440"/>
      <c r="G25" s="443" t="s">
        <v>1057</v>
      </c>
    </row>
    <row r="26" s="383" customFormat="1" ht="13" spans="1:7">
      <c r="A26" s="437" t="s">
        <v>1058</v>
      </c>
      <c r="B26" s="407" t="s">
        <v>1059</v>
      </c>
      <c r="C26" s="439">
        <f ca="1">ROUND(IF('数据-取费表'!B22&lt;=1,F21*F22*'数据-取费表'!B22/2,F21*(POWER((1+F22),'数据-取费表'!B22/2)-1)),4)</f>
        <v>0.0006</v>
      </c>
      <c r="D26" s="439"/>
      <c r="E26" s="442"/>
      <c r="F26" s="440"/>
      <c r="G26" s="444"/>
    </row>
    <row r="27" s="383" customFormat="1" ht="26" spans="1:7">
      <c r="A27" s="401" t="s">
        <v>1060</v>
      </c>
      <c r="B27" s="445" t="s">
        <v>1061</v>
      </c>
      <c r="C27" s="446">
        <f ca="1">C28</f>
        <v>2141127</v>
      </c>
      <c r="D27" s="432">
        <f ca="1">C29</f>
        <v>0.002</v>
      </c>
      <c r="E27" s="433" t="s">
        <v>1048</v>
      </c>
      <c r="F27" s="447">
        <f ca="1">IF(B1="",'数据-取费表'!Q16,INDIRECT("'数据-取费表'!q"&amp;$G$1))</f>
        <v>0.1</v>
      </c>
      <c r="G27" s="448" t="s">
        <v>1062</v>
      </c>
    </row>
    <row r="28" s="383" customFormat="1" ht="13.5" customHeight="1" spans="1:7">
      <c r="A28" s="437" t="s">
        <v>1012</v>
      </c>
      <c r="B28" s="449" t="s">
        <v>1063</v>
      </c>
      <c r="C28" s="450">
        <f ca="1">ROUND((C5+C19+C20)*F27,0)</f>
        <v>2141127</v>
      </c>
      <c r="D28" s="432"/>
      <c r="E28" s="433"/>
      <c r="F28" s="447"/>
      <c r="G28" s="448"/>
    </row>
    <row r="29" s="383" customFormat="1" ht="13.5" customHeight="1" spans="1:7">
      <c r="A29" s="437" t="s">
        <v>1014</v>
      </c>
      <c r="B29" s="449" t="s">
        <v>1064</v>
      </c>
      <c r="C29" s="439">
        <f ca="1">ROUND(C21*F27,4)</f>
        <v>0.002</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26924073</v>
      </c>
      <c r="D31" s="452"/>
      <c r="E31" s="403"/>
      <c r="F31" s="453"/>
      <c r="G31" s="434" t="s">
        <v>1069</v>
      </c>
    </row>
    <row r="32" s="382" customFormat="1" ht="15.5" spans="1:7">
      <c r="A32" s="454" t="s">
        <v>1102</v>
      </c>
      <c r="B32" s="455"/>
      <c r="C32" s="455"/>
      <c r="D32" s="455"/>
      <c r="E32" s="455"/>
      <c r="F32" s="455"/>
      <c r="G32" s="456"/>
    </row>
    <row r="33" s="383" customFormat="1" ht="13.5" customHeight="1" spans="1:7">
      <c r="A33" s="401" t="s">
        <v>1008</v>
      </c>
      <c r="B33" s="402" t="s">
        <v>1103</v>
      </c>
      <c r="C33" s="457">
        <f ca="1">SUM(C34:C38)</f>
        <v>344870321</v>
      </c>
      <c r="D33" s="429"/>
      <c r="E33" s="404"/>
      <c r="F33" s="442"/>
      <c r="G33" s="434"/>
    </row>
    <row r="34" s="385" customFormat="1" ht="13.5" customHeight="1" spans="1:7">
      <c r="A34" s="437" t="s">
        <v>1012</v>
      </c>
      <c r="B34" s="407" t="s">
        <v>1072</v>
      </c>
      <c r="C34" s="412">
        <f ca="1">ROUND(IF(B1="",SUMPRODUCT('数据-取费表'!K6:K14,'数据-取费表'!L6:L14),INDIRECT("'数据-取费表'!l"&amp;$G$1)*INDIRECT("'数据-取费表'!k"&amp;$G$1)+'数据-取费表'!L14*INDIRECT("'数据-取费表'!S"&amp;$G$1)),0)</f>
        <v>306702855</v>
      </c>
      <c r="D34" s="409"/>
      <c r="E34" s="412"/>
      <c r="F34" s="458"/>
      <c r="G34" s="411"/>
    </row>
    <row r="35" ht="13.5" customHeight="1" spans="1:7">
      <c r="A35" s="437" t="s">
        <v>1014</v>
      </c>
      <c r="B35" s="407" t="s">
        <v>1074</v>
      </c>
      <c r="C35" s="412">
        <f ca="1">ROUND(C34*F35,0)</f>
        <v>18402171</v>
      </c>
      <c r="D35" s="412"/>
      <c r="E35" s="412"/>
      <c r="F35" s="459">
        <f>'数据-取费表'!B33</f>
        <v>0.06</v>
      </c>
      <c r="G35" s="411" t="s">
        <v>1075</v>
      </c>
    </row>
    <row r="36" ht="26" spans="1:7">
      <c r="A36" s="437" t="s">
        <v>1016</v>
      </c>
      <c r="B36" s="407" t="s">
        <v>1076</v>
      </c>
      <c r="C36" s="412">
        <f ca="1">ROUND(IF(B1="",SUM('数据-取费表'!AP6:AP13)*F36,IF(INDIRECT("'数据-取费表'!c"&amp;$G$1)="住宅",INDIRECT("'数据-取费表'!k"&amp;$G$1)*INDIRECT("'数据-取费表'!l"&amp;$G$1)*F36,0)),0)</f>
        <v>0</v>
      </c>
      <c r="D36" s="412"/>
      <c r="E36" s="412"/>
      <c r="F36" s="459">
        <f>'数据-取费表'!B34</f>
        <v>0</v>
      </c>
      <c r="G36" s="460" t="s">
        <v>1077</v>
      </c>
    </row>
    <row r="37" s="385" customFormat="1" ht="13.5" customHeight="1" spans="1:7">
      <c r="A37" s="437" t="s">
        <v>1058</v>
      </c>
      <c r="B37" s="407" t="s">
        <v>1078</v>
      </c>
      <c r="C37" s="450">
        <f ca="1">ROUND(E37*D37,0)</f>
        <v>13631238</v>
      </c>
      <c r="D37" s="409">
        <f ca="1">D19</f>
        <v>68156.19</v>
      </c>
      <c r="E37" s="450">
        <f>'数据-取费表'!B35</f>
        <v>200</v>
      </c>
      <c r="F37" s="459"/>
      <c r="G37" s="461"/>
    </row>
    <row r="38" ht="13.5" customHeight="1" spans="1:7">
      <c r="A38" s="437" t="s">
        <v>1080</v>
      </c>
      <c r="B38" s="407" t="s">
        <v>944</v>
      </c>
      <c r="C38" s="412">
        <f ca="1">ROUND(C34*F38,0)</f>
        <v>6134057</v>
      </c>
      <c r="D38" s="412"/>
      <c r="E38" s="412"/>
      <c r="F38" s="459">
        <f>'数据-取费表'!B36</f>
        <v>0.02</v>
      </c>
      <c r="G38" s="411" t="s">
        <v>1075</v>
      </c>
    </row>
    <row r="39" s="383" customFormat="1" ht="13.5" customHeight="1" spans="1:7">
      <c r="A39" s="401" t="s">
        <v>1040</v>
      </c>
      <c r="B39" s="402" t="s">
        <v>1044</v>
      </c>
      <c r="C39" s="429">
        <f ca="1">ROUND(C33*F20,0)</f>
        <v>10346110</v>
      </c>
      <c r="D39" s="429"/>
      <c r="E39" s="429"/>
      <c r="F39" s="430">
        <f>F20</f>
        <v>0.03</v>
      </c>
      <c r="G39" s="434" t="s">
        <v>1081</v>
      </c>
    </row>
    <row r="40" s="383" customFormat="1" ht="13.5" customHeight="1" spans="1:7">
      <c r="A40" s="401" t="s">
        <v>1043</v>
      </c>
      <c r="B40" s="402" t="s">
        <v>1047</v>
      </c>
      <c r="C40" s="2501">
        <f>F21</f>
        <v>0.02</v>
      </c>
      <c r="D40" s="433" t="s">
        <v>1082</v>
      </c>
      <c r="E40" s="429"/>
      <c r="F40" s="430">
        <f>F21</f>
        <v>0.02</v>
      </c>
      <c r="G40" s="434" t="s">
        <v>1083</v>
      </c>
    </row>
    <row r="41" s="383" customFormat="1" ht="13.5" customHeight="1" spans="1:7">
      <c r="A41" s="401" t="s">
        <v>1046</v>
      </c>
      <c r="B41" s="402" t="s">
        <v>1051</v>
      </c>
      <c r="C41" s="429">
        <f ca="1">ROUND(SUM(C42:C43),0)</f>
        <v>11011709</v>
      </c>
      <c r="D41" s="432">
        <f ca="1">C44</f>
        <v>0.0006</v>
      </c>
      <c r="E41" s="433" t="s">
        <v>1082</v>
      </c>
      <c r="F41" s="436">
        <f ca="1">F22</f>
        <v>0.031</v>
      </c>
      <c r="G41" s="434" t="str">
        <f>IF('数据-取费表'!B22&lt;=1,"单利计息","复利计息")</f>
        <v>复利计息</v>
      </c>
    </row>
    <row r="42" ht="13.5" customHeight="1" spans="1:7">
      <c r="A42" s="437" t="s">
        <v>1012</v>
      </c>
      <c r="B42" s="407" t="s">
        <v>1052</v>
      </c>
      <c r="C42" s="439">
        <f ca="1">ROUND(IF('数据-取费表'!B22&lt;=1,C33*F22*'数据-取费表'!B20/2,C33*(POWER((1+F22),'数据-取费表'!B20/2)-1)),0)</f>
        <v>10690980</v>
      </c>
      <c r="D42" s="439"/>
      <c r="E42" s="439"/>
      <c r="F42" s="440"/>
      <c r="G42" s="463" t="s">
        <v>1104</v>
      </c>
    </row>
    <row r="43" ht="13.5" customHeight="1" spans="1:7">
      <c r="A43" s="437" t="s">
        <v>1014</v>
      </c>
      <c r="B43" s="407" t="s">
        <v>1054</v>
      </c>
      <c r="C43" s="439">
        <f ca="1">ROUND(IF('数据-取费表'!B22&lt;=1,C39*F22*'数据-取费表'!B20/2,C39*(POWER((1+F22),'数据-取费表'!B20/2)-1)),0)</f>
        <v>320729</v>
      </c>
      <c r="D43" s="439"/>
      <c r="E43" s="439"/>
      <c r="F43" s="440"/>
      <c r="G43" s="464"/>
    </row>
    <row r="44" ht="13.5" customHeight="1" spans="1:7">
      <c r="A44" s="437" t="s">
        <v>1016</v>
      </c>
      <c r="B44" s="407" t="s">
        <v>1056</v>
      </c>
      <c r="C44" s="439">
        <f ca="1">ROUND(IF('数据-取费表'!B22&lt;=1,C40*F22*'数据-取费表'!B20/2,C40*(POWER((1+F22),'数据-取费表'!B20/2)-1)),4)</f>
        <v>0.0006</v>
      </c>
      <c r="D44" s="439"/>
      <c r="E44" s="439"/>
      <c r="F44" s="440"/>
      <c r="G44" s="465"/>
    </row>
    <row r="45" s="383" customFormat="1" ht="13.5" customHeight="1" spans="1:7">
      <c r="A45" s="401" t="s">
        <v>1050</v>
      </c>
      <c r="B45" s="445" t="s">
        <v>1061</v>
      </c>
      <c r="C45" s="446">
        <f ca="1">C46</f>
        <v>35521643</v>
      </c>
      <c r="D45" s="432">
        <f ca="1">C47</f>
        <v>0.002</v>
      </c>
      <c r="E45" s="433" t="s">
        <v>1082</v>
      </c>
      <c r="F45" s="447">
        <f ca="1">F27</f>
        <v>0.1</v>
      </c>
      <c r="G45" s="448" t="s">
        <v>1085</v>
      </c>
    </row>
    <row r="46" s="383" customFormat="1" ht="13.5" customHeight="1" spans="1:7">
      <c r="A46" s="437" t="s">
        <v>1012</v>
      </c>
      <c r="B46" s="449" t="s">
        <v>1086</v>
      </c>
      <c r="C46" s="450">
        <f ca="1">ROUND((C33+C39)*F27,0)</f>
        <v>35521643</v>
      </c>
      <c r="D46" s="466"/>
      <c r="E46" s="433"/>
      <c r="F46" s="447"/>
      <c r="G46" s="448"/>
    </row>
    <row r="47" s="383" customFormat="1" ht="13.5" customHeight="1" spans="1:7">
      <c r="A47" s="437" t="s">
        <v>1014</v>
      </c>
      <c r="B47" s="449" t="s">
        <v>1087</v>
      </c>
      <c r="C47" s="439">
        <f ca="1">ROUND(C40*F27,4)</f>
        <v>0.002</v>
      </c>
      <c r="D47" s="466"/>
      <c r="E47" s="433"/>
      <c r="F47" s="447"/>
      <c r="G47" s="448"/>
    </row>
    <row r="48" s="383" customFormat="1" ht="13.5" customHeight="1" spans="1:7">
      <c r="A48" s="401" t="s">
        <v>1060</v>
      </c>
      <c r="B48" s="402" t="s">
        <v>1066</v>
      </c>
      <c r="C48" s="462">
        <f>ROUND(F30/(1+'数据-取费表'!C42),4)</f>
        <v>0.0533</v>
      </c>
      <c r="D48" s="433" t="s">
        <v>1082</v>
      </c>
      <c r="E48" s="429"/>
      <c r="F48" s="436">
        <f>F30</f>
        <v>0.056</v>
      </c>
      <c r="G48" s="434" t="s">
        <v>1088</v>
      </c>
    </row>
    <row r="49" ht="16.5" customHeight="1" spans="1:7">
      <c r="A49" s="401" t="s">
        <v>1065</v>
      </c>
      <c r="B49" s="402" t="s">
        <v>1105</v>
      </c>
      <c r="C49" s="429">
        <f ca="1">ROUND((C33+C39+C41+C45)/(1-C40-D41-D45-C48),0)</f>
        <v>434747087</v>
      </c>
      <c r="D49" s="429"/>
      <c r="E49" s="429"/>
      <c r="F49" s="467"/>
      <c r="G49" s="434" t="s">
        <v>1090</v>
      </c>
    </row>
    <row r="50" s="385" customFormat="1" ht="13" spans="1:7">
      <c r="A50" s="401" t="s">
        <v>1091</v>
      </c>
      <c r="B50" s="402" t="s">
        <v>1092</v>
      </c>
      <c r="C50" s="429"/>
      <c r="D50" s="429"/>
      <c r="E50" s="429"/>
      <c r="F50" s="467">
        <f>IF('数据-取费表'!B24=0,'数据-取费表'!N16,1)</f>
        <v>1</v>
      </c>
      <c r="G50" s="448"/>
    </row>
    <row r="51" ht="16.5" customHeight="1" spans="1:7">
      <c r="A51" s="401" t="s">
        <v>1094</v>
      </c>
      <c r="B51" s="402" t="s">
        <v>1106</v>
      </c>
      <c r="C51" s="429">
        <f ca="1">ROUND(C49*F50,0)</f>
        <v>434747087</v>
      </c>
      <c r="D51" s="429"/>
      <c r="E51" s="429"/>
      <c r="F51" s="467"/>
      <c r="G51" s="434" t="s">
        <v>1096</v>
      </c>
    </row>
    <row r="52" s="382" customFormat="1" ht="16.25" spans="1:7">
      <c r="A52" s="468" t="s">
        <v>1097</v>
      </c>
      <c r="B52" s="469"/>
      <c r="C52" s="470">
        <f ca="1">C31+C51</f>
        <v>461671160</v>
      </c>
      <c r="D52" s="469"/>
      <c r="E52" s="469"/>
      <c r="F52" s="469"/>
      <c r="G52" s="471"/>
    </row>
    <row r="55" ht="15.5" spans="2:3">
      <c r="B55" s="472" t="s">
        <v>1098</v>
      </c>
      <c r="C55" s="473"/>
    </row>
    <row r="56" ht="13" spans="2:3">
      <c r="B56" s="474" t="s">
        <v>1099</v>
      </c>
      <c r="C56" s="476">
        <f ca="1">1-C57</f>
        <v>0.0580000000000001</v>
      </c>
    </row>
    <row r="57" ht="13" spans="2:3">
      <c r="B57" s="474" t="s">
        <v>1100</v>
      </c>
      <c r="C57" s="475">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7" sqref="E37"/>
    </sheetView>
  </sheetViews>
  <sheetFormatPr defaultColWidth="12" defaultRowHeight="12.5"/>
  <cols>
    <col min="1" max="1" width="9.75454545454545" style="2100" customWidth="1"/>
    <col min="2" max="2" width="22.5" style="2101" customWidth="1"/>
    <col min="3" max="3" width="12" style="2102"/>
    <col min="4" max="4" width="14.8727272727273" style="2102" customWidth="1"/>
    <col min="5" max="5" width="14.6272727272727" style="2102" customWidth="1"/>
    <col min="6" max="8" width="12" style="2102"/>
    <col min="9" max="9" width="12.2545454545455" style="2102" customWidth="1"/>
    <col min="10" max="10" width="12" style="2102"/>
    <col min="11" max="11" width="8.12727272727273" style="2103" customWidth="1"/>
    <col min="12" max="12" width="19.5" style="2102" customWidth="1"/>
    <col min="13" max="13" width="8.5" style="2102" customWidth="1"/>
    <col min="14" max="14" width="9.75454545454545" style="2102" customWidth="1"/>
    <col min="15" max="25" width="12" style="2102"/>
    <col min="26" max="26" width="9.37272727272727" style="2100" customWidth="1"/>
    <col min="27" max="32" width="9.37272727272727" style="2104" customWidth="1"/>
    <col min="33" max="36" width="9.37272727272727" style="2100" customWidth="1"/>
    <col min="37" max="38" width="9.37272727272727" style="2102" customWidth="1"/>
    <col min="39" max="16384" width="12" style="2102"/>
  </cols>
  <sheetData>
    <row r="1" ht="30" spans="1:36">
      <c r="A1" s="389" t="s">
        <v>1107</v>
      </c>
      <c r="B1" s="390"/>
      <c r="C1" s="393" t="s">
        <v>1108</v>
      </c>
      <c r="D1" s="1955">
        <f>SUM(D33:D34,D37:D42)</f>
        <v>56121.31</v>
      </c>
      <c r="E1" s="2105"/>
      <c r="F1" s="2105"/>
      <c r="G1" s="2105"/>
      <c r="H1" s="2105"/>
      <c r="I1" s="2105"/>
      <c r="J1" s="2105"/>
      <c r="K1" s="2098"/>
      <c r="L1" s="2309" t="s">
        <v>1109</v>
      </c>
      <c r="M1" s="2310">
        <f>SUMPRODUCT((区片价!B5:B9=I2)*(区片价!C3:G3=E2)*(区片价!C5:G9))</f>
        <v>0</v>
      </c>
      <c r="N1" s="2311">
        <f>SUMPRODUCT((因素修正幅度!B5:B9=I2)*(因素修正幅度!C3:G3=E2)*(因素修正幅度!C5:G9))</f>
        <v>0</v>
      </c>
      <c r="O1" s="2099"/>
      <c r="P1" s="2099"/>
      <c r="Q1" s="2098"/>
      <c r="R1" s="2402" t="s">
        <v>1110</v>
      </c>
      <c r="S1" s="2402" t="s">
        <v>1111</v>
      </c>
      <c r="T1" s="2402" t="s">
        <v>1112</v>
      </c>
      <c r="U1" s="2402" t="s">
        <v>1113</v>
      </c>
      <c r="V1" s="2402" t="s">
        <v>1114</v>
      </c>
      <c r="W1" s="2403"/>
      <c r="X1" s="2403"/>
      <c r="Y1" s="2403"/>
      <c r="Z1" s="2403"/>
      <c r="AA1" s="2403"/>
      <c r="AB1" s="2403"/>
      <c r="AC1" s="2416"/>
      <c r="AD1" s="2417"/>
      <c r="AE1" s="2417"/>
      <c r="AF1" s="2417"/>
      <c r="AG1" s="2417"/>
      <c r="AH1" s="2417"/>
      <c r="AI1" s="2417"/>
      <c r="AJ1" s="2426"/>
    </row>
    <row r="2" ht="15.5" spans="1:36">
      <c r="A2" s="393" t="s">
        <v>1003</v>
      </c>
      <c r="B2" s="397" t="e">
        <f>C30</f>
        <v>#DIV/0!</v>
      </c>
      <c r="C2" s="2106" t="s">
        <v>1004</v>
      </c>
      <c r="D2" s="2107" t="s">
        <v>1115</v>
      </c>
      <c r="E2" s="2108" t="s">
        <v>412</v>
      </c>
      <c r="F2" s="2107" t="s">
        <v>1116</v>
      </c>
      <c r="G2" s="2109">
        <f>IF(E2="商业",项目基本情况!B37,IF(E2="办公",项目基本情况!C37,IF(E2="住宅",项目基本情况!D37,IF(E2="工业",项目基本情况!E37,项目基本情况!F37))))</f>
        <v>0</v>
      </c>
      <c r="H2" s="2107" t="s">
        <v>1117</v>
      </c>
      <c r="I2" s="2109">
        <f>IF(E2="商业",项目基本情况!B38,IF(E2="办公",项目基本情况!C38,IF(E2="住宅",项目基本情况!D38,IF(E2="工业",项目基本情况!E38,项目基本情况!F38))))</f>
        <v>0</v>
      </c>
      <c r="J2" s="2312"/>
      <c r="K2" s="2098"/>
      <c r="L2" s="2313" t="s">
        <v>1118</v>
      </c>
      <c r="M2" s="2314">
        <f>SUMPRODUCT((区片价!B10:B29=I2)*(区片价!C3:G3=E2)*(区片价!C10:G29))</f>
        <v>0</v>
      </c>
      <c r="N2" s="2311">
        <f>SUMPRODUCT((因素修正幅度!B10:B29=I2)*(因素修正幅度!C3:G3=E2)*(因素修正幅度!C10:G29))</f>
        <v>0</v>
      </c>
      <c r="O2" s="2098"/>
      <c r="P2" s="2098"/>
      <c r="Q2" s="2098"/>
      <c r="R2" s="2402">
        <v>1</v>
      </c>
      <c r="S2" s="2404">
        <f>ROUND(SUMPRODUCT((B106:B110=R2)*(C105:N105=G2)*(C106:N110)),4)</f>
        <v>0</v>
      </c>
      <c r="T2" s="2404" t="e">
        <f t="shared" ref="T2:T16" si="0">ROUND($C$5*$C$22*$C$23*$C$24*S2*$C$28,0)</f>
        <v>#DIV/0!</v>
      </c>
      <c r="U2" s="2405"/>
      <c r="V2" s="2404" t="e">
        <f>ROUND(T2*U2/10000,0)</f>
        <v>#DIV/0!</v>
      </c>
      <c r="W2" s="2403"/>
      <c r="X2" s="2403"/>
      <c r="Y2" s="2403"/>
      <c r="Z2" s="2403"/>
      <c r="AA2" s="2403"/>
      <c r="AB2" s="2403"/>
      <c r="AC2" s="2416"/>
      <c r="AD2" s="2417"/>
      <c r="AE2" s="2417"/>
      <c r="AF2" s="2417"/>
      <c r="AG2" s="2417"/>
      <c r="AH2" s="2417"/>
      <c r="AI2" s="2417"/>
      <c r="AJ2" s="2426"/>
    </row>
    <row r="3" ht="15.5" spans="1:36">
      <c r="A3" s="396" t="s">
        <v>1005</v>
      </c>
      <c r="B3" s="397" t="e">
        <f>ROUND(B2*10000/D1,0)</f>
        <v>#DIV/0!</v>
      </c>
      <c r="C3" s="2106" t="s">
        <v>1006</v>
      </c>
      <c r="D3" s="2107" t="s">
        <v>1119</v>
      </c>
      <c r="E3" s="2110" t="s">
        <v>1120</v>
      </c>
      <c r="F3" s="2111" t="s">
        <v>1121</v>
      </c>
      <c r="G3" s="2112">
        <f>IF(F3="宗地容积率",'数据-汇总表'!I4,IF(F3="估价对象容积率",'数据-汇总表'!I6,'数据-汇总表'!I7))</f>
        <v>4.82</v>
      </c>
      <c r="H3" s="2113" t="s">
        <v>1122</v>
      </c>
      <c r="I3" s="2315"/>
      <c r="J3" s="2312" t="s">
        <v>1123</v>
      </c>
      <c r="K3" s="2098"/>
      <c r="L3" s="2313" t="s">
        <v>1124</v>
      </c>
      <c r="M3" s="2314">
        <f>SUMPRODUCT((区片价!B30:B54=I2)*(区片价!C3:G3=E2)*(区片价!C30:G54))</f>
        <v>0</v>
      </c>
      <c r="N3" s="2311">
        <f>SUMPRODUCT((因素修正幅度!B30:B54=I2)*(因素修正幅度!C3:G3=E2)*(因素修正幅度!C30:G54))</f>
        <v>0</v>
      </c>
      <c r="O3" s="2098"/>
      <c r="P3" s="2098"/>
      <c r="Q3" s="2098"/>
      <c r="R3" s="2402">
        <v>2</v>
      </c>
      <c r="S3" s="2404">
        <f>ROUND(SUMPRODUCT((B106:B110=R3)*(C105:N105=G2)*(C106:N110)),4)</f>
        <v>0</v>
      </c>
      <c r="T3" s="2404" t="e">
        <f t="shared" si="0"/>
        <v>#DIV/0!</v>
      </c>
      <c r="U3" s="2405"/>
      <c r="V3" s="2404" t="e">
        <f t="shared" ref="V3:V16" si="1">ROUND(T3*U3/10000,0)</f>
        <v>#DIV/0!</v>
      </c>
      <c r="W3" s="2403"/>
      <c r="X3" s="2403"/>
      <c r="Y3" s="2403"/>
      <c r="Z3" s="2403"/>
      <c r="AA3" s="2403"/>
      <c r="AB3" s="2403"/>
      <c r="AC3" s="2416"/>
      <c r="AD3" s="2417"/>
      <c r="AE3" s="2417"/>
      <c r="AF3" s="2417"/>
      <c r="AG3" s="2417"/>
      <c r="AH3" s="2417"/>
      <c r="AI3" s="2417"/>
      <c r="AJ3" s="2426"/>
    </row>
    <row r="4" ht="15.5" spans="1:36">
      <c r="A4" s="2114"/>
      <c r="B4" s="2115"/>
      <c r="C4" s="2115"/>
      <c r="D4" s="2116"/>
      <c r="E4" s="2116"/>
      <c r="F4" s="2116"/>
      <c r="G4" s="2116"/>
      <c r="H4" s="2116"/>
      <c r="I4" s="2116"/>
      <c r="J4" s="2316"/>
      <c r="K4" s="2098"/>
      <c r="L4" s="2313" t="s">
        <v>1125</v>
      </c>
      <c r="M4" s="2314">
        <f>SUMPRODUCT((区片价!B55:B86=I2)*(区片价!C3:G3=E2)*(区片价!C55:G86))</f>
        <v>0</v>
      </c>
      <c r="N4" s="2311">
        <f>SUMPRODUCT((因素修正幅度!B55:B86=I2)*(因素修正幅度!C3:G3=E2)*(因素修正幅度!C55:G86))</f>
        <v>0</v>
      </c>
      <c r="O4" s="2098"/>
      <c r="P4" s="2098"/>
      <c r="Q4" s="2098"/>
      <c r="R4" s="2402">
        <v>3</v>
      </c>
      <c r="S4" s="2404">
        <f>ROUND(SUMPRODUCT((B106:B110=R4)*(C105:N105=G2)*(C106:N110)),4)</f>
        <v>0</v>
      </c>
      <c r="T4" s="2404" t="e">
        <f t="shared" si="0"/>
        <v>#DIV/0!</v>
      </c>
      <c r="U4" s="2405"/>
      <c r="V4" s="2404" t="e">
        <f t="shared" si="1"/>
        <v>#DIV/0!</v>
      </c>
      <c r="W4" s="2403"/>
      <c r="X4" s="2403"/>
      <c r="Y4" s="2403"/>
      <c r="Z4" s="2403"/>
      <c r="AA4" s="2403"/>
      <c r="AB4" s="2403"/>
      <c r="AC4" s="2416"/>
      <c r="AD4" s="2417"/>
      <c r="AE4" s="2417"/>
      <c r="AF4" s="2417"/>
      <c r="AG4" s="2417"/>
      <c r="AH4" s="2417"/>
      <c r="AI4" s="2417"/>
      <c r="AJ4" s="2426"/>
    </row>
    <row r="5" s="2097" customFormat="1" ht="16.25" spans="1:36">
      <c r="A5" s="2117" t="s">
        <v>909</v>
      </c>
      <c r="B5" s="2118" t="s">
        <v>1126</v>
      </c>
      <c r="C5" s="2119" t="e">
        <f>ROUND(IF(E2="商业",C6*C7*C17+C20,(IF(E2="住宅",C6*C13*C17+C20,IF(E2="办公",C6*C12*C17+C20,C6+C20)))),0)</f>
        <v>#DIV/0!</v>
      </c>
      <c r="D5" s="2120" t="e">
        <f>ROUND(C6*C17+C20,0)</f>
        <v>#DIV/0!</v>
      </c>
      <c r="E5" s="2120"/>
      <c r="F5" s="2121"/>
      <c r="G5" s="2122"/>
      <c r="H5" s="2122"/>
      <c r="I5" s="2122"/>
      <c r="J5" s="2317"/>
      <c r="K5" s="2318"/>
      <c r="L5" s="2313" t="s">
        <v>1127</v>
      </c>
      <c r="M5" s="2314">
        <f>SUMPRODUCT((区片价!B87:B126=I2)*(区片价!C3:G3=E2)*(区片价!C87:G126))</f>
        <v>0</v>
      </c>
      <c r="N5" s="2311">
        <f>SUMPRODUCT((因素修正幅度!B87:B126=I2)*(因素修正幅度!C3:G3=E2)*(因素修正幅度!C87:G126))</f>
        <v>0</v>
      </c>
      <c r="O5" s="2098"/>
      <c r="P5" s="2098"/>
      <c r="Q5" s="2098"/>
      <c r="R5" s="2402">
        <v>4</v>
      </c>
      <c r="S5" s="2404">
        <f>ROUND(SUMPRODUCT((B106:B110=R5)*(C105:N105=G2)*(C106:N110)),4)</f>
        <v>0</v>
      </c>
      <c r="T5" s="2404" t="e">
        <f t="shared" si="0"/>
        <v>#DIV/0!</v>
      </c>
      <c r="U5" s="2405"/>
      <c r="V5" s="2404" t="e">
        <f t="shared" si="1"/>
        <v>#DIV/0!</v>
      </c>
      <c r="W5" s="2403"/>
      <c r="X5" s="2403"/>
      <c r="Y5" s="2403"/>
      <c r="Z5" s="2403"/>
      <c r="AA5" s="2403"/>
      <c r="AB5" s="2403"/>
      <c r="AC5" s="2418"/>
      <c r="AD5" s="2419"/>
      <c r="AE5" s="2419"/>
      <c r="AF5" s="2419"/>
      <c r="AG5" s="2419"/>
      <c r="AH5" s="2419"/>
      <c r="AI5" s="2419"/>
      <c r="AJ5" s="2427"/>
    </row>
    <row r="6" ht="16.25" spans="1:36">
      <c r="A6" s="2123" t="s">
        <v>1008</v>
      </c>
      <c r="B6" s="2124" t="s">
        <v>1128</v>
      </c>
      <c r="C6" s="2125">
        <f>SUMIF(L1:L12,G2,M1:M12)</f>
        <v>0</v>
      </c>
      <c r="D6" s="2126"/>
      <c r="E6" s="2127"/>
      <c r="F6" s="2127"/>
      <c r="G6" s="2128"/>
      <c r="H6" s="2128"/>
      <c r="I6" s="2128"/>
      <c r="J6" s="2319"/>
      <c r="K6" s="1675"/>
      <c r="L6" s="2313" t="s">
        <v>1129</v>
      </c>
      <c r="M6" s="2314">
        <f>SUMPRODUCT((区片价!B127:B189=I2)*(区片价!C3:G3=E2)*(区片价!C127:G189))</f>
        <v>0</v>
      </c>
      <c r="N6" s="2311">
        <f>SUMPRODUCT((因素修正幅度!B127:B189=I2)*(因素修正幅度!C3:G3=E2)*(因素修正幅度!C127:G189))</f>
        <v>0</v>
      </c>
      <c r="O6" s="2098"/>
      <c r="P6" s="2098"/>
      <c r="Q6" s="2098"/>
      <c r="R6" s="2402">
        <v>5</v>
      </c>
      <c r="S6" s="2404">
        <f>ROUND(SUMPRODUCT((B106:B110=R6)*(C105:N105=G2)*(C106:N110)),4)</f>
        <v>0</v>
      </c>
      <c r="T6" s="2404" t="e">
        <f t="shared" si="0"/>
        <v>#DIV/0!</v>
      </c>
      <c r="U6" s="2405"/>
      <c r="V6" s="2404" t="e">
        <f t="shared" si="1"/>
        <v>#DIV/0!</v>
      </c>
      <c r="W6" s="2403"/>
      <c r="X6" s="2403"/>
      <c r="Y6" s="2403"/>
      <c r="Z6" s="2403"/>
      <c r="AA6" s="2403"/>
      <c r="AB6" s="2403"/>
      <c r="AC6" s="2418"/>
      <c r="AD6" s="2419"/>
      <c r="AE6" s="2419"/>
      <c r="AF6" s="2419"/>
      <c r="AG6" s="2419"/>
      <c r="AH6" s="2419"/>
      <c r="AI6" s="2419"/>
      <c r="AJ6" s="2427"/>
    </row>
    <row r="7" ht="26.75" hidden="1" spans="1:36">
      <c r="A7" s="2129" t="s">
        <v>1130</v>
      </c>
      <c r="B7" s="2130" t="s">
        <v>1131</v>
      </c>
      <c r="C7" s="2131" t="e">
        <f>IF(C8="不临65条商业街",1,ROUND(1+(1.6*E8+1.2*E9+0.8*E10+0.4*E11)*C9,4))</f>
        <v>#DIV/0!</v>
      </c>
      <c r="D7" s="2132" t="s">
        <v>1132</v>
      </c>
      <c r="E7" s="2133"/>
      <c r="F7" s="2134"/>
      <c r="G7" s="2135"/>
      <c r="H7" s="2135"/>
      <c r="I7" s="2135"/>
      <c r="J7" s="2320"/>
      <c r="K7" s="1675"/>
      <c r="L7" s="2313" t="s">
        <v>1133</v>
      </c>
      <c r="M7" s="2314">
        <f>SUMPRODUCT((区片价!B190:B233=I2)*(区片价!C3:G3=E2)*(区片价!C190:G233))</f>
        <v>0</v>
      </c>
      <c r="N7" s="2311">
        <f>SUMPRODUCT((因素修正幅度!B190:B233=I2)*(因素修正幅度!C3:G3=E2)*(因素修正幅度!C190:G233))</f>
        <v>0</v>
      </c>
      <c r="O7" s="2098"/>
      <c r="P7" s="2098"/>
      <c r="Q7" s="2098"/>
      <c r="R7" s="2402">
        <v>6</v>
      </c>
      <c r="S7" s="2406"/>
      <c r="T7" s="2404" t="e">
        <f t="shared" si="0"/>
        <v>#DIV/0!</v>
      </c>
      <c r="U7" s="2405"/>
      <c r="V7" s="2404" t="e">
        <f t="shared" si="1"/>
        <v>#DIV/0!</v>
      </c>
      <c r="W7" s="2407" t="s">
        <v>1134</v>
      </c>
      <c r="X7" s="2408">
        <f>G2</f>
        <v>0</v>
      </c>
      <c r="Y7" s="2408" t="s">
        <v>1135</v>
      </c>
      <c r="Z7" s="2420">
        <f>G3</f>
        <v>4.82</v>
      </c>
      <c r="AA7" s="2403"/>
      <c r="AB7" s="2403"/>
      <c r="AC7" s="2416"/>
      <c r="AD7" s="2417"/>
      <c r="AE7" s="2417"/>
      <c r="AF7" s="2417"/>
      <c r="AG7" s="2417"/>
      <c r="AH7" s="2417"/>
      <c r="AI7" s="2417"/>
      <c r="AJ7" s="2426"/>
    </row>
    <row r="8" ht="15.5" hidden="1" spans="1:36">
      <c r="A8" s="2136"/>
      <c r="B8" s="2113" t="s">
        <v>1136</v>
      </c>
      <c r="C8" s="2137"/>
      <c r="D8" s="2138" t="s">
        <v>1137</v>
      </c>
      <c r="E8" s="2139" t="e">
        <f>ROUND(C11/E7,4)</f>
        <v>#DIV/0!</v>
      </c>
      <c r="F8" s="2140" t="s">
        <v>1138</v>
      </c>
      <c r="G8" s="2141"/>
      <c r="H8" s="2141"/>
      <c r="I8" s="2141"/>
      <c r="J8" s="2321"/>
      <c r="K8" s="2098"/>
      <c r="L8" s="2313" t="s">
        <v>1139</v>
      </c>
      <c r="M8" s="2314">
        <f>SUMPRODUCT((区片价!B234:B276=I2)*(区片价!C3:G3=E2)*(区片价!C234:G276))</f>
        <v>0</v>
      </c>
      <c r="N8" s="2311">
        <f>SUMPRODUCT((因素修正幅度!B234:B276=I2)*(因素修正幅度!C3:G3=E2)*(因素修正幅度!C234:G276))</f>
        <v>0</v>
      </c>
      <c r="O8" s="2098"/>
      <c r="P8" s="2098"/>
      <c r="Q8" s="2098"/>
      <c r="R8" s="2402">
        <v>7</v>
      </c>
      <c r="S8" s="2405"/>
      <c r="T8" s="2404" t="e">
        <f t="shared" si="0"/>
        <v>#DIV/0!</v>
      </c>
      <c r="U8" s="2405"/>
      <c r="V8" s="2404" t="e">
        <f t="shared" si="1"/>
        <v>#DIV/0!</v>
      </c>
      <c r="W8" s="2409" t="s">
        <v>1140</v>
      </c>
      <c r="X8" s="2410"/>
      <c r="Y8" s="2421" t="s">
        <v>1141</v>
      </c>
      <c r="Z8" s="2421" t="s">
        <v>1142</v>
      </c>
      <c r="AA8" s="2421" t="s">
        <v>1143</v>
      </c>
      <c r="AB8" s="2421" t="s">
        <v>1144</v>
      </c>
      <c r="AC8" s="2421" t="s">
        <v>1145</v>
      </c>
      <c r="AD8" s="2421" t="s">
        <v>1146</v>
      </c>
      <c r="AE8" s="2421" t="s">
        <v>1147</v>
      </c>
      <c r="AF8" s="2421" t="s">
        <v>1148</v>
      </c>
      <c r="AG8" s="2421" t="s">
        <v>1149</v>
      </c>
      <c r="AH8" s="2421" t="s">
        <v>1150</v>
      </c>
      <c r="AI8" s="2421" t="s">
        <v>1151</v>
      </c>
      <c r="AJ8" s="2421" t="s">
        <v>1152</v>
      </c>
    </row>
    <row r="9" ht="15.5" hidden="1" spans="1:36">
      <c r="A9" s="2136"/>
      <c r="B9" s="2113" t="s">
        <v>1153</v>
      </c>
      <c r="C9" s="2142">
        <f>SUMIF(修正!C71:C138,C8,修正!E71:E138)</f>
        <v>0</v>
      </c>
      <c r="D9" s="865" t="s">
        <v>1154</v>
      </c>
      <c r="E9" s="865" t="e">
        <f>ROUND(C11/E7,4)</f>
        <v>#DIV/0!</v>
      </c>
      <c r="F9" s="2140" t="s">
        <v>1155</v>
      </c>
      <c r="G9" s="2141"/>
      <c r="H9" s="2141"/>
      <c r="I9" s="2141"/>
      <c r="J9" s="2321"/>
      <c r="K9" s="2098"/>
      <c r="L9" s="2313" t="s">
        <v>1156</v>
      </c>
      <c r="M9" s="2314">
        <f>SUMPRODUCT((区片价!B277:B326=I2)*(区片价!C3:G3=E2)*(区片价!C277:G326))</f>
        <v>0</v>
      </c>
      <c r="N9" s="2311">
        <f>SUMPRODUCT((因素修正幅度!B277:B326=I2)*(因素修正幅度!C3:G3=E2)*(因素修正幅度!C277:G326))</f>
        <v>0</v>
      </c>
      <c r="O9" s="2098"/>
      <c r="P9" s="2098"/>
      <c r="Q9" s="2098"/>
      <c r="R9" s="2402">
        <v>8</v>
      </c>
      <c r="S9" s="2405"/>
      <c r="T9" s="2404" t="e">
        <f t="shared" si="0"/>
        <v>#DIV/0!</v>
      </c>
      <c r="U9" s="2405"/>
      <c r="V9" s="2404" t="e">
        <f t="shared" si="1"/>
        <v>#DIV/0!</v>
      </c>
      <c r="W9" s="2407"/>
      <c r="X9" s="2411" t="s">
        <v>1157</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ht="15.5" hidden="1" spans="1:36">
      <c r="A10" s="2136"/>
      <c r="B10" s="2113" t="s">
        <v>1158</v>
      </c>
      <c r="C10" s="865">
        <f>SUMIF(修正!C71:C138,C8,修正!F71:F138)</f>
        <v>0</v>
      </c>
      <c r="D10" s="865" t="s">
        <v>1159</v>
      </c>
      <c r="E10" s="865" t="e">
        <f>ROUND(C11/E7,4)</f>
        <v>#DIV/0!</v>
      </c>
      <c r="F10" s="2140" t="s">
        <v>1160</v>
      </c>
      <c r="G10" s="2141"/>
      <c r="H10" s="2141"/>
      <c r="I10" s="2141"/>
      <c r="J10" s="2321"/>
      <c r="K10" s="2098"/>
      <c r="L10" s="2313" t="s">
        <v>1161</v>
      </c>
      <c r="M10" s="2314">
        <f>SUMPRODUCT((区片价!B327:B357=I2)*(区片价!C3:G3=E2)*(区片价!C327:G357))</f>
        <v>0</v>
      </c>
      <c r="N10" s="2311">
        <f>SUMPRODUCT((因素修正幅度!B327:B357=I2)*(因素修正幅度!C3:G3=E2)*(因素修正幅度!C327:G357))</f>
        <v>0</v>
      </c>
      <c r="O10" s="2098"/>
      <c r="P10" s="2098"/>
      <c r="Q10" s="2098"/>
      <c r="R10" s="2402">
        <v>9</v>
      </c>
      <c r="S10" s="2405"/>
      <c r="T10" s="2404" t="e">
        <f t="shared" si="0"/>
        <v>#DIV/0!</v>
      </c>
      <c r="U10" s="2405"/>
      <c r="V10" s="2404" t="e">
        <f t="shared" si="1"/>
        <v>#DIV/0!</v>
      </c>
      <c r="W10" s="2407"/>
      <c r="X10" s="2411">
        <v>6</v>
      </c>
      <c r="Y10" s="2424">
        <f>ROUND((-0.5556*(Y9^2)-0.2719*Y9+8944)*(10^(-4)),4)</f>
        <v>0.8922</v>
      </c>
      <c r="Z10" s="2424">
        <f>ROUND((-0.5556*(Z9^2)-0.2719*Z9+8944)*(10^(-4)),4)</f>
        <v>0.8922</v>
      </c>
      <c r="AA10" s="2424">
        <f>ROUND((-0.7912*(AA9^2)-11.3794*AA9+8482)*(10^(-4)),4)</f>
        <v>0.8385</v>
      </c>
      <c r="AB10" s="2424">
        <f>ROUND((-0.7912*(AB9^2)-11.3794*AB9+8482)*(10^(-4)),4)</f>
        <v>0.8385</v>
      </c>
      <c r="AC10" s="2424">
        <f>ROUND((-0.7912*(AC9^2)-11.3794*AC9+8482)*(10^(-4)),4)</f>
        <v>0.8385</v>
      </c>
      <c r="AD10" s="2424">
        <f>ROUND((-0.7912*(AD9^2)-11.3794*AD9+8482)*(10^(-4)),4)</f>
        <v>0.8385</v>
      </c>
      <c r="AE10" s="2424">
        <f>ROUND((-0.7912*(AE9^2)-11.3794*AE9+8482)*(10^(-4)),4)</f>
        <v>0.8385</v>
      </c>
      <c r="AF10" s="2424">
        <f>ROUND((-0.989*(AF9^2)-63.78*AF9+7771)*(10^(-4)),4)</f>
        <v>0.7353</v>
      </c>
      <c r="AG10" s="2424">
        <f>ROUND((-0.989*(AG9^2)-63.78*AG9+7771)*(10^(-4)),4)</f>
        <v>0.7353</v>
      </c>
      <c r="AH10" s="2424">
        <f>ROUND((-0.989*(AH9^2)-63.78*AH9+7771)*(10^(-4)),4)</f>
        <v>0.7353</v>
      </c>
      <c r="AI10" s="2424">
        <f>ROUND((-0.989*(AI9^2)-63.78*AI9+7771)*(10^(-4)),4)</f>
        <v>0.7353</v>
      </c>
      <c r="AJ10" s="2424">
        <f>ROUND((-0.989*(AJ9^2)-63.78*AJ9+7771)*(10^(-4)),4)</f>
        <v>0.7353</v>
      </c>
    </row>
    <row r="11" ht="16.25" hidden="1" spans="1:36">
      <c r="A11" s="2143"/>
      <c r="B11" s="2144" t="s">
        <v>1162</v>
      </c>
      <c r="C11" s="2145">
        <f>C10/4</f>
        <v>0</v>
      </c>
      <c r="D11" s="2145" t="s">
        <v>1163</v>
      </c>
      <c r="E11" s="2145" t="e">
        <f>ROUND(C11/E7,4)</f>
        <v>#DIV/0!</v>
      </c>
      <c r="F11" s="2146" t="s">
        <v>1164</v>
      </c>
      <c r="G11" s="2147"/>
      <c r="H11" s="2147"/>
      <c r="I11" s="2147"/>
      <c r="J11" s="2322"/>
      <c r="K11" s="2098"/>
      <c r="L11" s="2313" t="s">
        <v>1165</v>
      </c>
      <c r="M11" s="2314">
        <f>SUMPRODUCT((区片价!B358:B377=I2)*(区片价!C3:G3=E2)*(区片价!C358:G377))</f>
        <v>0</v>
      </c>
      <c r="N11" s="2311">
        <f>SUMPRODUCT((因素修正幅度!B358:B377=I2)*(因素修正幅度!C3:G3=E2)*(因素修正幅度!C358:G377))</f>
        <v>0</v>
      </c>
      <c r="O11" s="2098"/>
      <c r="P11" s="2098"/>
      <c r="Q11" s="2098"/>
      <c r="R11" s="2402">
        <v>10</v>
      </c>
      <c r="S11" s="2405"/>
      <c r="T11" s="2404" t="e">
        <f t="shared" si="0"/>
        <v>#DIV/0!</v>
      </c>
      <c r="U11" s="2405"/>
      <c r="V11" s="2404" t="e">
        <f t="shared" si="1"/>
        <v>#DIV/0!</v>
      </c>
      <c r="W11" s="2403"/>
      <c r="X11" s="2403"/>
      <c r="Y11" s="2403"/>
      <c r="Z11" s="2403"/>
      <c r="AA11" s="2403"/>
      <c r="AB11" s="2403"/>
      <c r="AC11" s="2416"/>
      <c r="AD11" s="2425"/>
      <c r="AE11" s="2425"/>
      <c r="AF11" s="2425"/>
      <c r="AG11" s="2425"/>
      <c r="AH11" s="2425"/>
      <c r="AI11" s="2425"/>
      <c r="AJ11" s="2428"/>
    </row>
    <row r="12" ht="26.75" hidden="1" spans="1:36">
      <c r="A12" s="2129" t="s">
        <v>1166</v>
      </c>
      <c r="B12" s="2148" t="s">
        <v>1167</v>
      </c>
      <c r="C12" s="2149"/>
      <c r="D12" s="2150" t="s">
        <v>1168</v>
      </c>
      <c r="E12" s="2151" t="s">
        <v>1169</v>
      </c>
      <c r="F12" s="2152"/>
      <c r="G12" s="2153"/>
      <c r="H12" s="2153"/>
      <c r="I12" s="2153"/>
      <c r="J12" s="2323"/>
      <c r="K12" s="2098"/>
      <c r="L12" s="2324" t="s">
        <v>1170</v>
      </c>
      <c r="M12" s="2325">
        <f>SUMPRODUCT((区片价!B378:B384=I2)*(区片价!C3:G3=E2)*(区片价!C378:G384))</f>
        <v>0</v>
      </c>
      <c r="N12" s="2311">
        <f>SUMPRODUCT((因素修正幅度!B378:B384=I2)*(因素修正幅度!C3:G3=E2)*(因素修正幅度!C378:G384))</f>
        <v>0</v>
      </c>
      <c r="O12" s="2098"/>
      <c r="P12" s="2098"/>
      <c r="Q12" s="2098"/>
      <c r="R12" s="2402">
        <v>11</v>
      </c>
      <c r="S12" s="2405"/>
      <c r="T12" s="2404" t="e">
        <f t="shared" si="0"/>
        <v>#DIV/0!</v>
      </c>
      <c r="U12" s="2405"/>
      <c r="V12" s="2404" t="e">
        <f t="shared" si="1"/>
        <v>#DIV/0!</v>
      </c>
      <c r="W12" s="2403"/>
      <c r="X12" s="2403"/>
      <c r="Y12" s="2403"/>
      <c r="Z12" s="2403"/>
      <c r="AA12" s="2403"/>
      <c r="AB12" s="2403"/>
      <c r="AC12" s="2416"/>
      <c r="AD12" s="2425"/>
      <c r="AE12" s="2425"/>
      <c r="AF12" s="2425"/>
      <c r="AG12" s="2425"/>
      <c r="AH12" s="2425"/>
      <c r="AI12" s="2425"/>
      <c r="AJ12" s="2428"/>
    </row>
    <row r="13" ht="26.75" spans="1:36">
      <c r="A13" s="2129" t="s">
        <v>1171</v>
      </c>
      <c r="B13" s="2154" t="s">
        <v>1172</v>
      </c>
      <c r="C13" s="2131">
        <f>ROUND(C16*D16*E16*F16*G16*H16*I16*J16,4)</f>
        <v>1</v>
      </c>
      <c r="D13" s="2155" t="s">
        <v>1173</v>
      </c>
      <c r="E13" s="2156"/>
      <c r="F13" s="2156"/>
      <c r="G13" s="2157"/>
      <c r="H13" s="2157"/>
      <c r="I13" s="2157"/>
      <c r="J13" s="2326"/>
      <c r="K13" s="2098"/>
      <c r="L13" s="2327"/>
      <c r="M13" s="2328"/>
      <c r="N13" s="2329"/>
      <c r="O13" s="2098"/>
      <c r="P13" s="2098"/>
      <c r="Q13" s="2098"/>
      <c r="R13" s="2402">
        <v>12</v>
      </c>
      <c r="S13" s="2405"/>
      <c r="T13" s="2404" t="e">
        <f t="shared" si="0"/>
        <v>#DIV/0!</v>
      </c>
      <c r="U13" s="2405"/>
      <c r="V13" s="2404" t="e">
        <f t="shared" si="1"/>
        <v>#DIV/0!</v>
      </c>
      <c r="W13" s="2403"/>
      <c r="X13" s="2403"/>
      <c r="Y13" s="2403"/>
      <c r="Z13" s="2403"/>
      <c r="AA13" s="2403"/>
      <c r="AB13" s="2403"/>
      <c r="AC13" s="2416"/>
      <c r="AD13" s="2425"/>
      <c r="AE13" s="2425"/>
      <c r="AF13" s="2425"/>
      <c r="AG13" s="2425"/>
      <c r="AH13" s="2425"/>
      <c r="AI13" s="2425"/>
      <c r="AJ13" s="2428"/>
    </row>
    <row r="14" ht="26" spans="1:36">
      <c r="A14" s="2158"/>
      <c r="B14" s="2159" t="s">
        <v>1174</v>
      </c>
      <c r="C14" s="2160" t="s">
        <v>1175</v>
      </c>
      <c r="D14" s="2161" t="s">
        <v>1176</v>
      </c>
      <c r="E14" s="2162" t="s">
        <v>1177</v>
      </c>
      <c r="F14" s="2163" t="s">
        <v>1178</v>
      </c>
      <c r="G14" s="2163" t="s">
        <v>1178</v>
      </c>
      <c r="H14" s="2163" t="s">
        <v>1178</v>
      </c>
      <c r="I14" s="2163" t="s">
        <v>1178</v>
      </c>
      <c r="J14" s="2163" t="s">
        <v>1178</v>
      </c>
      <c r="K14" s="2098"/>
      <c r="L14" s="2098"/>
      <c r="M14" s="2098"/>
      <c r="N14" s="2098"/>
      <c r="O14" s="2098"/>
      <c r="P14" s="2098"/>
      <c r="Q14" s="2098"/>
      <c r="R14" s="2402">
        <v>13</v>
      </c>
      <c r="S14" s="2405"/>
      <c r="T14" s="2404" t="e">
        <f t="shared" si="0"/>
        <v>#DIV/0!</v>
      </c>
      <c r="U14" s="2405"/>
      <c r="V14" s="2404" t="e">
        <f t="shared" si="1"/>
        <v>#DIV/0!</v>
      </c>
      <c r="W14" s="2403"/>
      <c r="X14" s="2403"/>
      <c r="Y14" s="2403"/>
      <c r="Z14" s="2403"/>
      <c r="AA14" s="2403"/>
      <c r="AB14" s="2403"/>
      <c r="AC14" s="2416"/>
      <c r="AD14" s="2425"/>
      <c r="AE14" s="2425"/>
      <c r="AF14" s="2425"/>
      <c r="AG14" s="2425"/>
      <c r="AH14" s="2425"/>
      <c r="AI14" s="2425"/>
      <c r="AJ14" s="2428"/>
    </row>
    <row r="15" ht="15.5" spans="1:36">
      <c r="A15" s="2158"/>
      <c r="B15" s="2164"/>
      <c r="C15" s="2165" t="s">
        <v>1179</v>
      </c>
      <c r="D15" s="2166" t="s">
        <v>1179</v>
      </c>
      <c r="E15" s="2167" t="s">
        <v>1180</v>
      </c>
      <c r="F15" s="2168" t="s">
        <v>1181</v>
      </c>
      <c r="G15" s="2169"/>
      <c r="H15" s="2170"/>
      <c r="I15" s="2330"/>
      <c r="J15" s="2331"/>
      <c r="K15" s="2098"/>
      <c r="L15" s="2098"/>
      <c r="M15" s="2098"/>
      <c r="N15" s="2098"/>
      <c r="O15" s="2098"/>
      <c r="P15" s="2098"/>
      <c r="Q15" s="2098"/>
      <c r="R15" s="2402">
        <v>14</v>
      </c>
      <c r="S15" s="2405"/>
      <c r="T15" s="2404" t="e">
        <f t="shared" si="0"/>
        <v>#DIV/0!</v>
      </c>
      <c r="U15" s="2405"/>
      <c r="V15" s="2404" t="e">
        <f t="shared" si="1"/>
        <v>#DIV/0!</v>
      </c>
      <c r="W15" s="2403"/>
      <c r="X15" s="2403"/>
      <c r="Y15" s="2403"/>
      <c r="Z15" s="2403"/>
      <c r="AA15" s="2403"/>
      <c r="AB15" s="2403"/>
      <c r="AC15" s="2416"/>
      <c r="AD15" s="2425"/>
      <c r="AE15" s="2425"/>
      <c r="AF15" s="2425"/>
      <c r="AG15" s="2425"/>
      <c r="AH15" s="2425"/>
      <c r="AI15" s="2425"/>
      <c r="AJ15" s="2428"/>
    </row>
    <row r="16" ht="16.25" spans="1:36">
      <c r="A16" s="2158"/>
      <c r="B16" s="2171" t="s">
        <v>1182</v>
      </c>
      <c r="C16" s="2172">
        <v>1</v>
      </c>
      <c r="D16" s="2172">
        <v>1</v>
      </c>
      <c r="E16" s="2172">
        <v>1</v>
      </c>
      <c r="F16" s="2172">
        <v>1</v>
      </c>
      <c r="G16" s="2172">
        <v>1</v>
      </c>
      <c r="H16" s="2172">
        <v>1</v>
      </c>
      <c r="I16" s="2172">
        <v>1</v>
      </c>
      <c r="J16" s="2332">
        <v>1</v>
      </c>
      <c r="K16" s="2098"/>
      <c r="L16" s="2099"/>
      <c r="M16" s="2099"/>
      <c r="N16" s="2099"/>
      <c r="O16" s="2099"/>
      <c r="P16" s="2099"/>
      <c r="Q16" s="2098"/>
      <c r="R16" s="2402">
        <v>15</v>
      </c>
      <c r="S16" s="2405"/>
      <c r="T16" s="2404" t="e">
        <f t="shared" si="0"/>
        <v>#DIV/0!</v>
      </c>
      <c r="U16" s="2405"/>
      <c r="V16" s="2404" t="e">
        <f t="shared" si="1"/>
        <v>#DIV/0!</v>
      </c>
      <c r="W16" s="2403"/>
      <c r="X16" s="2403"/>
      <c r="Y16" s="2403"/>
      <c r="Z16" s="2403"/>
      <c r="AA16" s="2403"/>
      <c r="AB16" s="2403"/>
      <c r="AC16" s="2416"/>
      <c r="AD16" s="2425"/>
      <c r="AE16" s="2425"/>
      <c r="AF16" s="2425"/>
      <c r="AG16" s="2425"/>
      <c r="AH16" s="2425"/>
      <c r="AI16" s="2425"/>
      <c r="AJ16" s="2428"/>
    </row>
    <row r="17" ht="26" hidden="1" spans="1:36">
      <c r="A17" s="2173" t="s">
        <v>1183</v>
      </c>
      <c r="B17" s="2174" t="s">
        <v>1184</v>
      </c>
      <c r="C17" s="2175">
        <f>ROUND(IF(OR(E2="工业",E2="公共服务"),1,IF(AND(E18=0,E19=0),1,IF(AND(E18=J24,E19=G19),0.8,IF(E19=0,1+E17*(-0.2),1+E17*G17*(-0.2))))),4)</f>
        <v>1</v>
      </c>
      <c r="D17" s="2176" t="s">
        <v>1185</v>
      </c>
      <c r="E17" s="2175">
        <f>ROUND(G18/I18,2)</f>
        <v>0</v>
      </c>
      <c r="F17" s="2176" t="s">
        <v>1186</v>
      </c>
      <c r="G17" s="2175" t="e">
        <f>ROUND(E19/G19,2)</f>
        <v>#DIV/0!</v>
      </c>
      <c r="H17" s="2175"/>
      <c r="I17" s="2175"/>
      <c r="J17" s="2333"/>
      <c r="K17" s="2098"/>
      <c r="L17" s="2099"/>
      <c r="M17" s="2099"/>
      <c r="N17" s="2099"/>
      <c r="O17" s="2099"/>
      <c r="P17" s="2099"/>
      <c r="Q17" s="2098"/>
      <c r="R17" s="2098"/>
      <c r="S17" s="2098"/>
      <c r="T17" s="2098"/>
      <c r="U17" s="2098"/>
      <c r="V17" s="2098"/>
      <c r="W17" s="2098"/>
      <c r="X17" s="2098"/>
      <c r="Y17" s="2098"/>
      <c r="Z17" s="2274"/>
      <c r="AA17" s="2274"/>
      <c r="AB17" s="2274"/>
      <c r="AC17" s="2274"/>
      <c r="AD17" s="2274"/>
      <c r="AE17" s="2098"/>
      <c r="AF17" s="2098"/>
      <c r="AG17" s="2099"/>
      <c r="AH17" s="2099"/>
      <c r="AI17" s="2099"/>
      <c r="AJ17" s="2099"/>
    </row>
    <row r="18" s="2097" customFormat="1" ht="14" hidden="1" spans="1:36">
      <c r="A18" s="2177"/>
      <c r="B18" s="2178"/>
      <c r="C18" s="2179"/>
      <c r="D18" s="2180" t="s">
        <v>1187</v>
      </c>
      <c r="E18" s="2181"/>
      <c r="F18" s="2182" t="s">
        <v>1188</v>
      </c>
      <c r="G18" s="2179">
        <f>ROUND(1-(1/(POWER(1+G24,E18))),4)</f>
        <v>0</v>
      </c>
      <c r="H18" s="2182" t="s">
        <v>1189</v>
      </c>
      <c r="I18" s="2179">
        <f>ROUND(1-(1/(POWER(1+G24,J24))),4)</f>
        <v>0.9671</v>
      </c>
      <c r="J18" s="2334"/>
      <c r="K18" s="2098"/>
      <c r="L18" s="2099"/>
      <c r="M18" s="2099"/>
      <c r="N18" s="2099"/>
      <c r="O18" s="2099"/>
      <c r="P18" s="2099"/>
      <c r="Q18" s="2098"/>
      <c r="R18" s="2412"/>
      <c r="S18" s="2412"/>
      <c r="T18" s="2274"/>
      <c r="U18" s="2274"/>
      <c r="V18" s="2274"/>
      <c r="W18" s="2098"/>
      <c r="X18" s="2098"/>
      <c r="Y18" s="2098"/>
      <c r="Z18" s="2342"/>
      <c r="AA18" s="2342"/>
      <c r="AB18" s="2342"/>
      <c r="AC18" s="2342"/>
      <c r="AD18" s="2342"/>
      <c r="AE18" s="2274"/>
      <c r="AF18" s="2274"/>
      <c r="AG18" s="2429"/>
      <c r="AH18" s="2429"/>
      <c r="AI18" s="2429"/>
      <c r="AJ18" s="2343"/>
    </row>
    <row r="19" s="2097" customFormat="1" ht="14.75" hidden="1" spans="1:37">
      <c r="A19" s="2183"/>
      <c r="B19" s="2184"/>
      <c r="C19" s="2185"/>
      <c r="D19" s="2185" t="s">
        <v>1190</v>
      </c>
      <c r="E19" s="2186"/>
      <c r="F19" s="2187" t="s">
        <v>1191</v>
      </c>
      <c r="G19" s="2186"/>
      <c r="H19" s="2185"/>
      <c r="I19" s="2185"/>
      <c r="J19" s="2335"/>
      <c r="K19" s="2098"/>
      <c r="L19" s="2099"/>
      <c r="M19" s="2099"/>
      <c r="N19" s="2099"/>
      <c r="O19" s="2099"/>
      <c r="P19" s="2099"/>
      <c r="Q19" s="2412"/>
      <c r="R19" s="2412"/>
      <c r="S19" s="2412"/>
      <c r="T19" s="2274"/>
      <c r="U19" s="2274"/>
      <c r="V19" s="2274"/>
      <c r="W19" s="2098"/>
      <c r="X19" s="2098"/>
      <c r="Y19" s="2098"/>
      <c r="Z19" s="2342"/>
      <c r="AA19" s="2342"/>
      <c r="AB19" s="2342"/>
      <c r="AC19" s="2342"/>
      <c r="AD19" s="2342"/>
      <c r="AE19" s="2342"/>
      <c r="AF19" s="2412"/>
      <c r="AG19" s="2430"/>
      <c r="AH19" s="2429"/>
      <c r="AI19" s="2431"/>
      <c r="AJ19" s="2431"/>
      <c r="AK19" s="2432"/>
    </row>
    <row r="20" s="2097" customFormat="1" ht="14" spans="1:36">
      <c r="A20" s="2188" t="s">
        <v>1192</v>
      </c>
      <c r="B20" s="2189" t="s">
        <v>1193</v>
      </c>
      <c r="C20" s="2190" t="e">
        <f>ROUND(IF(F21="与级别开发程度一致",0,(G21-E21)/C21),0)</f>
        <v>#DIV/0!</v>
      </c>
      <c r="D20" s="2191" t="s">
        <v>1194</v>
      </c>
      <c r="E20" s="2192"/>
      <c r="F20" s="2193" t="s">
        <v>1195</v>
      </c>
      <c r="G20" s="2194"/>
      <c r="H20" s="2195" t="s">
        <v>342</v>
      </c>
      <c r="I20" s="2195" t="s">
        <v>343</v>
      </c>
      <c r="J20" s="2336" t="s">
        <v>344</v>
      </c>
      <c r="K20" s="2337" t="s">
        <v>345</v>
      </c>
      <c r="L20" s="2337" t="s">
        <v>346</v>
      </c>
      <c r="M20" s="2337" t="s">
        <v>347</v>
      </c>
      <c r="N20" s="2337" t="s">
        <v>1196</v>
      </c>
      <c r="O20" s="2338" t="s">
        <v>349</v>
      </c>
      <c r="P20" s="2099"/>
      <c r="Q20" s="2412"/>
      <c r="R20" s="2412"/>
      <c r="S20" s="2412"/>
      <c r="T20" s="2274"/>
      <c r="U20" s="2274"/>
      <c r="V20" s="2274"/>
      <c r="W20" s="2098"/>
      <c r="X20" s="2098"/>
      <c r="Y20" s="2098"/>
      <c r="Z20" s="2342"/>
      <c r="AA20" s="2342"/>
      <c r="AB20" s="2342"/>
      <c r="AC20" s="2342"/>
      <c r="AD20" s="2342"/>
      <c r="AE20" s="2342"/>
      <c r="AF20" s="2342"/>
      <c r="AG20" s="2343"/>
      <c r="AH20" s="2343"/>
      <c r="AI20" s="2343"/>
      <c r="AJ20" s="2343"/>
    </row>
    <row r="21" s="2097" customFormat="1" ht="26.75" spans="1:36">
      <c r="A21" s="2196"/>
      <c r="B21" s="2197" t="s">
        <v>1197</v>
      </c>
      <c r="C21" s="2198">
        <f>IF(E3="M4科研用地",SUMPRODUCT((修正!A2:A7=E3)*(修正!B1:M1=G2)*(修正!B2:M7)),SUMPRODUCT((修正!A2:A7=E2)*(修正!B1:M1=G2)*(修正!B2:M7)))</f>
        <v>0</v>
      </c>
      <c r="D21" s="2199" t="str">
        <f>IF(OR(G2="八级",G2="九级",G2="十级",G2="十一级",G2="十二级"),"五通一平","七通一平")</f>
        <v>七通一平</v>
      </c>
      <c r="E21" s="2200">
        <f>SUMPRODUCT((修正!B1:M1=G2)*(修正!B17:M17))</f>
        <v>0</v>
      </c>
      <c r="F21" s="2201" t="s">
        <v>1198</v>
      </c>
      <c r="G21" s="2202">
        <f>SUM(H21:O21)</f>
        <v>0</v>
      </c>
      <c r="H21" s="2198">
        <f>SUMPRODUCT((七通一平=H20)*(修正!B1:M1=G2)*(修正!B8:M16))</f>
        <v>0</v>
      </c>
      <c r="I21" s="2198">
        <f>SUMPRODUCT((七通一平=I20)*(修正!B1:M1=G2)*(修正!B8:M16))</f>
        <v>0</v>
      </c>
      <c r="J21" s="2339">
        <f>SUMPRODUCT((七通一平=J20)*(修正!B1:M1=G2)*(修正!B8:M16))</f>
        <v>0</v>
      </c>
      <c r="K21" s="2198">
        <f>SUMPRODUCT((七通一平=K20)*(修正!B1:M1=G2)*(修正!B8:M16))</f>
        <v>0</v>
      </c>
      <c r="L21" s="2198">
        <f>SUMPRODUCT((七通一平=L20)*(修正!B1:M1=G2)*(修正!B8:M16))</f>
        <v>0</v>
      </c>
      <c r="M21" s="2198">
        <f>SUMPRODUCT((七通一平=M20)*(修正!B1:M1=G2)*(修正!B8:M16))</f>
        <v>0</v>
      </c>
      <c r="N21" s="2198">
        <f>SUMPRODUCT((七通一平=N20)*(修正!B1:M1=G2)*(修正!B8:M16))</f>
        <v>0</v>
      </c>
      <c r="O21" s="2340">
        <f>SUMPRODUCT((七通一平=O20)*(修正!B1:M1=G2)*(修正!B8:M16))</f>
        <v>0</v>
      </c>
      <c r="P21" s="2099"/>
      <c r="Q21" s="2343"/>
      <c r="R21" s="2412"/>
      <c r="S21" s="2412"/>
      <c r="T21" s="2274"/>
      <c r="U21" s="2274"/>
      <c r="V21" s="2274"/>
      <c r="W21" s="2098"/>
      <c r="X21" s="2098"/>
      <c r="Y21" s="2098"/>
      <c r="Z21" s="2342"/>
      <c r="AA21" s="2342"/>
      <c r="AB21" s="2342"/>
      <c r="AC21" s="2342"/>
      <c r="AD21" s="2342"/>
      <c r="AE21" s="2342"/>
      <c r="AF21" s="2342"/>
      <c r="AG21" s="2343"/>
      <c r="AH21" s="2343"/>
      <c r="AI21" s="2343"/>
      <c r="AJ21" s="2343"/>
    </row>
    <row r="22" s="2097" customFormat="1" ht="14.75" spans="1:36">
      <c r="A22" s="2203" t="s">
        <v>920</v>
      </c>
      <c r="B22" s="2204" t="s">
        <v>1199</v>
      </c>
      <c r="C22" s="2205">
        <f>SUMIF(修正!C20:C51,E3,修正!E20:E51)</f>
        <v>1</v>
      </c>
      <c r="D22" s="2206"/>
      <c r="E22" s="2207"/>
      <c r="F22" s="2207"/>
      <c r="G22" s="2207"/>
      <c r="H22" s="2207"/>
      <c r="I22" s="2207"/>
      <c r="J22" s="2341"/>
      <c r="K22" s="2342"/>
      <c r="L22" s="2343"/>
      <c r="M22" s="2343"/>
      <c r="N22" s="2343"/>
      <c r="O22" s="2344"/>
      <c r="P22" s="2344"/>
      <c r="Q22" s="2343"/>
      <c r="R22" s="2412"/>
      <c r="S22" s="2412"/>
      <c r="T22" s="2274"/>
      <c r="U22" s="2274"/>
      <c r="V22" s="2274"/>
      <c r="W22" s="2098"/>
      <c r="X22" s="2098"/>
      <c r="Y22" s="2098"/>
      <c r="Z22" s="2342"/>
      <c r="AA22" s="2342"/>
      <c r="AB22" s="2342"/>
      <c r="AC22" s="2342"/>
      <c r="AD22" s="2342"/>
      <c r="AE22" s="2342"/>
      <c r="AF22" s="2342"/>
      <c r="AG22" s="2343"/>
      <c r="AH22" s="2343"/>
      <c r="AI22" s="2343"/>
      <c r="AJ22" s="2343"/>
    </row>
    <row r="23" ht="26.75" spans="1:37">
      <c r="A23" s="2208" t="s">
        <v>925</v>
      </c>
      <c r="B23" s="2209" t="s">
        <v>1200</v>
      </c>
      <c r="C23" s="221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211" t="s">
        <v>1201</v>
      </c>
      <c r="E23" s="2212">
        <v>44197</v>
      </c>
      <c r="F23" s="2211" t="s">
        <v>1202</v>
      </c>
      <c r="G23" s="2213">
        <f>'数据-取费表'!B2</f>
        <v>45644</v>
      </c>
      <c r="H23" s="2214" t="s">
        <v>1203</v>
      </c>
      <c r="I23" s="2345" t="str">
        <f>IF(H23="季度增幅（自定义）",SUMIF(N25:N28,E2,O25:O28),"")</f>
        <v/>
      </c>
      <c r="J23" s="2346" t="s">
        <v>1204</v>
      </c>
      <c r="K23" s="2342"/>
      <c r="L23" s="2347" t="s">
        <v>1205</v>
      </c>
      <c r="M23" s="2348">
        <f>ROUND(SUMIF(地价!B2:G2,E2,地价!B16:G16),0)</f>
        <v>687</v>
      </c>
      <c r="N23" s="2349" t="s">
        <v>1206</v>
      </c>
      <c r="O23" s="2350">
        <f>ROUNDDOWN(DATEDIF(E23,G23,"M")/3,0)</f>
        <v>15</v>
      </c>
      <c r="P23" s="2351"/>
      <c r="Q23" s="2343"/>
      <c r="R23" s="2412"/>
      <c r="S23" s="2412"/>
      <c r="T23" s="2274"/>
      <c r="U23" s="2274"/>
      <c r="V23" s="2274"/>
      <c r="W23" s="2098"/>
      <c r="X23" s="2098"/>
      <c r="Y23" s="2098"/>
      <c r="Z23" s="2342"/>
      <c r="AA23" s="2342"/>
      <c r="AB23" s="2342"/>
      <c r="AC23" s="2342"/>
      <c r="AD23" s="2342"/>
      <c r="AE23" s="2274"/>
      <c r="AF23" s="2274"/>
      <c r="AG23" s="2429"/>
      <c r="AH23" s="2429"/>
      <c r="AI23" s="2429"/>
      <c r="AJ23" s="2429"/>
      <c r="AK23" s="2100"/>
    </row>
    <row r="24" s="2097" customFormat="1" ht="26.75" spans="1:36">
      <c r="A24" s="2215" t="s">
        <v>928</v>
      </c>
      <c r="B24" s="2216" t="s">
        <v>1207</v>
      </c>
      <c r="C24" s="2217" t="e">
        <f>ROUND(POWER(1+G24,J24-I24)*(POWER(1+G24,I24)-1)/(POWER(1+G24,J24)-1),4)</f>
        <v>#DIV/0!</v>
      </c>
      <c r="D24" s="2218" t="s">
        <v>1208</v>
      </c>
      <c r="E24" s="2219">
        <f>存贷款利率!E26/100</f>
        <v>0.0435</v>
      </c>
      <c r="F24" s="2218" t="s">
        <v>1209</v>
      </c>
      <c r="G24" s="2220">
        <f>SUMIF(M30:Q30,E2,M33:Q33)</f>
        <v>0.05</v>
      </c>
      <c r="H24" s="2218" t="s">
        <v>1210</v>
      </c>
      <c r="I24" s="2352" t="e">
        <f>SUMIF('数据-取费表'!C6:C15,E2,'数据-取费表'!F6:F15)/COUNTIF('数据-取费表'!C6:C15,E2)</f>
        <v>#DIV/0!</v>
      </c>
      <c r="J24" s="2353">
        <f>IF(E2="住宅",70,IF(E2="商业",40,50))</f>
        <v>70</v>
      </c>
      <c r="K24" s="2342"/>
      <c r="L24" s="2354" t="s">
        <v>1211</v>
      </c>
      <c r="M24" s="2355">
        <f>ROUND(SUMPRODUCT((地价!A4:A16=YEAR(G23)&amp;"-"&amp;ROUNDUP(MONTH(G23)/3,0))*(地价!B2:G2=E2)*(地价!B4:G16)),0)</f>
        <v>0</v>
      </c>
      <c r="N24" s="2356" t="s">
        <v>1212</v>
      </c>
      <c r="O24" s="2357" t="s">
        <v>1213</v>
      </c>
      <c r="P24" s="2358" t="s">
        <v>1214</v>
      </c>
      <c r="Q24" s="2099"/>
      <c r="R24" s="2412"/>
      <c r="S24" s="2412"/>
      <c r="T24" s="2274"/>
      <c r="U24" s="2274"/>
      <c r="V24" s="2274"/>
      <c r="W24" s="2098"/>
      <c r="X24" s="2098"/>
      <c r="Y24" s="2098"/>
      <c r="Z24" s="2342"/>
      <c r="AA24" s="2342"/>
      <c r="AB24" s="2342"/>
      <c r="AC24" s="2342"/>
      <c r="AD24" s="2342"/>
      <c r="AE24" s="2342"/>
      <c r="AF24" s="2342"/>
      <c r="AG24" s="2343"/>
      <c r="AH24" s="2343"/>
      <c r="AI24" s="2343"/>
      <c r="AJ24" s="2343"/>
    </row>
    <row r="25" ht="14" spans="1:36">
      <c r="A25" s="2221" t="s">
        <v>950</v>
      </c>
      <c r="B25" s="2222" t="s">
        <v>1215</v>
      </c>
      <c r="C25" s="856">
        <f>IF(B25="容积率修正",IF(G3&lt;10,D26,J26),C27)</f>
        <v>0</v>
      </c>
      <c r="D25" s="2223"/>
      <c r="E25" s="2223"/>
      <c r="F25" s="2223"/>
      <c r="G25" s="2223"/>
      <c r="H25" s="2223"/>
      <c r="I25" s="2223"/>
      <c r="J25" s="2359"/>
      <c r="K25" s="2342"/>
      <c r="L25" s="2343"/>
      <c r="M25" s="2343"/>
      <c r="N25" s="2360" t="s">
        <v>1216</v>
      </c>
      <c r="O25" s="2361"/>
      <c r="P25" s="2362">
        <f>SUMPRODUCT((地价!A3:A40=YEAR(G23)&amp;"-"&amp;ROUNDUP(MONTH(G23)/3,0))*(地价!AD2:AH2=N25)*(地价!AD3:AH40))</f>
        <v>0</v>
      </c>
      <c r="Q25" s="2343"/>
      <c r="R25" s="2412"/>
      <c r="S25" s="2412"/>
      <c r="T25" s="2274"/>
      <c r="U25" s="2274"/>
      <c r="V25" s="2274"/>
      <c r="W25" s="2098"/>
      <c r="X25" s="2098"/>
      <c r="Y25" s="2098"/>
      <c r="Z25" s="2342"/>
      <c r="AA25" s="2342"/>
      <c r="AB25" s="2342"/>
      <c r="AC25" s="2342"/>
      <c r="AD25" s="2342"/>
      <c r="AE25" s="2274"/>
      <c r="AF25" s="2274"/>
      <c r="AG25" s="2429"/>
      <c r="AH25" s="2429"/>
      <c r="AI25" s="2429"/>
      <c r="AJ25" s="2429"/>
    </row>
    <row r="26" ht="14" spans="1:36">
      <c r="A26" s="1345" t="s">
        <v>1217</v>
      </c>
      <c r="B26" s="2224" t="s">
        <v>1218</v>
      </c>
      <c r="C26" s="2225" t="s">
        <v>1219</v>
      </c>
      <c r="D26" s="863">
        <f>IF(E26=G26,F26,IF(G3&lt;10,ROUND(F26+(H26-F26)*(G3-E26)/(G26-E26),4),"——"))</f>
        <v>0</v>
      </c>
      <c r="E26" s="2112">
        <f>ROUNDDOWN(G3,1)</f>
        <v>4.8</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12">
        <f>ROUNDUP(G3,1)</f>
        <v>4.9</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5" t="s">
        <v>1220</v>
      </c>
      <c r="J26" s="2363" t="str">
        <f>IF(G3&gt;=10,D115,"——")</f>
        <v>——</v>
      </c>
      <c r="K26" s="2342"/>
      <c r="L26" s="2343"/>
      <c r="M26" s="2343"/>
      <c r="N26" s="2360" t="s">
        <v>1221</v>
      </c>
      <c r="O26" s="2361"/>
      <c r="P26" s="2362">
        <f>SUMPRODUCT((地价!A3:A40=YEAR(G23)&amp;"-"&amp;ROUNDUP(MONTH(G23)/3,0))*(地价!AD2:AH2=N26)*(地价!AD3:AH40))</f>
        <v>0</v>
      </c>
      <c r="Q26" s="2099"/>
      <c r="R26" s="2412"/>
      <c r="S26" s="2412"/>
      <c r="T26" s="2274"/>
      <c r="U26" s="2274"/>
      <c r="V26" s="2274"/>
      <c r="W26" s="2098"/>
      <c r="X26" s="2098"/>
      <c r="Y26" s="2098"/>
      <c r="Z26" s="2342"/>
      <c r="AA26" s="2342"/>
      <c r="AB26" s="2342"/>
      <c r="AC26" s="2342"/>
      <c r="AD26" s="2342"/>
      <c r="AE26" s="2274"/>
      <c r="AF26" s="2274"/>
      <c r="AG26" s="2429"/>
      <c r="AH26" s="2429"/>
      <c r="AI26" s="2429"/>
      <c r="AJ26" s="2429"/>
    </row>
    <row r="27" ht="14.75" spans="1:36">
      <c r="A27" s="1345" t="s">
        <v>1222</v>
      </c>
      <c r="B27" s="2226" t="s">
        <v>1223</v>
      </c>
      <c r="C27" s="2227">
        <f>ROUND(IF(I3&lt;6,SUMPRODUCT((B106:B110=I3)*(C105:N105=G2)*(C106:N110)),SUMIF(C105:N105,G2,C112:N112)),4)</f>
        <v>0</v>
      </c>
      <c r="D27" s="2228"/>
      <c r="E27" s="2228"/>
      <c r="F27" s="2229"/>
      <c r="G27" s="2230"/>
      <c r="H27" s="2231"/>
      <c r="I27" s="2364"/>
      <c r="J27" s="2365"/>
      <c r="K27" s="2098"/>
      <c r="L27" s="2099"/>
      <c r="M27" s="2099"/>
      <c r="N27" s="2360" t="s">
        <v>1224</v>
      </c>
      <c r="O27" s="2361"/>
      <c r="P27" s="2362">
        <f>SUMPRODUCT((地价!A3:A40=YEAR(G23)&amp;"-"&amp;ROUNDUP(MONTH(G23)/3,0))*(地价!AD2:AH2=N27)*(地价!AD3:AH40))</f>
        <v>0</v>
      </c>
      <c r="Q27" s="2099"/>
      <c r="R27" s="2412"/>
      <c r="S27" s="2412"/>
      <c r="T27" s="2274"/>
      <c r="U27" s="2274"/>
      <c r="V27" s="2274"/>
      <c r="W27" s="2098"/>
      <c r="X27" s="2098"/>
      <c r="Y27" s="2098"/>
      <c r="Z27" s="2342"/>
      <c r="AA27" s="2342"/>
      <c r="AB27" s="2342"/>
      <c r="AC27" s="2342"/>
      <c r="AD27" s="2342"/>
      <c r="AE27" s="2274"/>
      <c r="AF27" s="2274"/>
      <c r="AG27" s="2429"/>
      <c r="AH27" s="2429"/>
      <c r="AI27" s="2429"/>
      <c r="AJ27" s="2429"/>
    </row>
    <row r="28" ht="14.75" spans="1:36">
      <c r="A28" s="2215" t="s">
        <v>1225</v>
      </c>
      <c r="B28" s="2209" t="s">
        <v>1226</v>
      </c>
      <c r="C28" s="2210">
        <f>SUMIF(A47:A101,E2,B47:B101)</f>
        <v>1</v>
      </c>
      <c r="D28" s="2232"/>
      <c r="E28" s="2233"/>
      <c r="F28" s="2233"/>
      <c r="G28" s="2233"/>
      <c r="H28" s="2233"/>
      <c r="I28" s="2233"/>
      <c r="J28" s="2366"/>
      <c r="K28" s="2342"/>
      <c r="L28" s="2343"/>
      <c r="M28" s="2343"/>
      <c r="N28" s="2367" t="s">
        <v>1227</v>
      </c>
      <c r="O28" s="2368"/>
      <c r="P28" s="2369">
        <f>SUMPRODUCT((地价!A3:A40=YEAR(G23)&amp;"-"&amp;ROUNDUP(MONTH(G23)/3,0))*(地价!AD2:AH2=N28)*(地价!AD3:AH40))</f>
        <v>0</v>
      </c>
      <c r="Q28" s="2412"/>
      <c r="R28" s="2412"/>
      <c r="S28" s="2412"/>
      <c r="T28" s="2274"/>
      <c r="U28" s="2274"/>
      <c r="V28" s="2274"/>
      <c r="W28" s="2098"/>
      <c r="X28" s="2098"/>
      <c r="Y28" s="2098"/>
      <c r="Z28" s="2342"/>
      <c r="AA28" s="2342"/>
      <c r="AB28" s="2342"/>
      <c r="AC28" s="2342"/>
      <c r="AD28" s="2342"/>
      <c r="AE28" s="2274"/>
      <c r="AF28" s="2274"/>
      <c r="AG28" s="2429"/>
      <c r="AH28" s="2429"/>
      <c r="AI28" s="2429"/>
      <c r="AJ28" s="2429"/>
    </row>
    <row r="29" ht="14.75" spans="1:36">
      <c r="A29" s="2215" t="s">
        <v>1228</v>
      </c>
      <c r="B29" s="2234" t="s">
        <v>1229</v>
      </c>
      <c r="C29" s="2235"/>
      <c r="D29" s="2135"/>
      <c r="E29" s="2135"/>
      <c r="F29" s="2236"/>
      <c r="G29" s="2135"/>
      <c r="H29" s="2135"/>
      <c r="I29" s="2135"/>
      <c r="J29" s="2320"/>
      <c r="K29" s="2098"/>
      <c r="L29" s="2099"/>
      <c r="M29" s="2099"/>
      <c r="N29" s="2370" t="s">
        <v>1230</v>
      </c>
      <c r="O29" s="2371"/>
      <c r="P29" s="2372">
        <f>SUMPRODUCT((地价!A3:A40=YEAR(G23)&amp;"-"&amp;ROUNDUP(MONTH(G23)/3,0))*(地价!AD2:AH2=N29)*(地价!AD3:AH40))</f>
        <v>0</v>
      </c>
      <c r="Q29" s="2412"/>
      <c r="R29" s="2412"/>
      <c r="S29" s="2412"/>
      <c r="T29" s="2274"/>
      <c r="U29" s="2274"/>
      <c r="V29" s="2274"/>
      <c r="W29" s="2098"/>
      <c r="X29" s="2098"/>
      <c r="Y29" s="2098"/>
      <c r="Z29" s="2342"/>
      <c r="AA29" s="2342"/>
      <c r="AB29" s="2342"/>
      <c r="AC29" s="2342"/>
      <c r="AD29" s="2342"/>
      <c r="AE29" s="2098"/>
      <c r="AF29" s="2098"/>
      <c r="AG29" s="2099"/>
      <c r="AH29" s="2099"/>
      <c r="AI29" s="2099"/>
      <c r="AJ29" s="2099"/>
    </row>
    <row r="30" ht="14" spans="1:36">
      <c r="A30" s="2237"/>
      <c r="B30" s="2224" t="s">
        <v>1231</v>
      </c>
      <c r="C30" s="2238" t="e">
        <f>IF(B25="容积率修正",E33+SUM(E37:E42),SUM(V2:V16)+SUM(E37:E42))</f>
        <v>#DIV/0!</v>
      </c>
      <c r="D30" s="2239"/>
      <c r="E30" s="2228"/>
      <c r="F30" s="2240"/>
      <c r="G30" s="2228"/>
      <c r="H30" s="2228"/>
      <c r="I30" s="2228"/>
      <c r="J30" s="2373"/>
      <c r="K30" s="2098"/>
      <c r="L30" s="2374" t="s">
        <v>1115</v>
      </c>
      <c r="M30" s="2375" t="s">
        <v>1232</v>
      </c>
      <c r="N30" s="2375" t="s">
        <v>1233</v>
      </c>
      <c r="O30" s="2375" t="s">
        <v>1234</v>
      </c>
      <c r="P30" s="2375" t="s">
        <v>1235</v>
      </c>
      <c r="Q30" s="2413" t="s">
        <v>280</v>
      </c>
      <c r="R30" s="2412"/>
      <c r="S30" s="2412"/>
      <c r="T30" s="2274"/>
      <c r="U30" s="2274"/>
      <c r="V30" s="2274"/>
      <c r="W30" s="2098"/>
      <c r="X30" s="2098"/>
      <c r="Y30" s="2098"/>
      <c r="Z30" s="2342"/>
      <c r="AA30" s="2342"/>
      <c r="AB30" s="2342"/>
      <c r="AC30" s="2342"/>
      <c r="AD30" s="2342"/>
      <c r="AE30" s="2098"/>
      <c r="AF30" s="2098"/>
      <c r="AG30" s="2099"/>
      <c r="AH30" s="2099"/>
      <c r="AI30" s="2099"/>
      <c r="AJ30" s="2099"/>
    </row>
    <row r="31" ht="14.75" spans="1:36">
      <c r="A31" s="2237"/>
      <c r="B31" s="2241" t="s">
        <v>1236</v>
      </c>
      <c r="C31" s="2242" t="e">
        <f>E34+SUM(I37:I42)</f>
        <v>#DIV/0!</v>
      </c>
      <c r="D31" s="2243"/>
      <c r="E31" s="2244"/>
      <c r="F31" s="2245"/>
      <c r="G31" s="2244"/>
      <c r="H31" s="2244"/>
      <c r="I31" s="2244"/>
      <c r="J31" s="2376"/>
      <c r="K31" s="2098"/>
      <c r="L31" s="2377" t="s">
        <v>1237</v>
      </c>
      <c r="M31" s="2107">
        <v>0.25</v>
      </c>
      <c r="N31" s="2107">
        <v>0.2</v>
      </c>
      <c r="O31" s="2107">
        <v>0.15</v>
      </c>
      <c r="P31" s="2107">
        <v>0.1</v>
      </c>
      <c r="Q31" s="2414">
        <v>0.15</v>
      </c>
      <c r="R31" s="2412"/>
      <c r="S31" s="2412"/>
      <c r="T31" s="2274"/>
      <c r="U31" s="2274"/>
      <c r="V31" s="2274"/>
      <c r="W31" s="2098"/>
      <c r="X31" s="2098"/>
      <c r="Y31" s="2098"/>
      <c r="Z31" s="2342"/>
      <c r="AA31" s="2342"/>
      <c r="AB31" s="2342"/>
      <c r="AC31" s="2342"/>
      <c r="AD31" s="2342"/>
      <c r="AE31" s="2098"/>
      <c r="AF31" s="2098"/>
      <c r="AG31" s="2099"/>
      <c r="AH31" s="2099"/>
      <c r="AI31" s="2099"/>
      <c r="AJ31" s="2099"/>
    </row>
    <row r="32" ht="14.75" spans="1:36">
      <c r="A32" s="2246"/>
      <c r="B32" s="2247" t="s">
        <v>1238</v>
      </c>
      <c r="C32" s="2248" t="s">
        <v>1239</v>
      </c>
      <c r="D32" s="2248" t="s">
        <v>563</v>
      </c>
      <c r="E32" s="2249" t="s">
        <v>1240</v>
      </c>
      <c r="F32" s="2250"/>
      <c r="G32" s="2157"/>
      <c r="H32" s="2157"/>
      <c r="I32" s="2157"/>
      <c r="J32" s="2326"/>
      <c r="K32" s="2098"/>
      <c r="L32" s="2378" t="s">
        <v>1209</v>
      </c>
      <c r="M32" s="2379">
        <f>ROUND($E$24*(1+M31),3)</f>
        <v>0.054</v>
      </c>
      <c r="N32" s="2379">
        <f>ROUND($E$24*(1+N31),3)</f>
        <v>0.052</v>
      </c>
      <c r="O32" s="2379">
        <f>ROUND($E$24*(1+O31),3)</f>
        <v>0.05</v>
      </c>
      <c r="P32" s="2379">
        <f>ROUND($E$24*(1+P31),3)</f>
        <v>0.048</v>
      </c>
      <c r="Q32" s="2415">
        <f>ROUND($E$24*(1+Q31),3)</f>
        <v>0.05</v>
      </c>
      <c r="R32" s="2412"/>
      <c r="S32" s="2412"/>
      <c r="T32" s="2274"/>
      <c r="U32" s="2274"/>
      <c r="V32" s="2274"/>
      <c r="W32" s="2098"/>
      <c r="X32" s="2098"/>
      <c r="Y32" s="2098"/>
      <c r="Z32" s="2342"/>
      <c r="AA32" s="2342"/>
      <c r="AB32" s="2342"/>
      <c r="AC32" s="2342"/>
      <c r="AD32" s="2342"/>
      <c r="AE32" s="2098"/>
      <c r="AF32" s="2098"/>
      <c r="AG32" s="2099"/>
      <c r="AH32" s="2099"/>
      <c r="AI32" s="2099"/>
      <c r="AJ32" s="2099"/>
    </row>
    <row r="33" ht="14" spans="1:36">
      <c r="A33" s="2251"/>
      <c r="B33" s="2252" t="s">
        <v>1241</v>
      </c>
      <c r="C33" s="2253" t="e">
        <f>ROUND(C5*C22*C23*C24*C25*C28,0)</f>
        <v>#DIV/0!</v>
      </c>
      <c r="D33" s="2254">
        <f>'数据-汇总表'!F19</f>
        <v>56121.31</v>
      </c>
      <c r="E33" s="939" t="e">
        <f>ROUND(C33*D33/10000,0)</f>
        <v>#DIV/0!</v>
      </c>
      <c r="F33" s="2255" t="s">
        <v>1242</v>
      </c>
      <c r="G33" s="2256"/>
      <c r="H33" s="2256"/>
      <c r="I33" s="2256"/>
      <c r="J33" s="2380"/>
      <c r="K33" s="2098"/>
      <c r="L33" s="2381" t="s">
        <v>1243</v>
      </c>
      <c r="M33" s="2382">
        <v>0.055</v>
      </c>
      <c r="N33" s="2382">
        <v>0.055</v>
      </c>
      <c r="O33" s="2382">
        <v>0.05</v>
      </c>
      <c r="P33" s="2382">
        <v>0.05</v>
      </c>
      <c r="Q33" s="2382">
        <v>0.05</v>
      </c>
      <c r="R33" s="2412"/>
      <c r="S33" s="2412"/>
      <c r="T33" s="2274"/>
      <c r="U33" s="2274"/>
      <c r="V33" s="2274"/>
      <c r="W33" s="2098"/>
      <c r="X33" s="2098"/>
      <c r="Y33" s="2098"/>
      <c r="Z33" s="2342"/>
      <c r="AA33" s="2342"/>
      <c r="AB33" s="2342"/>
      <c r="AC33" s="2342"/>
      <c r="AD33" s="2342"/>
      <c r="AE33" s="2274"/>
      <c r="AF33" s="2274"/>
      <c r="AG33" s="2429"/>
      <c r="AH33" s="2429"/>
      <c r="AI33" s="2429"/>
      <c r="AJ33" s="2429"/>
    </row>
    <row r="34" ht="26.75" spans="1:36">
      <c r="A34" s="2257"/>
      <c r="B34" s="2258" t="s">
        <v>1244</v>
      </c>
      <c r="C34" s="2199" t="e">
        <f>ROUND(IF(E2="工业",C33*M42,IF(B25="楼层修正",SUM(V2:V16)*M41*10000/D34,C33*M41)),0)</f>
        <v>#DIV/0!</v>
      </c>
      <c r="D34" s="2259"/>
      <c r="E34" s="939" t="e">
        <f>ROUND(IF(B25="楼层修正",SUM(V2:V16)*M40,C34*D34/10000),0)</f>
        <v>#DIV/0!</v>
      </c>
      <c r="F34" s="2260" t="s">
        <v>1245</v>
      </c>
      <c r="G34" s="2261"/>
      <c r="H34" s="2261"/>
      <c r="I34" s="2261"/>
      <c r="J34" s="2383"/>
      <c r="K34" s="2098"/>
      <c r="L34" s="2381" t="s">
        <v>1246</v>
      </c>
      <c r="M34" s="2382">
        <v>0.065</v>
      </c>
      <c r="N34" s="2382">
        <v>0.065</v>
      </c>
      <c r="O34" s="2382">
        <v>0.06</v>
      </c>
      <c r="P34" s="2382">
        <v>0.06</v>
      </c>
      <c r="Q34" s="2382">
        <v>0.06</v>
      </c>
      <c r="R34" s="2412"/>
      <c r="S34" s="2412"/>
      <c r="T34" s="2274"/>
      <c r="U34" s="2274"/>
      <c r="V34" s="2274"/>
      <c r="W34" s="2098"/>
      <c r="X34" s="2098"/>
      <c r="Y34" s="2098"/>
      <c r="Z34" s="2342"/>
      <c r="AA34" s="2342"/>
      <c r="AB34" s="2342"/>
      <c r="AC34" s="2342"/>
      <c r="AD34" s="2342"/>
      <c r="AE34" s="2274"/>
      <c r="AF34" s="2274"/>
      <c r="AG34" s="2429"/>
      <c r="AH34" s="2429"/>
      <c r="AI34" s="2429"/>
      <c r="AJ34" s="2429"/>
    </row>
    <row r="35" ht="13" spans="1:36">
      <c r="A35" s="2262"/>
      <c r="B35" s="2263" t="s">
        <v>1247</v>
      </c>
      <c r="C35" s="2264" t="s">
        <v>1248</v>
      </c>
      <c r="D35" s="2157"/>
      <c r="E35" s="2265"/>
      <c r="F35" s="2265"/>
      <c r="G35" s="2155" t="s">
        <v>1245</v>
      </c>
      <c r="H35" s="2157"/>
      <c r="I35" s="2384"/>
      <c r="J35" s="2326"/>
      <c r="K35" s="2098"/>
      <c r="L35" s="2098"/>
      <c r="M35" s="2098"/>
      <c r="N35" s="2098"/>
      <c r="O35" s="2344"/>
      <c r="P35" s="2344"/>
      <c r="Q35" s="2412"/>
      <c r="R35" s="2098"/>
      <c r="S35" s="2098"/>
      <c r="T35" s="2098"/>
      <c r="U35" s="2098"/>
      <c r="V35" s="2098"/>
      <c r="W35" s="2098"/>
      <c r="X35" s="2098"/>
      <c r="Y35" s="2098"/>
      <c r="Z35" s="2274"/>
      <c r="AA35" s="2274"/>
      <c r="AB35" s="2274"/>
      <c r="AC35" s="2274"/>
      <c r="AD35" s="2274"/>
      <c r="AE35" s="2274"/>
      <c r="AF35" s="2274"/>
      <c r="AG35" s="2429"/>
      <c r="AH35" s="2429"/>
      <c r="AI35" s="2429"/>
      <c r="AJ35" s="2429"/>
    </row>
    <row r="36" ht="26.75" spans="1:36">
      <c r="A36" s="2251"/>
      <c r="B36" s="2266"/>
      <c r="C36" s="845" t="s">
        <v>1239</v>
      </c>
      <c r="D36" s="842" t="s">
        <v>563</v>
      </c>
      <c r="E36" s="842" t="s">
        <v>1240</v>
      </c>
      <c r="F36" s="1955" t="s">
        <v>1249</v>
      </c>
      <c r="G36" s="2267" t="s">
        <v>1239</v>
      </c>
      <c r="H36" s="2267" t="s">
        <v>563</v>
      </c>
      <c r="I36" s="2267" t="s">
        <v>1240</v>
      </c>
      <c r="J36" s="444"/>
      <c r="K36" s="2385" t="s">
        <v>1250</v>
      </c>
      <c r="L36" s="2386">
        <f ca="1">'数据-取费表'!B40</f>
        <v>0.031</v>
      </c>
      <c r="M36" s="2387">
        <f ca="1">ROUND($L$36*(1+M31),3)</f>
        <v>0.039</v>
      </c>
      <c r="N36" s="2387">
        <f ca="1">ROUND($L$36*(1+N31),3)</f>
        <v>0.037</v>
      </c>
      <c r="O36" s="2387">
        <f ca="1">ROUND($L$36*(1+O31),3)</f>
        <v>0.036</v>
      </c>
      <c r="P36" s="2387">
        <f ca="1">ROUND($L$36*(1+P31),3)</f>
        <v>0.034</v>
      </c>
      <c r="Q36" s="2387">
        <f ca="1">ROUND($L$36*(1+Q31),3)</f>
        <v>0.036</v>
      </c>
      <c r="R36" s="2098"/>
      <c r="S36" s="2098"/>
      <c r="T36" s="2098"/>
      <c r="U36" s="2098"/>
      <c r="V36" s="2098"/>
      <c r="W36" s="2098"/>
      <c r="X36" s="2098"/>
      <c r="Y36" s="2098"/>
      <c r="Z36" s="2274"/>
      <c r="AA36" s="2274"/>
      <c r="AB36" s="2274"/>
      <c r="AC36" s="2274"/>
      <c r="AD36" s="2274"/>
      <c r="AE36" s="2274"/>
      <c r="AF36" s="2274"/>
      <c r="AG36" s="2429"/>
      <c r="AH36" s="2429"/>
      <c r="AI36" s="2429"/>
      <c r="AJ36" s="2429"/>
    </row>
    <row r="37" ht="26.75" spans="1:36">
      <c r="A37" s="2268"/>
      <c r="B37" s="2269" t="s">
        <v>1251</v>
      </c>
      <c r="C37" s="2253" t="e">
        <f>ROUND(D5*C22*C23*C24*C28*F37,0)</f>
        <v>#DIV/0!</v>
      </c>
      <c r="D37" s="2254"/>
      <c r="E37" s="865" t="e">
        <f>ROUND(C37*D37/10000,0)</f>
        <v>#DIV/0!</v>
      </c>
      <c r="F37" s="865">
        <f>SUMIF(修正!A57:A68,G2,修正!B57:B68)</f>
        <v>0</v>
      </c>
      <c r="G37" s="865" t="e">
        <f>ROUND(IF(E2="工业",C37*$M$42,C37*$M$41),0)</f>
        <v>#DIV/0!</v>
      </c>
      <c r="H37" s="865">
        <f>D37</f>
        <v>0</v>
      </c>
      <c r="I37" s="865" t="e">
        <f>ROUND(G37*H37/10000,0)</f>
        <v>#DIV/0!</v>
      </c>
      <c r="J37" s="2388"/>
      <c r="K37" s="2389" t="s">
        <v>1252</v>
      </c>
      <c r="L37" s="2385">
        <f ca="1">L36+K38</f>
        <v>0.036</v>
      </c>
      <c r="M37" s="2387">
        <f ca="1">ROUND($L$37*(1+M31),3)</f>
        <v>0.045</v>
      </c>
      <c r="N37" s="2387">
        <f ca="1" t="shared" ref="N37:Q37" si="3">ROUND($L$37*(1+N31),3)</f>
        <v>0.043</v>
      </c>
      <c r="O37" s="2387">
        <f ca="1" t="shared" si="3"/>
        <v>0.041</v>
      </c>
      <c r="P37" s="2387">
        <f ca="1" t="shared" si="3"/>
        <v>0.04</v>
      </c>
      <c r="Q37" s="2387">
        <f ca="1" t="shared" si="3"/>
        <v>0.041</v>
      </c>
      <c r="R37" s="2098"/>
      <c r="S37" s="2098"/>
      <c r="T37" s="2098"/>
      <c r="U37" s="2098"/>
      <c r="V37" s="2098"/>
      <c r="W37" s="2098"/>
      <c r="X37" s="2098"/>
      <c r="Y37" s="2098"/>
      <c r="Z37" s="2274"/>
      <c r="AA37" s="2274"/>
      <c r="AB37" s="2274"/>
      <c r="AC37" s="2274"/>
      <c r="AD37" s="2274"/>
      <c r="AE37" s="2274"/>
      <c r="AF37" s="2274"/>
      <c r="AG37" s="2429"/>
      <c r="AH37" s="2429"/>
      <c r="AI37" s="2429"/>
      <c r="AJ37" s="2429"/>
    </row>
    <row r="38" ht="13" spans="1:30">
      <c r="A38" s="2270"/>
      <c r="B38" s="2160" t="s">
        <v>1253</v>
      </c>
      <c r="C38" s="2253" t="e">
        <f>ROUND(D5*C22*C23*C24*C28*F38,0)</f>
        <v>#DIV/0!</v>
      </c>
      <c r="D38" s="2254"/>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270"/>
      <c r="K38" s="2385">
        <v>0.005</v>
      </c>
      <c r="L38" s="2385"/>
      <c r="M38" s="2385"/>
      <c r="N38" s="2385"/>
      <c r="O38" s="2385"/>
      <c r="P38" s="2385"/>
      <c r="Q38" s="2385"/>
      <c r="R38" s="2098"/>
      <c r="S38" s="2098"/>
      <c r="T38" s="2098"/>
      <c r="U38" s="2098"/>
      <c r="V38" s="2098"/>
      <c r="W38" s="2098"/>
      <c r="X38" s="2098"/>
      <c r="Y38" s="2098"/>
      <c r="Z38" s="2274"/>
      <c r="AA38" s="2274"/>
      <c r="AB38" s="2274"/>
      <c r="AC38" s="2274"/>
      <c r="AD38" s="2274"/>
    </row>
    <row r="39" ht="13.75" spans="1:30">
      <c r="A39" s="2270"/>
      <c r="B39" s="2160" t="s">
        <v>1254</v>
      </c>
      <c r="C39" s="2253" t="e">
        <f>ROUND(D5*C22*C23*C24*C28*F39,0)</f>
        <v>#DIV/0!</v>
      </c>
      <c r="D39" s="2254"/>
      <c r="E39" s="865" t="e">
        <f t="shared" si="4"/>
        <v>#DIV/0!</v>
      </c>
      <c r="F39" s="865">
        <f>SUMIF(修正!A57:A68,G2,修正!D57:D68)</f>
        <v>0</v>
      </c>
      <c r="G39" s="865" t="e">
        <f>ROUND(IF(E2="工业",C39*$M$42,C39*$M$41),0)</f>
        <v>#DIV/0!</v>
      </c>
      <c r="H39" s="865">
        <f t="shared" si="5"/>
        <v>0</v>
      </c>
      <c r="I39" s="865" t="e">
        <f t="shared" si="6"/>
        <v>#DIV/0!</v>
      </c>
      <c r="J39" s="2270"/>
      <c r="K39" s="2098"/>
      <c r="L39" s="2098"/>
      <c r="M39" s="2098"/>
      <c r="N39" s="2098"/>
      <c r="O39" s="2098"/>
      <c r="P39" s="2098"/>
      <c r="Q39" s="2098"/>
      <c r="R39" s="2098"/>
      <c r="S39" s="2098"/>
      <c r="T39" s="2098"/>
      <c r="U39" s="2098"/>
      <c r="V39" s="2098"/>
      <c r="W39" s="2098"/>
      <c r="X39" s="2098"/>
      <c r="Y39" s="2098"/>
      <c r="Z39" s="2274"/>
      <c r="AA39" s="2274"/>
      <c r="AB39" s="2274"/>
      <c r="AC39" s="2274"/>
      <c r="AD39" s="2274"/>
    </row>
    <row r="40" s="2098" customFormat="1" ht="13" spans="1:36">
      <c r="A40" s="2271"/>
      <c r="B40" s="2160" t="s">
        <v>1255</v>
      </c>
      <c r="C40" s="865" t="e">
        <f>ROUND(D5*C22*C23*C24*C28*F40,0)</f>
        <v>#DIV/0!</v>
      </c>
      <c r="D40" s="2254"/>
      <c r="E40" s="865" t="e">
        <f t="shared" si="4"/>
        <v>#DIV/0!</v>
      </c>
      <c r="F40" s="2253">
        <f>SUMIF(修正!A57:A68,G2,修正!E57:E68)</f>
        <v>0</v>
      </c>
      <c r="G40" s="865" t="e">
        <f>ROUND(IF(E2="工业",C40*$M$42,C40*$M$41),0)</f>
        <v>#DIV/0!</v>
      </c>
      <c r="H40" s="865">
        <f t="shared" si="5"/>
        <v>0</v>
      </c>
      <c r="I40" s="865" t="e">
        <f t="shared" si="6"/>
        <v>#DIV/0!</v>
      </c>
      <c r="J40" s="2390"/>
      <c r="L40" s="2391" t="s">
        <v>1256</v>
      </c>
      <c r="M40" s="2392"/>
      <c r="Z40" s="2274"/>
      <c r="AA40" s="2274"/>
      <c r="AB40" s="2274"/>
      <c r="AC40" s="2274"/>
      <c r="AD40" s="2274"/>
      <c r="AE40" s="2274"/>
      <c r="AF40" s="2274"/>
      <c r="AG40" s="2274"/>
      <c r="AH40" s="2274"/>
      <c r="AI40" s="2274"/>
      <c r="AJ40" s="2274"/>
    </row>
    <row r="41" s="2098" customFormat="1" ht="13" spans="1:36">
      <c r="A41" s="2271"/>
      <c r="B41" s="2160" t="s">
        <v>1257</v>
      </c>
      <c r="C41" s="865" t="e">
        <f>ROUND(D5*C22*C23*C44*C28*F41,0)</f>
        <v>#DIV/0!</v>
      </c>
      <c r="D41" s="2254">
        <f>'数据-汇总表'!G20</f>
        <v>0</v>
      </c>
      <c r="E41" s="865" t="e">
        <f t="shared" si="4"/>
        <v>#DIV/0!</v>
      </c>
      <c r="F41" s="2253">
        <f>SUMIF(修正!A57:A68,G2,修正!F57:F68)</f>
        <v>0</v>
      </c>
      <c r="G41" s="865" t="e">
        <f>ROUND(IF(E2="工业",C41*$M$42,C41*$M$41),0)</f>
        <v>#DIV/0!</v>
      </c>
      <c r="H41" s="865">
        <f t="shared" si="5"/>
        <v>0</v>
      </c>
      <c r="I41" s="865" t="e">
        <f t="shared" si="6"/>
        <v>#DIV/0!</v>
      </c>
      <c r="J41" s="2390"/>
      <c r="L41" s="2393" t="s">
        <v>1258</v>
      </c>
      <c r="M41" s="2394">
        <v>0.25</v>
      </c>
      <c r="Z41" s="2274"/>
      <c r="AA41" s="2274"/>
      <c r="AB41" s="2274"/>
      <c r="AC41" s="2274"/>
      <c r="AD41" s="2274"/>
      <c r="AE41" s="2274"/>
      <c r="AF41" s="2274"/>
      <c r="AG41" s="2274"/>
      <c r="AH41" s="2274"/>
      <c r="AI41" s="2274"/>
      <c r="AJ41" s="2274"/>
    </row>
    <row r="42" s="2098" customFormat="1" ht="13.75" spans="1:36">
      <c r="A42" s="2257"/>
      <c r="B42" s="2272" t="s">
        <v>1259</v>
      </c>
      <c r="C42" s="2199" t="e">
        <f>ROUND(D5*C22*C23*C44*C28*F42,0)</f>
        <v>#DIV/0!</v>
      </c>
      <c r="D42" s="2259">
        <f>'数据-汇总表'!G21</f>
        <v>0</v>
      </c>
      <c r="E42" s="2199" t="e">
        <f t="shared" si="4"/>
        <v>#DIV/0!</v>
      </c>
      <c r="F42" s="2273">
        <f>SUMIF(修正!A57:A68,G2,修正!G57:G68)</f>
        <v>0</v>
      </c>
      <c r="G42" s="2199" t="e">
        <f>ROUND(IF(E2="工业",C42*$M$42,C42*$M$41),0)</f>
        <v>#DIV/0!</v>
      </c>
      <c r="H42" s="2199">
        <f t="shared" si="5"/>
        <v>0</v>
      </c>
      <c r="I42" s="2199" t="e">
        <f t="shared" si="6"/>
        <v>#DIV/0!</v>
      </c>
      <c r="J42" s="2395"/>
      <c r="L42" s="2396" t="s">
        <v>1235</v>
      </c>
      <c r="M42" s="2397">
        <v>0.15</v>
      </c>
      <c r="Z42" s="2274"/>
      <c r="AA42" s="2274"/>
      <c r="AB42" s="2274"/>
      <c r="AC42" s="2274"/>
      <c r="AD42" s="2274"/>
      <c r="AE42" s="2274"/>
      <c r="AF42" s="2274"/>
      <c r="AG42" s="2274"/>
      <c r="AH42" s="2274"/>
      <c r="AI42" s="2274"/>
      <c r="AJ42" s="2274"/>
    </row>
    <row r="43" s="2098" customFormat="1" spans="26:36">
      <c r="Z43" s="2274"/>
      <c r="AA43" s="2274"/>
      <c r="AB43" s="2274"/>
      <c r="AC43" s="2274"/>
      <c r="AD43" s="2274"/>
      <c r="AE43" s="2274"/>
      <c r="AF43" s="2274"/>
      <c r="AG43" s="2274"/>
      <c r="AH43" s="2274"/>
      <c r="AI43" s="2274"/>
      <c r="AJ43" s="2274"/>
    </row>
    <row r="44" s="2098" customFormat="1" ht="13" spans="1:36">
      <c r="A44" s="2274"/>
      <c r="B44" s="2275" t="s">
        <v>1260</v>
      </c>
      <c r="C44" s="1955">
        <f>ROUND(POWER(1+E44,H44-G44)*(POWER(1+E44,G44)-1)/(POWER(1+E44,H44)-1),4)</f>
        <v>0.788</v>
      </c>
      <c r="D44" s="865" t="s">
        <v>1209</v>
      </c>
      <c r="E44" s="2276">
        <f>G24</f>
        <v>0.05</v>
      </c>
      <c r="F44" s="865" t="s">
        <v>1210</v>
      </c>
      <c r="G44" s="2277">
        <f>项目基本情况!F15</f>
        <v>26.04</v>
      </c>
      <c r="H44" s="865">
        <v>50</v>
      </c>
      <c r="Z44" s="2274"/>
      <c r="AA44" s="2274"/>
      <c r="AB44" s="2274"/>
      <c r="AC44" s="2274"/>
      <c r="AD44" s="2274"/>
      <c r="AE44" s="2274"/>
      <c r="AF44" s="2274"/>
      <c r="AG44" s="2274"/>
      <c r="AH44" s="2274"/>
      <c r="AI44" s="2274"/>
      <c r="AJ44" s="2274"/>
    </row>
    <row r="45" s="2098" customFormat="1" spans="1:36">
      <c r="A45" s="2274"/>
      <c r="B45" s="2278"/>
      <c r="Z45" s="2274"/>
      <c r="AA45" s="2274"/>
      <c r="AB45" s="2274"/>
      <c r="AC45" s="2274"/>
      <c r="AD45" s="2274"/>
      <c r="AE45" s="2274"/>
      <c r="AF45" s="2274"/>
      <c r="AG45" s="2274"/>
      <c r="AH45" s="2274"/>
      <c r="AI45" s="2274"/>
      <c r="AJ45" s="2274"/>
    </row>
    <row r="46" s="2098" customFormat="1" spans="1:37">
      <c r="A46" s="2274"/>
      <c r="B46" s="2278"/>
      <c r="AA46" s="2274"/>
      <c r="AB46" s="2274"/>
      <c r="AC46" s="2274"/>
      <c r="AD46" s="2274"/>
      <c r="AE46" s="2274"/>
      <c r="AF46" s="2274"/>
      <c r="AG46" s="2274"/>
      <c r="AH46" s="2274"/>
      <c r="AI46" s="2274"/>
      <c r="AJ46" s="2274"/>
      <c r="AK46" s="2274"/>
    </row>
    <row r="47" s="2098" customFormat="1" ht="14.75" spans="1:37">
      <c r="A47" s="2279" t="s">
        <v>1261</v>
      </c>
      <c r="B47" s="2280"/>
      <c r="C47" s="2281"/>
      <c r="D47" s="2281"/>
      <c r="E47" s="2281"/>
      <c r="F47" s="2282"/>
      <c r="G47" s="2282"/>
      <c r="H47" s="2282"/>
      <c r="I47" s="2398"/>
      <c r="J47" s="2398"/>
      <c r="K47" s="2398"/>
      <c r="L47" s="2398"/>
      <c r="M47" s="2398"/>
      <c r="AA47" s="2274"/>
      <c r="AB47" s="2274"/>
      <c r="AC47" s="2274"/>
      <c r="AD47" s="2274"/>
      <c r="AE47" s="2274"/>
      <c r="AF47" s="2274"/>
      <c r="AG47" s="2274"/>
      <c r="AH47" s="2274"/>
      <c r="AI47" s="2274"/>
      <c r="AJ47" s="2274"/>
      <c r="AK47" s="2274"/>
    </row>
    <row r="48" s="2098" customFormat="1" ht="14" spans="1:37">
      <c r="A48" s="2283" t="s">
        <v>1262</v>
      </c>
      <c r="B48" s="2284">
        <f>1+E50</f>
        <v>1</v>
      </c>
      <c r="C48" s="2285"/>
      <c r="D48" s="2286"/>
      <c r="E48" s="2287"/>
      <c r="F48" s="2288"/>
      <c r="G48" s="2282"/>
      <c r="H48" s="2281"/>
      <c r="I48" s="2398"/>
      <c r="J48" s="2398"/>
      <c r="K48" s="2398"/>
      <c r="L48" s="2398"/>
      <c r="M48" s="2398"/>
      <c r="AA48" s="2274"/>
      <c r="AB48" s="2274"/>
      <c r="AC48" s="2274"/>
      <c r="AD48" s="2274"/>
      <c r="AE48" s="2274"/>
      <c r="AF48" s="2274"/>
      <c r="AG48" s="2274"/>
      <c r="AH48" s="2274"/>
      <c r="AI48" s="2274"/>
      <c r="AJ48" s="2274"/>
      <c r="AK48" s="2274"/>
    </row>
    <row r="49" s="2098" customFormat="1" ht="26" spans="1:37">
      <c r="A49" s="2289" t="s">
        <v>1263</v>
      </c>
      <c r="B49" s="2290" t="s">
        <v>1264</v>
      </c>
      <c r="C49" s="2290" t="s">
        <v>1265</v>
      </c>
      <c r="D49" s="2290" t="s">
        <v>1266</v>
      </c>
      <c r="E49" s="2291" t="s">
        <v>1267</v>
      </c>
      <c r="F49" s="2292" t="s">
        <v>1268</v>
      </c>
      <c r="G49" s="2290" t="s">
        <v>1182</v>
      </c>
      <c r="H49" s="2293" t="s">
        <v>1269</v>
      </c>
      <c r="I49" s="2290" t="s">
        <v>1270</v>
      </c>
      <c r="J49" s="988" t="s">
        <v>1271</v>
      </c>
      <c r="K49" s="988" t="s">
        <v>1272</v>
      </c>
      <c r="L49" s="988" t="s">
        <v>1273</v>
      </c>
      <c r="M49" s="988" t="s">
        <v>1274</v>
      </c>
      <c r="N49" s="988" t="s">
        <v>1275</v>
      </c>
      <c r="AA49" s="2274"/>
      <c r="AB49" s="2274"/>
      <c r="AC49" s="2274"/>
      <c r="AD49" s="2274"/>
      <c r="AE49" s="2274"/>
      <c r="AF49" s="2274"/>
      <c r="AG49" s="2274"/>
      <c r="AH49" s="2274"/>
      <c r="AI49" s="2274"/>
      <c r="AJ49" s="2274"/>
      <c r="AK49" s="2274"/>
    </row>
    <row r="50" s="2098" customFormat="1" ht="39" spans="1:37">
      <c r="A50" s="2289" t="s">
        <v>1276</v>
      </c>
      <c r="B50" s="2294" t="str">
        <f>估价对象房地状况!C4</f>
        <v>估价对象位于XX商圈，周边商业氛围成熟，人流量大，商业繁华度好</v>
      </c>
      <c r="C50" s="2166"/>
      <c r="D50" s="2295">
        <f t="shared" ref="D50:D58" si="7">SUMIF($J$49:$N$49,C50,J50:N50)</f>
        <v>0</v>
      </c>
      <c r="E50" s="2296">
        <f>ROUND(SUM(D50:D58),4)</f>
        <v>0</v>
      </c>
      <c r="F50" s="2297" t="str">
        <f>IF(E2="商业",SUMIF(L1:L12,G2,N1:N12),"——")</f>
        <v>——</v>
      </c>
      <c r="G50" s="2298"/>
      <c r="H50" s="2299" t="str">
        <f t="shared" ref="H50:H58" si="8">IFERROR(ROUNDDOWN($F$50*I50/2,4),"——")</f>
        <v>——</v>
      </c>
      <c r="I50" s="2399">
        <v>0.3</v>
      </c>
      <c r="J50" s="2400">
        <f t="shared" ref="J50:J58" si="9">K50+$G50</f>
        <v>0</v>
      </c>
      <c r="K50" s="2400">
        <f t="shared" ref="K50:K58" si="10">$L50+$G50</f>
        <v>0</v>
      </c>
      <c r="L50" s="2400">
        <v>0</v>
      </c>
      <c r="M50" s="2400">
        <f t="shared" ref="M50:N58" si="11">L50-$G50</f>
        <v>0</v>
      </c>
      <c r="N50" s="2400">
        <f t="shared" si="11"/>
        <v>0</v>
      </c>
      <c r="AA50" s="2274"/>
      <c r="AB50" s="2274"/>
      <c r="AC50" s="2274"/>
      <c r="AD50" s="2274"/>
      <c r="AE50" s="2274"/>
      <c r="AF50" s="2274"/>
      <c r="AG50" s="2274"/>
      <c r="AH50" s="2274"/>
      <c r="AI50" s="2274"/>
      <c r="AJ50" s="2274"/>
      <c r="AK50" s="2274"/>
    </row>
    <row r="51" s="2098" customFormat="1" ht="52" spans="1:37">
      <c r="A51" s="2289" t="s">
        <v>1277</v>
      </c>
      <c r="B51" s="2300" t="str">
        <f>估价对象房地状况!C18</f>
        <v>估价对象周边道路状况、公共交通通达情况、停车便捷程度，综合评价交通便捷度较好</v>
      </c>
      <c r="C51" s="2166"/>
      <c r="D51" s="2295">
        <f t="shared" si="7"/>
        <v>0</v>
      </c>
      <c r="E51" s="2301"/>
      <c r="F51" s="2297"/>
      <c r="G51" s="2298"/>
      <c r="H51" s="2299" t="str">
        <f t="shared" si="8"/>
        <v>——</v>
      </c>
      <c r="I51" s="2399">
        <v>0.22</v>
      </c>
      <c r="J51" s="2400">
        <f t="shared" si="9"/>
        <v>0</v>
      </c>
      <c r="K51" s="2400">
        <f t="shared" si="10"/>
        <v>0</v>
      </c>
      <c r="L51" s="2400">
        <v>0</v>
      </c>
      <c r="M51" s="2400">
        <f t="shared" si="11"/>
        <v>0</v>
      </c>
      <c r="N51" s="2400">
        <f t="shared" si="11"/>
        <v>0</v>
      </c>
      <c r="AA51" s="2274"/>
      <c r="AB51" s="2274"/>
      <c r="AC51" s="2274"/>
      <c r="AD51" s="2274"/>
      <c r="AE51" s="2274"/>
      <c r="AF51" s="2274"/>
      <c r="AG51" s="2274"/>
      <c r="AH51" s="2274"/>
      <c r="AI51" s="2274"/>
      <c r="AJ51" s="2274"/>
      <c r="AK51" s="2274"/>
    </row>
    <row r="52" s="2098" customFormat="1" ht="39" spans="1:37">
      <c r="A52" s="2302" t="s">
        <v>1278</v>
      </c>
      <c r="B52" s="2300">
        <f>估价对象房地状况!C19</f>
        <v>0</v>
      </c>
      <c r="C52" s="2166"/>
      <c r="D52" s="2295">
        <f t="shared" si="7"/>
        <v>0</v>
      </c>
      <c r="E52" s="2301"/>
      <c r="F52" s="2297"/>
      <c r="G52" s="2298"/>
      <c r="H52" s="2299" t="str">
        <f t="shared" si="8"/>
        <v>——</v>
      </c>
      <c r="I52" s="2399">
        <v>0.12</v>
      </c>
      <c r="J52" s="2400">
        <f t="shared" si="9"/>
        <v>0</v>
      </c>
      <c r="K52" s="2400">
        <f t="shared" si="10"/>
        <v>0</v>
      </c>
      <c r="L52" s="2400">
        <v>0</v>
      </c>
      <c r="M52" s="2400">
        <f t="shared" si="11"/>
        <v>0</v>
      </c>
      <c r="N52" s="2400">
        <f t="shared" si="11"/>
        <v>0</v>
      </c>
      <c r="AA52" s="2274"/>
      <c r="AB52" s="2274"/>
      <c r="AC52" s="2274"/>
      <c r="AD52" s="2274"/>
      <c r="AE52" s="2274"/>
      <c r="AF52" s="2274"/>
      <c r="AG52" s="2274"/>
      <c r="AH52" s="2274"/>
      <c r="AI52" s="2274"/>
      <c r="AJ52" s="2274"/>
      <c r="AK52" s="2274"/>
    </row>
    <row r="53" s="2098" customFormat="1" ht="39" spans="1:37">
      <c r="A53" s="2289" t="s">
        <v>1279</v>
      </c>
      <c r="B53" s="2303" t="s">
        <v>1280</v>
      </c>
      <c r="C53" s="2166"/>
      <c r="D53" s="2295">
        <f t="shared" si="7"/>
        <v>0</v>
      </c>
      <c r="E53" s="2301"/>
      <c r="F53" s="2297"/>
      <c r="G53" s="2298"/>
      <c r="H53" s="2299" t="str">
        <f t="shared" si="8"/>
        <v>——</v>
      </c>
      <c r="I53" s="2399">
        <v>0.05</v>
      </c>
      <c r="J53" s="2400">
        <f t="shared" si="9"/>
        <v>0</v>
      </c>
      <c r="K53" s="2400">
        <f t="shared" si="10"/>
        <v>0</v>
      </c>
      <c r="L53" s="2400">
        <v>0</v>
      </c>
      <c r="M53" s="2400">
        <f t="shared" si="11"/>
        <v>0</v>
      </c>
      <c r="N53" s="2400">
        <f t="shared" si="11"/>
        <v>0</v>
      </c>
      <c r="AA53" s="2274"/>
      <c r="AB53" s="2274"/>
      <c r="AC53" s="2274"/>
      <c r="AD53" s="2274"/>
      <c r="AE53" s="2274"/>
      <c r="AF53" s="2274"/>
      <c r="AG53" s="2274"/>
      <c r="AH53" s="2274"/>
      <c r="AI53" s="2274"/>
      <c r="AJ53" s="2274"/>
      <c r="AK53" s="2274"/>
    </row>
    <row r="54" s="2098" customFormat="1" ht="26" spans="1:37">
      <c r="A54" s="2289" t="s">
        <v>1281</v>
      </c>
      <c r="B54" s="2300">
        <f>估价对象房地状况!C24</f>
        <v>0</v>
      </c>
      <c r="C54" s="2166"/>
      <c r="D54" s="2295">
        <f t="shared" si="7"/>
        <v>0</v>
      </c>
      <c r="E54" s="2301"/>
      <c r="F54" s="2297"/>
      <c r="G54" s="2298"/>
      <c r="H54" s="2299" t="str">
        <f t="shared" si="8"/>
        <v>——</v>
      </c>
      <c r="I54" s="2399">
        <v>0.08</v>
      </c>
      <c r="J54" s="2400">
        <f t="shared" si="9"/>
        <v>0</v>
      </c>
      <c r="K54" s="2400">
        <f t="shared" si="10"/>
        <v>0</v>
      </c>
      <c r="L54" s="2400">
        <v>0</v>
      </c>
      <c r="M54" s="2400">
        <f t="shared" si="11"/>
        <v>0</v>
      </c>
      <c r="N54" s="2400">
        <f t="shared" si="11"/>
        <v>0</v>
      </c>
      <c r="AA54" s="2274"/>
      <c r="AB54" s="2274"/>
      <c r="AC54" s="2274"/>
      <c r="AD54" s="2274"/>
      <c r="AE54" s="2274"/>
      <c r="AF54" s="2274"/>
      <c r="AG54" s="2274"/>
      <c r="AH54" s="2274"/>
      <c r="AI54" s="2274"/>
      <c r="AJ54" s="2274"/>
      <c r="AK54" s="2274"/>
    </row>
    <row r="55" s="2098" customFormat="1" ht="26" spans="1:37">
      <c r="A55" s="2289" t="s">
        <v>1282</v>
      </c>
      <c r="B55" s="2304" t="s">
        <v>1283</v>
      </c>
      <c r="C55" s="2166"/>
      <c r="D55" s="2295">
        <f t="shared" si="7"/>
        <v>0</v>
      </c>
      <c r="E55" s="2301"/>
      <c r="F55" s="2297"/>
      <c r="G55" s="2298"/>
      <c r="H55" s="2299" t="str">
        <f t="shared" si="8"/>
        <v>——</v>
      </c>
      <c r="I55" s="2399">
        <v>0.05</v>
      </c>
      <c r="J55" s="2400">
        <f t="shared" si="9"/>
        <v>0</v>
      </c>
      <c r="K55" s="2400">
        <f t="shared" si="10"/>
        <v>0</v>
      </c>
      <c r="L55" s="2400">
        <v>0</v>
      </c>
      <c r="M55" s="2400">
        <f t="shared" si="11"/>
        <v>0</v>
      </c>
      <c r="N55" s="2400">
        <f t="shared" si="11"/>
        <v>0</v>
      </c>
      <c r="AA55" s="2274"/>
      <c r="AB55" s="2274"/>
      <c r="AC55" s="2274"/>
      <c r="AD55" s="2274"/>
      <c r="AE55" s="2274"/>
      <c r="AF55" s="2274"/>
      <c r="AG55" s="2274"/>
      <c r="AH55" s="2274"/>
      <c r="AI55" s="2274"/>
      <c r="AJ55" s="2274"/>
      <c r="AK55" s="2274"/>
    </row>
    <row r="56" s="2098" customFormat="1" ht="26" spans="1:37">
      <c r="A56" s="2305" t="s">
        <v>1284</v>
      </c>
      <c r="B56" s="621" t="str">
        <f>估价对象房地状况!C21</f>
        <v>估价对象所在区域公共配套设施齐备情况</v>
      </c>
      <c r="C56" s="2166"/>
      <c r="D56" s="2295">
        <f t="shared" si="7"/>
        <v>0</v>
      </c>
      <c r="E56" s="2301"/>
      <c r="F56" s="2297"/>
      <c r="G56" s="2298"/>
      <c r="H56" s="2299" t="str">
        <f t="shared" si="8"/>
        <v>——</v>
      </c>
      <c r="I56" s="2399">
        <v>0.05</v>
      </c>
      <c r="J56" s="2400">
        <f t="shared" si="9"/>
        <v>0</v>
      </c>
      <c r="K56" s="2400">
        <f t="shared" si="10"/>
        <v>0</v>
      </c>
      <c r="L56" s="2400">
        <v>0</v>
      </c>
      <c r="M56" s="2400">
        <f t="shared" si="11"/>
        <v>0</v>
      </c>
      <c r="N56" s="2400">
        <f t="shared" si="11"/>
        <v>0</v>
      </c>
      <c r="AA56" s="2274"/>
      <c r="AB56" s="2274"/>
      <c r="AC56" s="2274"/>
      <c r="AD56" s="2274"/>
      <c r="AE56" s="2274"/>
      <c r="AF56" s="2274"/>
      <c r="AG56" s="2274"/>
      <c r="AH56" s="2274"/>
      <c r="AI56" s="2274"/>
      <c r="AJ56" s="2274"/>
      <c r="AK56" s="2274"/>
    </row>
    <row r="57" s="2098" customFormat="1" ht="26" spans="1:37">
      <c r="A57" s="2305" t="s">
        <v>1285</v>
      </c>
      <c r="B57" s="2300" t="str">
        <f>估价对象房地状况!C22</f>
        <v>估价对象所在区域基础设施水平</v>
      </c>
      <c r="C57" s="2166"/>
      <c r="D57" s="2295">
        <f t="shared" si="7"/>
        <v>0</v>
      </c>
      <c r="E57" s="2301"/>
      <c r="F57" s="2297"/>
      <c r="G57" s="2298"/>
      <c r="H57" s="2299" t="str">
        <f t="shared" si="8"/>
        <v>——</v>
      </c>
      <c r="I57" s="2399">
        <v>0.08</v>
      </c>
      <c r="J57" s="2400">
        <f t="shared" si="9"/>
        <v>0</v>
      </c>
      <c r="K57" s="2400">
        <f t="shared" si="10"/>
        <v>0</v>
      </c>
      <c r="L57" s="2400">
        <v>0</v>
      </c>
      <c r="M57" s="2400">
        <f t="shared" si="11"/>
        <v>0</v>
      </c>
      <c r="N57" s="2400">
        <f t="shared" si="11"/>
        <v>0</v>
      </c>
      <c r="AA57" s="2274"/>
      <c r="AB57" s="2274"/>
      <c r="AC57" s="2274"/>
      <c r="AD57" s="2274"/>
      <c r="AE57" s="2274"/>
      <c r="AF57" s="2274"/>
      <c r="AG57" s="2274"/>
      <c r="AH57" s="2274"/>
      <c r="AI57" s="2274"/>
      <c r="AJ57" s="2274"/>
      <c r="AK57" s="2274"/>
    </row>
    <row r="58" s="2098" customFormat="1" ht="26.75" spans="1:37">
      <c r="A58" s="2306" t="s">
        <v>1286</v>
      </c>
      <c r="B58" s="2307" t="str">
        <f>估价对象房地状况!C20</f>
        <v>区域自然环境：；人文环境；综合评价环境状况一般</v>
      </c>
      <c r="C58" s="2166"/>
      <c r="D58" s="2295">
        <f t="shared" si="7"/>
        <v>0</v>
      </c>
      <c r="E58" s="2308"/>
      <c r="F58" s="2297"/>
      <c r="G58" s="2298"/>
      <c r="H58" s="2299" t="str">
        <f t="shared" si="8"/>
        <v>——</v>
      </c>
      <c r="I58" s="2401">
        <v>0.05</v>
      </c>
      <c r="J58" s="2400">
        <f t="shared" si="9"/>
        <v>0</v>
      </c>
      <c r="K58" s="2400">
        <f t="shared" si="10"/>
        <v>0</v>
      </c>
      <c r="L58" s="2400">
        <v>0</v>
      </c>
      <c r="M58" s="2400">
        <f t="shared" si="11"/>
        <v>0</v>
      </c>
      <c r="N58" s="2400">
        <f t="shared" si="11"/>
        <v>0</v>
      </c>
      <c r="AA58" s="2274"/>
      <c r="AB58" s="2274"/>
      <c r="AC58" s="2274"/>
      <c r="AD58" s="2274"/>
      <c r="AE58" s="2274"/>
      <c r="AF58" s="2274"/>
      <c r="AG58" s="2274"/>
      <c r="AH58" s="2274"/>
      <c r="AI58" s="2274"/>
      <c r="AJ58" s="2274"/>
      <c r="AK58" s="2274"/>
    </row>
    <row r="59" s="2098" customFormat="1" ht="14" spans="1:37">
      <c r="A59" s="2283" t="s">
        <v>1287</v>
      </c>
      <c r="B59" s="2284">
        <f>1+E61</f>
        <v>1</v>
      </c>
      <c r="C59" s="2286"/>
      <c r="D59" s="2286"/>
      <c r="E59" s="2287"/>
      <c r="F59" s="2288"/>
      <c r="G59" s="2282"/>
      <c r="H59" s="2282"/>
      <c r="I59" s="2282"/>
      <c r="J59" s="2281"/>
      <c r="K59" s="2281"/>
      <c r="L59" s="2281"/>
      <c r="M59" s="2281"/>
      <c r="N59" s="2281"/>
      <c r="AA59" s="2274"/>
      <c r="AB59" s="2274"/>
      <c r="AC59" s="2274"/>
      <c r="AD59" s="2274"/>
      <c r="AE59" s="2274"/>
      <c r="AF59" s="2274"/>
      <c r="AG59" s="2274"/>
      <c r="AH59" s="2274"/>
      <c r="AI59" s="2274"/>
      <c r="AJ59" s="2274"/>
      <c r="AK59" s="2274"/>
    </row>
    <row r="60" s="2098" customFormat="1" ht="26" spans="1:37">
      <c r="A60" s="2289" t="s">
        <v>1263</v>
      </c>
      <c r="B60" s="2290"/>
      <c r="C60" s="2290" t="s">
        <v>1265</v>
      </c>
      <c r="D60" s="2290" t="s">
        <v>1266</v>
      </c>
      <c r="E60" s="2291" t="s">
        <v>1267</v>
      </c>
      <c r="F60" s="2292" t="s">
        <v>1288</v>
      </c>
      <c r="G60" s="2290" t="s">
        <v>1182</v>
      </c>
      <c r="H60" s="2293" t="s">
        <v>1269</v>
      </c>
      <c r="I60" s="2290" t="s">
        <v>1270</v>
      </c>
      <c r="J60" s="988" t="s">
        <v>1271</v>
      </c>
      <c r="K60" s="988" t="s">
        <v>1272</v>
      </c>
      <c r="L60" s="988" t="s">
        <v>1273</v>
      </c>
      <c r="M60" s="988" t="s">
        <v>1274</v>
      </c>
      <c r="N60" s="988" t="s">
        <v>1275</v>
      </c>
      <c r="AA60" s="2274"/>
      <c r="AB60" s="2274"/>
      <c r="AC60" s="2274"/>
      <c r="AD60" s="2274"/>
      <c r="AE60" s="2274"/>
      <c r="AF60" s="2274"/>
      <c r="AG60" s="2274"/>
      <c r="AH60" s="2274"/>
      <c r="AI60" s="2274"/>
      <c r="AJ60" s="2274"/>
      <c r="AK60" s="2274"/>
    </row>
    <row r="61" s="2098" customFormat="1" ht="39" spans="1:37">
      <c r="A61" s="2289" t="s">
        <v>1289</v>
      </c>
      <c r="B61" s="2294" t="str">
        <f>估价对象房地状况!C17</f>
        <v>估价对象位于XX商圈，周边办公楼项目较多，入驻率高，办公集聚程度较好</v>
      </c>
      <c r="C61" s="2166"/>
      <c r="D61" s="2295">
        <f t="shared" ref="D61:D69" si="12">SUMIF($J$60:$N$60,C61,J61:N61)</f>
        <v>0</v>
      </c>
      <c r="E61" s="2296">
        <f>ROUND(SUM(D61:D69),4)</f>
        <v>0</v>
      </c>
      <c r="F61" s="2297" t="str">
        <f>IF(E2="办公",SUMIF(L1:L12,G2,N1:N12),"——")</f>
        <v>——</v>
      </c>
      <c r="G61" s="2298"/>
      <c r="H61" s="2299" t="str">
        <f t="shared" ref="H61:H69" si="13">IFERROR(ROUNDDOWN($F$61*I61/2,4),"——")</f>
        <v>——</v>
      </c>
      <c r="I61" s="2399">
        <v>0.25</v>
      </c>
      <c r="J61" s="2400">
        <f t="shared" ref="J61:J69" si="14">K61+$G61</f>
        <v>0</v>
      </c>
      <c r="K61" s="2400">
        <f t="shared" ref="K61:K69" si="15">$L61+$G61</f>
        <v>0</v>
      </c>
      <c r="L61" s="2400">
        <v>0</v>
      </c>
      <c r="M61" s="2400">
        <f t="shared" ref="M61:N69" si="16">L61-$G61</f>
        <v>0</v>
      </c>
      <c r="N61" s="2400">
        <f t="shared" si="16"/>
        <v>0</v>
      </c>
      <c r="AA61" s="2274"/>
      <c r="AB61" s="2274"/>
      <c r="AC61" s="2274"/>
      <c r="AD61" s="2274"/>
      <c r="AE61" s="2274"/>
      <c r="AF61" s="2274"/>
      <c r="AG61" s="2274"/>
      <c r="AH61" s="2274"/>
      <c r="AI61" s="2274"/>
      <c r="AJ61" s="2274"/>
      <c r="AK61" s="2274"/>
    </row>
    <row r="62" s="2098" customFormat="1" ht="52" spans="1:37">
      <c r="A62" s="2289" t="s">
        <v>1277</v>
      </c>
      <c r="B62" s="2300" t="str">
        <f>估价对象房地状况!C18</f>
        <v>估价对象周边道路状况、公共交通通达情况、停车便捷程度，综合评价交通便捷度较好</v>
      </c>
      <c r="C62" s="2166"/>
      <c r="D62" s="2295">
        <f t="shared" si="12"/>
        <v>0</v>
      </c>
      <c r="E62" s="2301"/>
      <c r="F62" s="2297"/>
      <c r="G62" s="2298"/>
      <c r="H62" s="2299" t="str">
        <f t="shared" si="13"/>
        <v>——</v>
      </c>
      <c r="I62" s="2399">
        <v>0.26</v>
      </c>
      <c r="J62" s="2400">
        <f t="shared" si="14"/>
        <v>0</v>
      </c>
      <c r="K62" s="2400">
        <f t="shared" si="15"/>
        <v>0</v>
      </c>
      <c r="L62" s="2400">
        <v>0</v>
      </c>
      <c r="M62" s="2400">
        <f t="shared" si="16"/>
        <v>0</v>
      </c>
      <c r="N62" s="2400">
        <f t="shared" si="16"/>
        <v>0</v>
      </c>
      <c r="AA62" s="2274"/>
      <c r="AB62" s="2274"/>
      <c r="AC62" s="2274"/>
      <c r="AD62" s="2274"/>
      <c r="AE62" s="2274"/>
      <c r="AF62" s="2274"/>
      <c r="AG62" s="2274"/>
      <c r="AH62" s="2274"/>
      <c r="AI62" s="2274"/>
      <c r="AJ62" s="2274"/>
      <c r="AK62" s="2274"/>
    </row>
    <row r="63" s="2098" customFormat="1" ht="39" spans="1:37">
      <c r="A63" s="2302" t="s">
        <v>1278</v>
      </c>
      <c r="B63" s="2300">
        <f>估价对象房地状况!C19</f>
        <v>0</v>
      </c>
      <c r="C63" s="2166"/>
      <c r="D63" s="2295">
        <f t="shared" si="12"/>
        <v>0</v>
      </c>
      <c r="E63" s="2301"/>
      <c r="F63" s="2297"/>
      <c r="G63" s="2298"/>
      <c r="H63" s="2299" t="str">
        <f t="shared" si="13"/>
        <v>——</v>
      </c>
      <c r="I63" s="2399">
        <v>0.11</v>
      </c>
      <c r="J63" s="2400">
        <f t="shared" si="14"/>
        <v>0</v>
      </c>
      <c r="K63" s="2400">
        <f t="shared" si="15"/>
        <v>0</v>
      </c>
      <c r="L63" s="2400">
        <v>0</v>
      </c>
      <c r="M63" s="2400">
        <f t="shared" si="16"/>
        <v>0</v>
      </c>
      <c r="N63" s="2400">
        <f t="shared" si="16"/>
        <v>0</v>
      </c>
      <c r="AA63" s="2274"/>
      <c r="AB63" s="2274"/>
      <c r="AC63" s="2274"/>
      <c r="AD63" s="2274"/>
      <c r="AE63" s="2274"/>
      <c r="AF63" s="2274"/>
      <c r="AG63" s="2274"/>
      <c r="AH63" s="2274"/>
      <c r="AI63" s="2274"/>
      <c r="AJ63" s="2274"/>
      <c r="AK63" s="2274"/>
    </row>
    <row r="64" s="2098" customFormat="1" ht="39" spans="1:37">
      <c r="A64" s="2289" t="s">
        <v>1279</v>
      </c>
      <c r="B64" s="2303" t="s">
        <v>1280</v>
      </c>
      <c r="C64" s="2166"/>
      <c r="D64" s="2295">
        <f t="shared" si="12"/>
        <v>0</v>
      </c>
      <c r="E64" s="2301"/>
      <c r="F64" s="2297"/>
      <c r="G64" s="2298"/>
      <c r="H64" s="2299" t="str">
        <f t="shared" si="13"/>
        <v>——</v>
      </c>
      <c r="I64" s="2399">
        <v>0.05</v>
      </c>
      <c r="J64" s="2400">
        <f t="shared" si="14"/>
        <v>0</v>
      </c>
      <c r="K64" s="2400">
        <f t="shared" si="15"/>
        <v>0</v>
      </c>
      <c r="L64" s="2400">
        <v>0</v>
      </c>
      <c r="M64" s="2400">
        <f t="shared" si="16"/>
        <v>0</v>
      </c>
      <c r="N64" s="2400">
        <f t="shared" si="16"/>
        <v>0</v>
      </c>
      <c r="AA64" s="2274"/>
      <c r="AB64" s="2274"/>
      <c r="AC64" s="2274"/>
      <c r="AD64" s="2274"/>
      <c r="AE64" s="2274"/>
      <c r="AF64" s="2274"/>
      <c r="AG64" s="2274"/>
      <c r="AH64" s="2274"/>
      <c r="AI64" s="2274"/>
      <c r="AJ64" s="2274"/>
      <c r="AK64" s="2274"/>
    </row>
    <row r="65" s="2098" customFormat="1" ht="26" spans="1:37">
      <c r="A65" s="2289" t="s">
        <v>1281</v>
      </c>
      <c r="B65" s="2300">
        <f>估价对象房地状况!C24</f>
        <v>0</v>
      </c>
      <c r="C65" s="2166"/>
      <c r="D65" s="2295">
        <f t="shared" si="12"/>
        <v>0</v>
      </c>
      <c r="E65" s="2301"/>
      <c r="F65" s="2297"/>
      <c r="G65" s="2298"/>
      <c r="H65" s="2299" t="str">
        <f t="shared" si="13"/>
        <v>——</v>
      </c>
      <c r="I65" s="2399">
        <v>0.05</v>
      </c>
      <c r="J65" s="2400">
        <f t="shared" si="14"/>
        <v>0</v>
      </c>
      <c r="K65" s="2400">
        <f t="shared" si="15"/>
        <v>0</v>
      </c>
      <c r="L65" s="2400">
        <v>0</v>
      </c>
      <c r="M65" s="2400">
        <f t="shared" si="16"/>
        <v>0</v>
      </c>
      <c r="N65" s="2400">
        <f t="shared" si="16"/>
        <v>0</v>
      </c>
      <c r="AA65" s="2274"/>
      <c r="AB65" s="2274"/>
      <c r="AC65" s="2274"/>
      <c r="AD65" s="2274"/>
      <c r="AE65" s="2274"/>
      <c r="AF65" s="2274"/>
      <c r="AG65" s="2274"/>
      <c r="AH65" s="2274"/>
      <c r="AI65" s="2274"/>
      <c r="AJ65" s="2274"/>
      <c r="AK65" s="2274"/>
    </row>
    <row r="66" s="2098" customFormat="1" ht="26" spans="1:37">
      <c r="A66" s="2289" t="s">
        <v>1282</v>
      </c>
      <c r="B66" s="2304" t="s">
        <v>1283</v>
      </c>
      <c r="C66" s="2166"/>
      <c r="D66" s="2295">
        <f t="shared" si="12"/>
        <v>0</v>
      </c>
      <c r="E66" s="2301"/>
      <c r="F66" s="2297"/>
      <c r="G66" s="2298"/>
      <c r="H66" s="2299" t="str">
        <f t="shared" si="13"/>
        <v>——</v>
      </c>
      <c r="I66" s="2399">
        <v>0.06</v>
      </c>
      <c r="J66" s="2400">
        <f t="shared" si="14"/>
        <v>0</v>
      </c>
      <c r="K66" s="2400">
        <f t="shared" si="15"/>
        <v>0</v>
      </c>
      <c r="L66" s="2400">
        <v>0</v>
      </c>
      <c r="M66" s="2400">
        <f t="shared" si="16"/>
        <v>0</v>
      </c>
      <c r="N66" s="2400">
        <f t="shared" si="16"/>
        <v>0</v>
      </c>
      <c r="AA66" s="2274"/>
      <c r="AB66" s="2274"/>
      <c r="AC66" s="2274"/>
      <c r="AD66" s="2274"/>
      <c r="AE66" s="2274"/>
      <c r="AF66" s="2274"/>
      <c r="AG66" s="2274"/>
      <c r="AH66" s="2274"/>
      <c r="AI66" s="2274"/>
      <c r="AJ66" s="2274"/>
      <c r="AK66" s="2274"/>
    </row>
    <row r="67" s="2098" customFormat="1" ht="26" spans="1:37">
      <c r="A67" s="2289" t="s">
        <v>1284</v>
      </c>
      <c r="B67" s="621" t="str">
        <f>估价对象房地状况!C21</f>
        <v>估价对象所在区域公共配套设施齐备情况</v>
      </c>
      <c r="C67" s="2166"/>
      <c r="D67" s="2295">
        <f t="shared" si="12"/>
        <v>0</v>
      </c>
      <c r="E67" s="2301"/>
      <c r="F67" s="2297"/>
      <c r="G67" s="2298"/>
      <c r="H67" s="2299" t="str">
        <f t="shared" si="13"/>
        <v>——</v>
      </c>
      <c r="I67" s="2399">
        <v>0.06</v>
      </c>
      <c r="J67" s="2400">
        <f t="shared" si="14"/>
        <v>0</v>
      </c>
      <c r="K67" s="2400">
        <f t="shared" si="15"/>
        <v>0</v>
      </c>
      <c r="L67" s="2400">
        <v>0</v>
      </c>
      <c r="M67" s="2400">
        <f t="shared" si="16"/>
        <v>0</v>
      </c>
      <c r="N67" s="2400">
        <f t="shared" si="16"/>
        <v>0</v>
      </c>
      <c r="AA67" s="2274"/>
      <c r="AB67" s="2274"/>
      <c r="AC67" s="2274"/>
      <c r="AD67" s="2274"/>
      <c r="AE67" s="2274"/>
      <c r="AF67" s="2274"/>
      <c r="AG67" s="2274"/>
      <c r="AH67" s="2274"/>
      <c r="AI67" s="2274"/>
      <c r="AJ67" s="2274"/>
      <c r="AK67" s="2274"/>
    </row>
    <row r="68" s="2098" customFormat="1" ht="26" spans="1:37">
      <c r="A68" s="2289" t="s">
        <v>1285</v>
      </c>
      <c r="B68" s="621" t="str">
        <f>估价对象房地状况!C22</f>
        <v>估价对象所在区域基础设施水平</v>
      </c>
      <c r="C68" s="2166"/>
      <c r="D68" s="2295">
        <f t="shared" si="12"/>
        <v>0</v>
      </c>
      <c r="E68" s="2301"/>
      <c r="F68" s="2297"/>
      <c r="G68" s="2298"/>
      <c r="H68" s="2299" t="str">
        <f t="shared" si="13"/>
        <v>——</v>
      </c>
      <c r="I68" s="2399">
        <v>0.09</v>
      </c>
      <c r="J68" s="2400">
        <f t="shared" si="14"/>
        <v>0</v>
      </c>
      <c r="K68" s="2400">
        <f t="shared" si="15"/>
        <v>0</v>
      </c>
      <c r="L68" s="2400">
        <v>0</v>
      </c>
      <c r="M68" s="2400">
        <f t="shared" si="16"/>
        <v>0</v>
      </c>
      <c r="N68" s="2400">
        <f t="shared" si="16"/>
        <v>0</v>
      </c>
      <c r="AA68" s="2274"/>
      <c r="AB68" s="2274"/>
      <c r="AC68" s="2274"/>
      <c r="AD68" s="2274"/>
      <c r="AE68" s="2274"/>
      <c r="AF68" s="2274"/>
      <c r="AG68" s="2274"/>
      <c r="AH68" s="2274"/>
      <c r="AI68" s="2274"/>
      <c r="AJ68" s="2274"/>
      <c r="AK68" s="2274"/>
    </row>
    <row r="69" s="2098" customFormat="1" ht="26.75" spans="1:37">
      <c r="A69" s="2306" t="s">
        <v>1286</v>
      </c>
      <c r="B69" s="2433" t="str">
        <f>估价对象房地状况!C20</f>
        <v>区域自然环境：；人文环境；综合评价环境状况一般</v>
      </c>
      <c r="C69" s="2166"/>
      <c r="D69" s="2295">
        <f t="shared" si="12"/>
        <v>0</v>
      </c>
      <c r="E69" s="2308"/>
      <c r="F69" s="2297"/>
      <c r="G69" s="2298"/>
      <c r="H69" s="2299" t="str">
        <f t="shared" si="13"/>
        <v>——</v>
      </c>
      <c r="I69" s="2401">
        <v>0.07</v>
      </c>
      <c r="J69" s="2400">
        <f t="shared" si="14"/>
        <v>0</v>
      </c>
      <c r="K69" s="2400">
        <f t="shared" si="15"/>
        <v>0</v>
      </c>
      <c r="L69" s="2400">
        <v>0</v>
      </c>
      <c r="M69" s="2400">
        <f t="shared" si="16"/>
        <v>0</v>
      </c>
      <c r="N69" s="2400">
        <f t="shared" si="16"/>
        <v>0</v>
      </c>
      <c r="AA69" s="2274"/>
      <c r="AB69" s="2274"/>
      <c r="AC69" s="2274"/>
      <c r="AD69" s="2274"/>
      <c r="AE69" s="2274"/>
      <c r="AF69" s="2274"/>
      <c r="AG69" s="2274"/>
      <c r="AH69" s="2274"/>
      <c r="AI69" s="2274"/>
      <c r="AJ69" s="2274"/>
      <c r="AK69" s="2274"/>
    </row>
    <row r="70" s="2098" customFormat="1" ht="14" spans="1:37">
      <c r="A70" s="2283" t="s">
        <v>1290</v>
      </c>
      <c r="B70" s="2284">
        <f>1+E72</f>
        <v>1</v>
      </c>
      <c r="C70" s="2286"/>
      <c r="D70" s="2286"/>
      <c r="E70" s="2287"/>
      <c r="F70" s="2288"/>
      <c r="G70" s="2282"/>
      <c r="H70" s="2282"/>
      <c r="I70" s="2282"/>
      <c r="J70" s="2281"/>
      <c r="K70" s="2281"/>
      <c r="L70" s="2281"/>
      <c r="M70" s="2281"/>
      <c r="N70" s="2281"/>
      <c r="AA70" s="2274"/>
      <c r="AB70" s="2274"/>
      <c r="AC70" s="2274"/>
      <c r="AD70" s="2274"/>
      <c r="AE70" s="2274"/>
      <c r="AF70" s="2274"/>
      <c r="AG70" s="2274"/>
      <c r="AH70" s="2274"/>
      <c r="AI70" s="2274"/>
      <c r="AJ70" s="2274"/>
      <c r="AK70" s="2274"/>
    </row>
    <row r="71" s="2098" customFormat="1" ht="26" spans="1:37">
      <c r="A71" s="2289" t="s">
        <v>1263</v>
      </c>
      <c r="B71" s="2290"/>
      <c r="C71" s="2290" t="s">
        <v>1265</v>
      </c>
      <c r="D71" s="2290" t="s">
        <v>1266</v>
      </c>
      <c r="E71" s="2291" t="s">
        <v>1267</v>
      </c>
      <c r="F71" s="2292" t="s">
        <v>1288</v>
      </c>
      <c r="G71" s="2290" t="s">
        <v>1182</v>
      </c>
      <c r="H71" s="2293" t="s">
        <v>1269</v>
      </c>
      <c r="I71" s="2290" t="s">
        <v>1270</v>
      </c>
      <c r="J71" s="988" t="s">
        <v>1271</v>
      </c>
      <c r="K71" s="988" t="s">
        <v>1272</v>
      </c>
      <c r="L71" s="988" t="s">
        <v>1273</v>
      </c>
      <c r="M71" s="988" t="s">
        <v>1274</v>
      </c>
      <c r="N71" s="988" t="s">
        <v>1275</v>
      </c>
      <c r="AA71" s="2274"/>
      <c r="AB71" s="2274"/>
      <c r="AC71" s="2274"/>
      <c r="AD71" s="2274"/>
      <c r="AE71" s="2274"/>
      <c r="AF71" s="2274"/>
      <c r="AG71" s="2274"/>
      <c r="AH71" s="2274"/>
      <c r="AI71" s="2274"/>
      <c r="AJ71" s="2274"/>
      <c r="AK71" s="2274"/>
    </row>
    <row r="72" s="2098" customFormat="1" ht="52" spans="1:37">
      <c r="A72" s="2289" t="s">
        <v>1291</v>
      </c>
      <c r="B72" s="2294" t="str">
        <f>估价对象房地状况!C15</f>
        <v>估价对象周边居住用地比例、居住小区规模和社区发展完善程度，综合评价居住社区成熟度一般</v>
      </c>
      <c r="C72" s="2166" t="s">
        <v>1292</v>
      </c>
      <c r="D72" s="2295">
        <f t="shared" ref="D72:D80" si="17">SUMIF($J$71:$N$71,C72,J72:N72)</f>
        <v>0</v>
      </c>
      <c r="E72" s="2296">
        <f>ROUND(SUM(D72:D80),4)</f>
        <v>0</v>
      </c>
      <c r="F72" s="2297">
        <f>IF(E2="住宅",SUMIF(L1:L12,G2,N1:N12),"——")</f>
        <v>0</v>
      </c>
      <c r="G72" s="2298">
        <f>H72</f>
        <v>0</v>
      </c>
      <c r="H72" s="2299">
        <f t="shared" ref="H72:H80" si="18">IFERROR(ROUNDDOWN($F$72*I72/2,4),"——")</f>
        <v>0</v>
      </c>
      <c r="I72" s="2399">
        <v>0.2</v>
      </c>
      <c r="J72" s="2400">
        <f t="shared" ref="J72:J80" si="19">K72+$G72</f>
        <v>0</v>
      </c>
      <c r="K72" s="2400">
        <f t="shared" ref="K72:K80" si="20">$L72+$G72</f>
        <v>0</v>
      </c>
      <c r="L72" s="2400">
        <v>0</v>
      </c>
      <c r="M72" s="2400">
        <f t="shared" ref="M72:N80" si="21">L72-$G72</f>
        <v>0</v>
      </c>
      <c r="N72" s="2400">
        <f t="shared" si="21"/>
        <v>0</v>
      </c>
      <c r="AA72" s="2274"/>
      <c r="AB72" s="2274"/>
      <c r="AC72" s="2274"/>
      <c r="AD72" s="2274"/>
      <c r="AE72" s="2274"/>
      <c r="AF72" s="2274"/>
      <c r="AG72" s="2274"/>
      <c r="AH72" s="2274"/>
      <c r="AI72" s="2274"/>
      <c r="AJ72" s="2274"/>
      <c r="AK72" s="2274"/>
    </row>
    <row r="73" s="2098" customFormat="1" ht="52" spans="1:37">
      <c r="A73" s="2289" t="s">
        <v>1277</v>
      </c>
      <c r="B73" s="2300" t="str">
        <f>估价对象房地状况!C18</f>
        <v>估价对象周边道路状况、公共交通通达情况、停车便捷程度，综合评价交通便捷度较好</v>
      </c>
      <c r="C73" s="2166" t="s">
        <v>1292</v>
      </c>
      <c r="D73" s="2295">
        <f t="shared" si="17"/>
        <v>0</v>
      </c>
      <c r="E73" s="2434"/>
      <c r="F73" s="2297"/>
      <c r="G73" s="2298">
        <f t="shared" ref="G73:G80" si="22">H73</f>
        <v>0</v>
      </c>
      <c r="H73" s="2299">
        <f t="shared" si="18"/>
        <v>0</v>
      </c>
      <c r="I73" s="2399">
        <v>0.26</v>
      </c>
      <c r="J73" s="2400">
        <f t="shared" si="19"/>
        <v>0</v>
      </c>
      <c r="K73" s="2400">
        <f t="shared" si="20"/>
        <v>0</v>
      </c>
      <c r="L73" s="2400">
        <v>0</v>
      </c>
      <c r="M73" s="2400">
        <f t="shared" si="21"/>
        <v>0</v>
      </c>
      <c r="N73" s="2400">
        <f t="shared" si="21"/>
        <v>0</v>
      </c>
      <c r="AA73" s="2274"/>
      <c r="AB73" s="2274"/>
      <c r="AC73" s="2274"/>
      <c r="AD73" s="2274"/>
      <c r="AE73" s="2274"/>
      <c r="AF73" s="2274"/>
      <c r="AG73" s="2274"/>
      <c r="AH73" s="2274"/>
      <c r="AI73" s="2274"/>
      <c r="AJ73" s="2274"/>
      <c r="AK73" s="2274"/>
    </row>
    <row r="74" s="2099" customFormat="1" ht="39" spans="1:37">
      <c r="A74" s="2302" t="s">
        <v>1278</v>
      </c>
      <c r="B74" s="2300">
        <f>估价对象房地状况!C19</f>
        <v>0</v>
      </c>
      <c r="C74" s="2166" t="s">
        <v>1292</v>
      </c>
      <c r="D74" s="2295">
        <f t="shared" si="17"/>
        <v>0</v>
      </c>
      <c r="E74" s="2434"/>
      <c r="F74" s="2297"/>
      <c r="G74" s="2298">
        <f t="shared" si="22"/>
        <v>0</v>
      </c>
      <c r="H74" s="2299">
        <f t="shared" si="18"/>
        <v>0</v>
      </c>
      <c r="I74" s="2399">
        <v>0.1</v>
      </c>
      <c r="J74" s="2400">
        <f t="shared" si="19"/>
        <v>0</v>
      </c>
      <c r="K74" s="2400">
        <f t="shared" si="20"/>
        <v>0</v>
      </c>
      <c r="L74" s="2400">
        <v>0</v>
      </c>
      <c r="M74" s="2400">
        <f t="shared" si="21"/>
        <v>0</v>
      </c>
      <c r="N74" s="2400">
        <f t="shared" si="21"/>
        <v>0</v>
      </c>
      <c r="O74" s="2098"/>
      <c r="P74" s="2098"/>
      <c r="Q74" s="2098"/>
      <c r="AA74" s="2429"/>
      <c r="AB74" s="2274"/>
      <c r="AC74" s="2274"/>
      <c r="AD74" s="2274"/>
      <c r="AE74" s="2274"/>
      <c r="AF74" s="2274"/>
      <c r="AG74" s="2274"/>
      <c r="AH74" s="2429"/>
      <c r="AI74" s="2429"/>
      <c r="AJ74" s="2429"/>
      <c r="AK74" s="2429"/>
    </row>
    <row r="75" ht="14" spans="1:37">
      <c r="A75" s="2289" t="s">
        <v>1293</v>
      </c>
      <c r="B75" s="2300">
        <f>估价对象房地状况!C24</f>
        <v>0</v>
      </c>
      <c r="C75" s="2166" t="s">
        <v>1294</v>
      </c>
      <c r="D75" s="2295">
        <f t="shared" si="17"/>
        <v>0</v>
      </c>
      <c r="E75" s="2434"/>
      <c r="F75" s="2297"/>
      <c r="G75" s="2298">
        <f t="shared" si="22"/>
        <v>0</v>
      </c>
      <c r="H75" s="2299">
        <f t="shared" si="18"/>
        <v>0</v>
      </c>
      <c r="I75" s="2399">
        <v>0.05</v>
      </c>
      <c r="J75" s="2400">
        <f t="shared" si="19"/>
        <v>0</v>
      </c>
      <c r="K75" s="2400">
        <f t="shared" si="20"/>
        <v>0</v>
      </c>
      <c r="L75" s="2400">
        <v>0</v>
      </c>
      <c r="M75" s="2400">
        <f t="shared" si="21"/>
        <v>0</v>
      </c>
      <c r="N75" s="2400">
        <f t="shared" si="21"/>
        <v>0</v>
      </c>
      <c r="O75" s="2098"/>
      <c r="P75" s="2098"/>
      <c r="Q75" s="2099"/>
      <c r="Z75" s="2102"/>
      <c r="AA75" s="2100"/>
      <c r="AG75" s="2104"/>
      <c r="AK75" s="2100"/>
    </row>
    <row r="76" ht="26" spans="1:37">
      <c r="A76" s="2289" t="s">
        <v>1284</v>
      </c>
      <c r="B76" s="621" t="str">
        <f>估价对象房地状况!C21</f>
        <v>估价对象所在区域公共配套设施齐备情况</v>
      </c>
      <c r="C76" s="2166" t="s">
        <v>1294</v>
      </c>
      <c r="D76" s="2295">
        <f t="shared" si="17"/>
        <v>0</v>
      </c>
      <c r="E76" s="2434"/>
      <c r="F76" s="2297"/>
      <c r="G76" s="2298">
        <f t="shared" si="22"/>
        <v>0</v>
      </c>
      <c r="H76" s="2299">
        <f t="shared" si="18"/>
        <v>0</v>
      </c>
      <c r="I76" s="2399">
        <v>0.08</v>
      </c>
      <c r="J76" s="2400">
        <f t="shared" si="19"/>
        <v>0</v>
      </c>
      <c r="K76" s="2400">
        <f t="shared" si="20"/>
        <v>0</v>
      </c>
      <c r="L76" s="2400">
        <v>0</v>
      </c>
      <c r="M76" s="2400">
        <f t="shared" si="21"/>
        <v>0</v>
      </c>
      <c r="N76" s="2400">
        <f t="shared" si="21"/>
        <v>0</v>
      </c>
      <c r="O76" s="2098"/>
      <c r="P76" s="2098"/>
      <c r="Z76" s="2102"/>
      <c r="AA76" s="2100"/>
      <c r="AG76" s="2104"/>
      <c r="AK76" s="2100"/>
    </row>
    <row r="77" ht="26" spans="1:37">
      <c r="A77" s="2289" t="s">
        <v>1285</v>
      </c>
      <c r="B77" s="621" t="str">
        <f>估价对象房地状况!C22</f>
        <v>估价对象所在区域基础设施水平</v>
      </c>
      <c r="C77" s="2166" t="s">
        <v>1295</v>
      </c>
      <c r="D77" s="2295">
        <f t="shared" si="17"/>
        <v>0</v>
      </c>
      <c r="E77" s="2434"/>
      <c r="F77" s="2297"/>
      <c r="G77" s="2298">
        <f t="shared" si="22"/>
        <v>0</v>
      </c>
      <c r="H77" s="2299">
        <f t="shared" si="18"/>
        <v>0</v>
      </c>
      <c r="I77" s="2399">
        <v>0.09</v>
      </c>
      <c r="J77" s="2400">
        <f t="shared" si="19"/>
        <v>0</v>
      </c>
      <c r="K77" s="2400">
        <f t="shared" si="20"/>
        <v>0</v>
      </c>
      <c r="L77" s="2400">
        <v>0</v>
      </c>
      <c r="M77" s="2400">
        <f t="shared" si="21"/>
        <v>0</v>
      </c>
      <c r="N77" s="2400">
        <f t="shared" si="21"/>
        <v>0</v>
      </c>
      <c r="O77" s="2098"/>
      <c r="P77" s="2098"/>
      <c r="Z77" s="2102"/>
      <c r="AA77" s="2100"/>
      <c r="AG77" s="2104"/>
      <c r="AK77" s="2100"/>
    </row>
    <row r="78" ht="26" spans="1:37">
      <c r="A78" s="2289" t="s">
        <v>1282</v>
      </c>
      <c r="B78" s="2304" t="s">
        <v>1283</v>
      </c>
      <c r="C78" s="2166" t="s">
        <v>1296</v>
      </c>
      <c r="D78" s="2295">
        <f t="shared" si="17"/>
        <v>0</v>
      </c>
      <c r="E78" s="2434"/>
      <c r="F78" s="2297"/>
      <c r="G78" s="2298">
        <f t="shared" si="22"/>
        <v>0</v>
      </c>
      <c r="H78" s="2299">
        <f t="shared" si="18"/>
        <v>0</v>
      </c>
      <c r="I78" s="2399">
        <v>0.05</v>
      </c>
      <c r="J78" s="2400">
        <f t="shared" si="19"/>
        <v>0</v>
      </c>
      <c r="K78" s="2400">
        <f t="shared" si="20"/>
        <v>0</v>
      </c>
      <c r="L78" s="2400">
        <v>0</v>
      </c>
      <c r="M78" s="2400">
        <f t="shared" si="21"/>
        <v>0</v>
      </c>
      <c r="N78" s="2400">
        <f t="shared" si="21"/>
        <v>0</v>
      </c>
      <c r="O78" s="2099"/>
      <c r="P78" s="2099"/>
      <c r="Z78" s="2102"/>
      <c r="AA78" s="2100"/>
      <c r="AG78" s="2104"/>
      <c r="AK78" s="2100"/>
    </row>
    <row r="79" ht="26" spans="1:37">
      <c r="A79" s="2289" t="s">
        <v>1286</v>
      </c>
      <c r="B79" s="2294" t="str">
        <f>估价对象房地状况!C20</f>
        <v>区域自然环境：；人文环境；综合评价环境状况一般</v>
      </c>
      <c r="C79" s="2166" t="s">
        <v>1292</v>
      </c>
      <c r="D79" s="2295">
        <f t="shared" si="17"/>
        <v>0</v>
      </c>
      <c r="E79" s="2434"/>
      <c r="F79" s="2297"/>
      <c r="G79" s="2298">
        <f t="shared" si="22"/>
        <v>0</v>
      </c>
      <c r="H79" s="2299">
        <f t="shared" si="18"/>
        <v>0</v>
      </c>
      <c r="I79" s="2399">
        <v>0.12</v>
      </c>
      <c r="J79" s="2400">
        <f t="shared" si="19"/>
        <v>0</v>
      </c>
      <c r="K79" s="2400">
        <f t="shared" si="20"/>
        <v>0</v>
      </c>
      <c r="L79" s="2400">
        <v>0</v>
      </c>
      <c r="M79" s="2400">
        <f t="shared" si="21"/>
        <v>0</v>
      </c>
      <c r="N79" s="2400">
        <f t="shared" si="21"/>
        <v>0</v>
      </c>
      <c r="Z79" s="2102"/>
      <c r="AA79" s="2100"/>
      <c r="AG79" s="2104"/>
      <c r="AK79" s="2100"/>
    </row>
    <row r="80" ht="26.75" spans="1:37">
      <c r="A80" s="2306" t="s">
        <v>1297</v>
      </c>
      <c r="B80" s="2435"/>
      <c r="C80" s="2166" t="s">
        <v>1294</v>
      </c>
      <c r="D80" s="2295">
        <f t="shared" si="17"/>
        <v>0</v>
      </c>
      <c r="E80" s="2436"/>
      <c r="F80" s="2297"/>
      <c r="G80" s="2298">
        <f t="shared" si="22"/>
        <v>0</v>
      </c>
      <c r="H80" s="2299">
        <f t="shared" si="18"/>
        <v>0</v>
      </c>
      <c r="I80" s="2401">
        <v>0.05</v>
      </c>
      <c r="J80" s="2400">
        <f t="shared" si="19"/>
        <v>0</v>
      </c>
      <c r="K80" s="2400">
        <f t="shared" si="20"/>
        <v>0</v>
      </c>
      <c r="L80" s="2400">
        <v>0</v>
      </c>
      <c r="M80" s="2400">
        <f t="shared" si="21"/>
        <v>0</v>
      </c>
      <c r="N80" s="2400">
        <f t="shared" si="21"/>
        <v>0</v>
      </c>
      <c r="Z80" s="2102"/>
      <c r="AA80" s="2100"/>
      <c r="AG80" s="2104"/>
      <c r="AK80" s="2100"/>
    </row>
    <row r="81" ht="14" spans="1:37">
      <c r="A81" s="2283" t="s">
        <v>1298</v>
      </c>
      <c r="B81" s="2284">
        <f>1+E83</f>
        <v>1</v>
      </c>
      <c r="C81" s="2286"/>
      <c r="D81" s="2286"/>
      <c r="E81" s="2287"/>
      <c r="F81" s="2288"/>
      <c r="G81" s="2282"/>
      <c r="H81" s="2282"/>
      <c r="I81" s="2282"/>
      <c r="J81" s="2281"/>
      <c r="K81" s="2281"/>
      <c r="L81" s="2281"/>
      <c r="M81" s="2281"/>
      <c r="N81" s="2281"/>
      <c r="Z81" s="2102"/>
      <c r="AA81" s="2100"/>
      <c r="AG81" s="2104"/>
      <c r="AK81" s="2100"/>
    </row>
    <row r="82" ht="26" spans="1:37">
      <c r="A82" s="2289" t="s">
        <v>1263</v>
      </c>
      <c r="B82" s="2290"/>
      <c r="C82" s="2290" t="s">
        <v>1265</v>
      </c>
      <c r="D82" s="2290" t="s">
        <v>1266</v>
      </c>
      <c r="E82" s="2291" t="s">
        <v>1267</v>
      </c>
      <c r="F82" s="2292" t="s">
        <v>1288</v>
      </c>
      <c r="G82" s="2290" t="s">
        <v>1182</v>
      </c>
      <c r="H82" s="2293" t="s">
        <v>1269</v>
      </c>
      <c r="I82" s="2290" t="s">
        <v>1270</v>
      </c>
      <c r="J82" s="988" t="s">
        <v>1271</v>
      </c>
      <c r="K82" s="988" t="s">
        <v>1272</v>
      </c>
      <c r="L82" s="988" t="s">
        <v>1273</v>
      </c>
      <c r="M82" s="988" t="s">
        <v>1274</v>
      </c>
      <c r="N82" s="988" t="s">
        <v>1275</v>
      </c>
      <c r="Z82" s="2102"/>
      <c r="AA82" s="2100"/>
      <c r="AG82" s="2104"/>
      <c r="AK82" s="2100"/>
    </row>
    <row r="83" ht="39" spans="1:37">
      <c r="A83" s="2289" t="s">
        <v>1299</v>
      </c>
      <c r="B83" s="2300" t="str">
        <f>估价对象房地状况!G15</f>
        <v>估价对象位于XX开发区，园区建设成熟度XX，产业集聚程度XX</v>
      </c>
      <c r="C83" s="2166"/>
      <c r="D83" s="2295">
        <f t="shared" ref="D83:D90" si="23">SUMIF($J$82:$N$82,C83,J83:N83)</f>
        <v>0</v>
      </c>
      <c r="E83" s="2296">
        <f>ROUND(SUM(D83:D90),4)</f>
        <v>0</v>
      </c>
      <c r="F83" s="2297" t="str">
        <f>IF(E2="工业",SUMIF(L1:L12,G2,N1:N12),"——")</f>
        <v>——</v>
      </c>
      <c r="G83" s="2298"/>
      <c r="H83" s="2299" t="str">
        <f t="shared" ref="H83:H90" si="24">IFERROR(ROUNDDOWN($F$83*I83/2,4),"——")</f>
        <v>——</v>
      </c>
      <c r="I83" s="2399">
        <v>0.26</v>
      </c>
      <c r="J83" s="2400">
        <f t="shared" ref="J83:J90" si="25">K83+$G83</f>
        <v>0</v>
      </c>
      <c r="K83" s="2400">
        <f t="shared" ref="K83:K90" si="26">$L83+$G83</f>
        <v>0</v>
      </c>
      <c r="L83" s="2400">
        <v>0</v>
      </c>
      <c r="M83" s="2400">
        <f t="shared" ref="M83:N90" si="27">L83-$G83</f>
        <v>0</v>
      </c>
      <c r="N83" s="2400">
        <f t="shared" si="27"/>
        <v>0</v>
      </c>
      <c r="Z83" s="2102"/>
      <c r="AA83" s="2100"/>
      <c r="AG83" s="2104"/>
      <c r="AK83" s="2100"/>
    </row>
    <row r="84" ht="52" spans="1:37">
      <c r="A84" s="2289" t="s">
        <v>1277</v>
      </c>
      <c r="B84" s="2300" t="str">
        <f>估价对象房地状况!G16</f>
        <v>估价对象周边道路状况、公共交通通达情况、停车便捷程度，综合评价交通便捷度较好</v>
      </c>
      <c r="C84" s="2166"/>
      <c r="D84" s="2295">
        <f t="shared" si="23"/>
        <v>0</v>
      </c>
      <c r="E84" s="2434"/>
      <c r="F84" s="2297"/>
      <c r="G84" s="2298"/>
      <c r="H84" s="2299" t="str">
        <f t="shared" si="24"/>
        <v>——</v>
      </c>
      <c r="I84" s="2399">
        <v>0.3</v>
      </c>
      <c r="J84" s="2400">
        <f t="shared" si="25"/>
        <v>0</v>
      </c>
      <c r="K84" s="2400">
        <f t="shared" si="26"/>
        <v>0</v>
      </c>
      <c r="L84" s="2400">
        <v>0</v>
      </c>
      <c r="M84" s="2400">
        <f t="shared" si="27"/>
        <v>0</v>
      </c>
      <c r="N84" s="2400">
        <f t="shared" si="27"/>
        <v>0</v>
      </c>
      <c r="Z84" s="2102"/>
      <c r="AA84" s="2100"/>
      <c r="AG84" s="2104"/>
      <c r="AK84" s="2100"/>
    </row>
    <row r="85" ht="39" spans="1:37">
      <c r="A85" s="2302" t="s">
        <v>1278</v>
      </c>
      <c r="B85" s="2300">
        <f>估价对象房地状况!G17</f>
        <v>0</v>
      </c>
      <c r="C85" s="2166"/>
      <c r="D85" s="2295">
        <f t="shared" si="23"/>
        <v>0</v>
      </c>
      <c r="E85" s="2434"/>
      <c r="F85" s="2297"/>
      <c r="G85" s="2298"/>
      <c r="H85" s="2299" t="str">
        <f t="shared" si="24"/>
        <v>——</v>
      </c>
      <c r="I85" s="2399">
        <v>0.1</v>
      </c>
      <c r="J85" s="2400">
        <f t="shared" si="25"/>
        <v>0</v>
      </c>
      <c r="K85" s="2400">
        <f t="shared" si="26"/>
        <v>0</v>
      </c>
      <c r="L85" s="2400">
        <v>0</v>
      </c>
      <c r="M85" s="2400">
        <f t="shared" si="27"/>
        <v>0</v>
      </c>
      <c r="N85" s="2400">
        <f t="shared" si="27"/>
        <v>0</v>
      </c>
      <c r="Z85" s="2102"/>
      <c r="AA85" s="2100"/>
      <c r="AG85" s="2104"/>
      <c r="AK85" s="2100"/>
    </row>
    <row r="86" ht="14" spans="1:37">
      <c r="A86" s="2289" t="s">
        <v>1293</v>
      </c>
      <c r="B86" s="2300">
        <f>估价对象房地状况!G22</f>
        <v>0</v>
      </c>
      <c r="C86" s="2166"/>
      <c r="D86" s="2295">
        <f t="shared" si="23"/>
        <v>0</v>
      </c>
      <c r="E86" s="2434"/>
      <c r="F86" s="2297"/>
      <c r="G86" s="2298"/>
      <c r="H86" s="2299" t="str">
        <f t="shared" si="24"/>
        <v>——</v>
      </c>
      <c r="I86" s="2399">
        <v>0.05</v>
      </c>
      <c r="J86" s="2400">
        <f t="shared" si="25"/>
        <v>0</v>
      </c>
      <c r="K86" s="2400">
        <f t="shared" si="26"/>
        <v>0</v>
      </c>
      <c r="L86" s="2400">
        <v>0</v>
      </c>
      <c r="M86" s="2400">
        <f t="shared" si="27"/>
        <v>0</v>
      </c>
      <c r="N86" s="2400">
        <f t="shared" si="27"/>
        <v>0</v>
      </c>
      <c r="Z86" s="2102"/>
      <c r="AA86" s="2100"/>
      <c r="AG86" s="2104"/>
      <c r="AK86" s="2100"/>
    </row>
    <row r="87" ht="26" spans="1:14">
      <c r="A87" s="2289" t="s">
        <v>1284</v>
      </c>
      <c r="B87" s="621" t="str">
        <f>估价对象房地状况!G19</f>
        <v>估价对象所在区域公共配套设施齐备情况</v>
      </c>
      <c r="C87" s="2166"/>
      <c r="D87" s="2295">
        <f t="shared" si="23"/>
        <v>0</v>
      </c>
      <c r="E87" s="2434"/>
      <c r="F87" s="2297"/>
      <c r="G87" s="2298"/>
      <c r="H87" s="2299" t="str">
        <f t="shared" si="24"/>
        <v>——</v>
      </c>
      <c r="I87" s="2399">
        <v>0.06</v>
      </c>
      <c r="J87" s="2400">
        <f t="shared" si="25"/>
        <v>0</v>
      </c>
      <c r="K87" s="2400">
        <f t="shared" si="26"/>
        <v>0</v>
      </c>
      <c r="L87" s="2400">
        <v>0</v>
      </c>
      <c r="M87" s="2400">
        <f t="shared" si="27"/>
        <v>0</v>
      </c>
      <c r="N87" s="2400">
        <f t="shared" si="27"/>
        <v>0</v>
      </c>
    </row>
    <row r="88" ht="26" spans="1:14">
      <c r="A88" s="2289" t="s">
        <v>1285</v>
      </c>
      <c r="B88" s="621" t="str">
        <f>估价对象房地状况!G20</f>
        <v>估价对象所在区域基础设施水平</v>
      </c>
      <c r="C88" s="2166"/>
      <c r="D88" s="2295">
        <f t="shared" si="23"/>
        <v>0</v>
      </c>
      <c r="E88" s="2434"/>
      <c r="F88" s="2297"/>
      <c r="G88" s="2298"/>
      <c r="H88" s="2299" t="str">
        <f t="shared" si="24"/>
        <v>——</v>
      </c>
      <c r="I88" s="2399">
        <v>0.12</v>
      </c>
      <c r="J88" s="2400">
        <f t="shared" si="25"/>
        <v>0</v>
      </c>
      <c r="K88" s="2400">
        <f t="shared" si="26"/>
        <v>0</v>
      </c>
      <c r="L88" s="2400">
        <v>0</v>
      </c>
      <c r="M88" s="2400">
        <f t="shared" si="27"/>
        <v>0</v>
      </c>
      <c r="N88" s="2400">
        <f t="shared" si="27"/>
        <v>0</v>
      </c>
    </row>
    <row r="89" ht="26" spans="1:14">
      <c r="A89" s="2289" t="s">
        <v>1282</v>
      </c>
      <c r="B89" s="2304" t="s">
        <v>1300</v>
      </c>
      <c r="C89" s="2166"/>
      <c r="D89" s="2295">
        <f t="shared" si="23"/>
        <v>0</v>
      </c>
      <c r="E89" s="2434"/>
      <c r="F89" s="2297"/>
      <c r="G89" s="2298"/>
      <c r="H89" s="2299" t="str">
        <f t="shared" si="24"/>
        <v>——</v>
      </c>
      <c r="I89" s="2399">
        <v>0.06</v>
      </c>
      <c r="J89" s="2400">
        <f t="shared" si="25"/>
        <v>0</v>
      </c>
      <c r="K89" s="2400">
        <f t="shared" si="26"/>
        <v>0</v>
      </c>
      <c r="L89" s="2400">
        <v>0</v>
      </c>
      <c r="M89" s="2400">
        <f t="shared" si="27"/>
        <v>0</v>
      </c>
      <c r="N89" s="2400">
        <f t="shared" si="27"/>
        <v>0</v>
      </c>
    </row>
    <row r="90" ht="39.75" spans="1:14">
      <c r="A90" s="2306" t="s">
        <v>1301</v>
      </c>
      <c r="B90" s="2437" t="str">
        <f>估价对象房地状况!G18</f>
        <v>该园区内是否有污染型企业，绿化情况，卫生条件，整体环境状况判断</v>
      </c>
      <c r="C90" s="2166"/>
      <c r="D90" s="2295">
        <f t="shared" si="23"/>
        <v>0</v>
      </c>
      <c r="E90" s="2436"/>
      <c r="F90" s="2297"/>
      <c r="G90" s="2298"/>
      <c r="H90" s="2299" t="str">
        <f t="shared" si="24"/>
        <v>——</v>
      </c>
      <c r="I90" s="2401">
        <v>0.05</v>
      </c>
      <c r="J90" s="2400">
        <f t="shared" si="25"/>
        <v>0</v>
      </c>
      <c r="K90" s="2400">
        <f t="shared" si="26"/>
        <v>0</v>
      </c>
      <c r="L90" s="2400">
        <v>0</v>
      </c>
      <c r="M90" s="2400">
        <f t="shared" si="27"/>
        <v>0</v>
      </c>
      <c r="N90" s="2400">
        <f t="shared" si="27"/>
        <v>0</v>
      </c>
    </row>
    <row r="91" ht="14" spans="1:14">
      <c r="A91" s="2438" t="s">
        <v>280</v>
      </c>
      <c r="B91" s="2439">
        <f>1+E93</f>
        <v>1</v>
      </c>
      <c r="C91" s="2440"/>
      <c r="D91" s="2441"/>
      <c r="E91" s="2297"/>
      <c r="F91" s="2297"/>
      <c r="G91" s="2442"/>
      <c r="H91" s="2443"/>
      <c r="I91" s="2480"/>
      <c r="J91" s="2481"/>
      <c r="K91" s="2481"/>
      <c r="L91" s="2481"/>
      <c r="M91" s="2481"/>
      <c r="N91" s="2481"/>
    </row>
    <row r="92" ht="26" spans="1:14">
      <c r="A92" s="2444" t="s">
        <v>1263</v>
      </c>
      <c r="B92" s="2445"/>
      <c r="C92" s="2445" t="s">
        <v>1265</v>
      </c>
      <c r="D92" s="2445" t="s">
        <v>1266</v>
      </c>
      <c r="E92" s="2414" t="s">
        <v>1267</v>
      </c>
      <c r="F92" s="2446" t="s">
        <v>1288</v>
      </c>
      <c r="G92" s="2445" t="s">
        <v>1182</v>
      </c>
      <c r="H92" s="2447" t="s">
        <v>1269</v>
      </c>
      <c r="I92" s="2445" t="s">
        <v>1270</v>
      </c>
      <c r="J92" s="2482" t="s">
        <v>1271</v>
      </c>
      <c r="K92" s="2482" t="s">
        <v>1272</v>
      </c>
      <c r="L92" s="2482" t="s">
        <v>1273</v>
      </c>
      <c r="M92" s="2482" t="s">
        <v>1274</v>
      </c>
      <c r="N92" s="2482" t="s">
        <v>1275</v>
      </c>
    </row>
    <row r="93" ht="26" spans="1:14">
      <c r="A93" s="2302" t="s">
        <v>1302</v>
      </c>
      <c r="B93" s="653"/>
      <c r="C93" s="2166"/>
      <c r="D93" s="2445">
        <f>SUMIF($J$92:$N$92,C93,J93:N93)</f>
        <v>0</v>
      </c>
      <c r="E93" s="2448">
        <f>ROUND(SUM(D93:D101),4)</f>
        <v>0</v>
      </c>
      <c r="F93" s="2297" t="str">
        <f>IF(E2="公共服务",SUMIF(L1:L12,G2,N1:N12),"——")</f>
        <v>——</v>
      </c>
      <c r="G93" s="2442"/>
      <c r="H93" s="2449" t="str">
        <f>IFERROR(ROUNDDOWN($F$93*I93/2,4),"——")</f>
        <v>——</v>
      </c>
      <c r="I93" s="2399">
        <v>0.25</v>
      </c>
      <c r="J93" s="2225">
        <f t="shared" ref="J93:J101" si="28">K93+$G93</f>
        <v>0</v>
      </c>
      <c r="K93" s="2225">
        <f t="shared" ref="K93:K101" si="29">$L93+$G93</f>
        <v>0</v>
      </c>
      <c r="L93" s="2225">
        <v>0</v>
      </c>
      <c r="M93" s="2225">
        <f t="shared" ref="M93:N101" si="30">L93-$G93</f>
        <v>0</v>
      </c>
      <c r="N93" s="2225">
        <f t="shared" si="30"/>
        <v>0</v>
      </c>
    </row>
    <row r="94" ht="52" spans="1:14">
      <c r="A94" s="2444" t="s">
        <v>1277</v>
      </c>
      <c r="B94" s="2450" t="str">
        <f>估价对象房地状况!C18</f>
        <v>估价对象周边道路状况、公共交通通达情况、停车便捷程度，综合评价交通便捷度较好</v>
      </c>
      <c r="C94" s="2166"/>
      <c r="D94" s="2445">
        <f t="shared" ref="D94:D101" si="31">SUMIF($J$60:$N$60,C94,J94:N94)</f>
        <v>0</v>
      </c>
      <c r="E94" s="2451"/>
      <c r="F94" s="2297"/>
      <c r="G94" s="2442"/>
      <c r="H94" s="2449" t="str">
        <f>IFERROR(ROUNDDOWN($F$93*I94/2,4),"——")</f>
        <v>——</v>
      </c>
      <c r="I94" s="2399">
        <v>0.26</v>
      </c>
      <c r="J94" s="2225">
        <f t="shared" si="28"/>
        <v>0</v>
      </c>
      <c r="K94" s="2225">
        <f t="shared" si="29"/>
        <v>0</v>
      </c>
      <c r="L94" s="2225">
        <v>0</v>
      </c>
      <c r="M94" s="2225">
        <f t="shared" si="30"/>
        <v>0</v>
      </c>
      <c r="N94" s="2225">
        <f t="shared" si="30"/>
        <v>0</v>
      </c>
    </row>
    <row r="95" ht="39" spans="1:14">
      <c r="A95" s="2302" t="s">
        <v>1278</v>
      </c>
      <c r="B95" s="2450">
        <f>估价对象房地状况!C19</f>
        <v>0</v>
      </c>
      <c r="C95" s="2166"/>
      <c r="D95" s="2445">
        <f t="shared" si="31"/>
        <v>0</v>
      </c>
      <c r="E95" s="2451"/>
      <c r="F95" s="2297"/>
      <c r="G95" s="2442"/>
      <c r="H95" s="2449" t="str">
        <f t="shared" ref="H95:H101" si="32">IFERROR(ROUNDDOWN($F$93*I95/2,4),"——")</f>
        <v>——</v>
      </c>
      <c r="I95" s="2399">
        <v>0.11</v>
      </c>
      <c r="J95" s="2225">
        <f t="shared" si="28"/>
        <v>0</v>
      </c>
      <c r="K95" s="2225">
        <f t="shared" si="29"/>
        <v>0</v>
      </c>
      <c r="L95" s="2225">
        <v>0</v>
      </c>
      <c r="M95" s="2225">
        <f t="shared" si="30"/>
        <v>0</v>
      </c>
      <c r="N95" s="2225">
        <f t="shared" si="30"/>
        <v>0</v>
      </c>
    </row>
    <row r="96" ht="39" spans="1:14">
      <c r="A96" s="2444" t="s">
        <v>1279</v>
      </c>
      <c r="B96" s="2452" t="s">
        <v>1280</v>
      </c>
      <c r="C96" s="2166"/>
      <c r="D96" s="2445">
        <f t="shared" si="31"/>
        <v>0</v>
      </c>
      <c r="E96" s="2451"/>
      <c r="F96" s="2297"/>
      <c r="G96" s="2442"/>
      <c r="H96" s="2449" t="str">
        <f t="shared" si="32"/>
        <v>——</v>
      </c>
      <c r="I96" s="2399">
        <v>0.05</v>
      </c>
      <c r="J96" s="2225">
        <f t="shared" si="28"/>
        <v>0</v>
      </c>
      <c r="K96" s="2225">
        <f t="shared" si="29"/>
        <v>0</v>
      </c>
      <c r="L96" s="2225">
        <v>0</v>
      </c>
      <c r="M96" s="2225">
        <f t="shared" si="30"/>
        <v>0</v>
      </c>
      <c r="N96" s="2225">
        <f t="shared" si="30"/>
        <v>0</v>
      </c>
    </row>
    <row r="97" ht="26" spans="1:14">
      <c r="A97" s="2444" t="s">
        <v>1281</v>
      </c>
      <c r="B97" s="2450">
        <f>估价对象房地状况!C24</f>
        <v>0</v>
      </c>
      <c r="C97" s="2166"/>
      <c r="D97" s="2445">
        <f t="shared" si="31"/>
        <v>0</v>
      </c>
      <c r="E97" s="2451"/>
      <c r="F97" s="2297"/>
      <c r="G97" s="2442"/>
      <c r="H97" s="2449" t="str">
        <f t="shared" si="32"/>
        <v>——</v>
      </c>
      <c r="I97" s="2399">
        <v>0.05</v>
      </c>
      <c r="J97" s="2225">
        <f t="shared" si="28"/>
        <v>0</v>
      </c>
      <c r="K97" s="2225">
        <f t="shared" si="29"/>
        <v>0</v>
      </c>
      <c r="L97" s="2225">
        <v>0</v>
      </c>
      <c r="M97" s="2225">
        <f t="shared" si="30"/>
        <v>0</v>
      </c>
      <c r="N97" s="2225">
        <f t="shared" si="30"/>
        <v>0</v>
      </c>
    </row>
    <row r="98" ht="26" spans="1:14">
      <c r="A98" s="2444" t="s">
        <v>1282</v>
      </c>
      <c r="B98" s="2453" t="s">
        <v>1283</v>
      </c>
      <c r="C98" s="2166"/>
      <c r="D98" s="2445">
        <f t="shared" si="31"/>
        <v>0</v>
      </c>
      <c r="E98" s="2451"/>
      <c r="F98" s="2297"/>
      <c r="G98" s="2442"/>
      <c r="H98" s="2449" t="str">
        <f t="shared" si="32"/>
        <v>——</v>
      </c>
      <c r="I98" s="2399">
        <v>0.06</v>
      </c>
      <c r="J98" s="2225">
        <f t="shared" si="28"/>
        <v>0</v>
      </c>
      <c r="K98" s="2225">
        <f t="shared" si="29"/>
        <v>0</v>
      </c>
      <c r="L98" s="2225">
        <v>0</v>
      </c>
      <c r="M98" s="2225">
        <f t="shared" si="30"/>
        <v>0</v>
      </c>
      <c r="N98" s="2225">
        <f t="shared" si="30"/>
        <v>0</v>
      </c>
    </row>
    <row r="99" ht="26" spans="1:14">
      <c r="A99" s="2444" t="s">
        <v>1284</v>
      </c>
      <c r="B99" s="2450" t="str">
        <f>估价对象房地状况!C21</f>
        <v>估价对象所在区域公共配套设施齐备情况</v>
      </c>
      <c r="C99" s="2166"/>
      <c r="D99" s="2445">
        <f t="shared" si="31"/>
        <v>0</v>
      </c>
      <c r="E99" s="2451"/>
      <c r="F99" s="2297"/>
      <c r="G99" s="2442"/>
      <c r="H99" s="2449" t="str">
        <f t="shared" si="32"/>
        <v>——</v>
      </c>
      <c r="I99" s="2399">
        <v>0.06</v>
      </c>
      <c r="J99" s="2225">
        <f t="shared" si="28"/>
        <v>0</v>
      </c>
      <c r="K99" s="2225">
        <f t="shared" si="29"/>
        <v>0</v>
      </c>
      <c r="L99" s="2225">
        <v>0</v>
      </c>
      <c r="M99" s="2225">
        <f t="shared" si="30"/>
        <v>0</v>
      </c>
      <c r="N99" s="2225">
        <f t="shared" si="30"/>
        <v>0</v>
      </c>
    </row>
    <row r="100" ht="26" spans="1:14">
      <c r="A100" s="2444" t="s">
        <v>1285</v>
      </c>
      <c r="B100" s="2450" t="str">
        <f>估价对象房地状况!C22</f>
        <v>估价对象所在区域基础设施水平</v>
      </c>
      <c r="C100" s="2166"/>
      <c r="D100" s="2445">
        <f t="shared" si="31"/>
        <v>0</v>
      </c>
      <c r="E100" s="2451"/>
      <c r="F100" s="2297"/>
      <c r="G100" s="2442"/>
      <c r="H100" s="2449" t="str">
        <f t="shared" si="32"/>
        <v>——</v>
      </c>
      <c r="I100" s="2399">
        <v>0.09</v>
      </c>
      <c r="J100" s="2225">
        <f t="shared" si="28"/>
        <v>0</v>
      </c>
      <c r="K100" s="2225">
        <f t="shared" si="29"/>
        <v>0</v>
      </c>
      <c r="L100" s="2225">
        <v>0</v>
      </c>
      <c r="M100" s="2225">
        <f t="shared" si="30"/>
        <v>0</v>
      </c>
      <c r="N100" s="2225">
        <f t="shared" si="30"/>
        <v>0</v>
      </c>
    </row>
    <row r="101" ht="26.75" spans="1:14">
      <c r="A101" s="2454" t="s">
        <v>1286</v>
      </c>
      <c r="B101" s="2455" t="str">
        <f>估价对象房地状况!C20</f>
        <v>区域自然环境：；人文环境；综合评价环境状况一般</v>
      </c>
      <c r="C101" s="2166"/>
      <c r="D101" s="2445">
        <f t="shared" si="31"/>
        <v>0</v>
      </c>
      <c r="E101" s="2456"/>
      <c r="F101" s="2297"/>
      <c r="G101" s="2442"/>
      <c r="H101" s="2449" t="str">
        <f t="shared" si="32"/>
        <v>——</v>
      </c>
      <c r="I101" s="2401">
        <v>0.07</v>
      </c>
      <c r="J101" s="2225">
        <f t="shared" si="28"/>
        <v>0</v>
      </c>
      <c r="K101" s="2225">
        <f t="shared" si="29"/>
        <v>0</v>
      </c>
      <c r="L101" s="2225">
        <v>0</v>
      </c>
      <c r="M101" s="2225">
        <f t="shared" si="30"/>
        <v>0</v>
      </c>
      <c r="N101" s="2225">
        <f t="shared" si="30"/>
        <v>0</v>
      </c>
    </row>
    <row r="103" ht="13" spans="1:14">
      <c r="A103" s="2457" t="s">
        <v>1303</v>
      </c>
      <c r="B103" s="2457"/>
      <c r="C103" s="2457"/>
      <c r="D103" s="2457"/>
      <c r="E103" s="2457"/>
      <c r="F103" s="2457"/>
      <c r="G103" s="2457"/>
      <c r="H103" s="2457"/>
      <c r="I103" s="2457"/>
      <c r="J103" s="2457"/>
      <c r="K103" s="2457"/>
      <c r="L103" s="2457"/>
      <c r="M103" s="2457"/>
      <c r="N103" s="2457"/>
    </row>
    <row r="104" ht="13" spans="1:14">
      <c r="A104" s="2458" t="s">
        <v>1304</v>
      </c>
      <c r="B104" s="2458" t="s">
        <v>1305</v>
      </c>
      <c r="C104" s="2459" t="s">
        <v>1306</v>
      </c>
      <c r="D104" s="2460"/>
      <c r="E104" s="2460"/>
      <c r="F104" s="2460"/>
      <c r="G104" s="2460"/>
      <c r="H104" s="2460"/>
      <c r="I104" s="2460"/>
      <c r="J104" s="2483"/>
      <c r="K104" s="2484"/>
      <c r="L104" s="2484"/>
      <c r="M104" s="2484"/>
      <c r="N104" s="2484"/>
    </row>
    <row r="105" ht="13" spans="1:14">
      <c r="A105" s="2458"/>
      <c r="B105" s="2458"/>
      <c r="C105" s="2458" t="s">
        <v>1141</v>
      </c>
      <c r="D105" s="2458" t="s">
        <v>1142</v>
      </c>
      <c r="E105" s="2458" t="s">
        <v>1143</v>
      </c>
      <c r="F105" s="2458" t="s">
        <v>1144</v>
      </c>
      <c r="G105" s="2458" t="s">
        <v>1145</v>
      </c>
      <c r="H105" s="2458" t="s">
        <v>1146</v>
      </c>
      <c r="I105" s="2458" t="s">
        <v>1147</v>
      </c>
      <c r="J105" s="2458" t="s">
        <v>1148</v>
      </c>
      <c r="K105" s="2458" t="s">
        <v>1149</v>
      </c>
      <c r="L105" s="2458" t="s">
        <v>1150</v>
      </c>
      <c r="M105" s="2458" t="s">
        <v>1151</v>
      </c>
      <c r="N105" s="2458" t="s">
        <v>1152</v>
      </c>
    </row>
    <row r="106" spans="1:14">
      <c r="A106" s="2461" t="s">
        <v>1307</v>
      </c>
      <c r="B106" s="2458">
        <v>1</v>
      </c>
      <c r="C106" s="2458">
        <v>1.5206</v>
      </c>
      <c r="D106" s="2458">
        <v>1.5206</v>
      </c>
      <c r="E106" s="2458">
        <v>1.5019</v>
      </c>
      <c r="F106" s="2458">
        <v>1.5019</v>
      </c>
      <c r="G106" s="2458">
        <v>1.5019</v>
      </c>
      <c r="H106" s="2458">
        <v>1.5019</v>
      </c>
      <c r="I106" s="2458">
        <v>1.5019</v>
      </c>
      <c r="J106" s="2458">
        <v>1.5418</v>
      </c>
      <c r="K106" s="2458">
        <v>1.5418</v>
      </c>
      <c r="L106" s="2458">
        <v>1.5418</v>
      </c>
      <c r="M106" s="2458">
        <v>1.5418</v>
      </c>
      <c r="N106" s="2458">
        <v>1.5418</v>
      </c>
    </row>
    <row r="107" spans="1:14">
      <c r="A107" s="2462"/>
      <c r="B107" s="2458">
        <v>2</v>
      </c>
      <c r="C107" s="2458">
        <v>1.2072</v>
      </c>
      <c r="D107" s="2458">
        <v>1.2072</v>
      </c>
      <c r="E107" s="2458">
        <v>1.1838</v>
      </c>
      <c r="F107" s="2458">
        <v>1.1838</v>
      </c>
      <c r="G107" s="2458">
        <v>1.1838</v>
      </c>
      <c r="H107" s="2458">
        <v>1.1838</v>
      </c>
      <c r="I107" s="2458">
        <v>1.1838</v>
      </c>
      <c r="J107" s="2458">
        <v>1.1884</v>
      </c>
      <c r="K107" s="2458">
        <v>1.1884</v>
      </c>
      <c r="L107" s="2458">
        <v>1.1884</v>
      </c>
      <c r="M107" s="2458">
        <v>1.1884</v>
      </c>
      <c r="N107" s="2458">
        <v>1.1884</v>
      </c>
    </row>
    <row r="108" spans="1:14">
      <c r="A108" s="2462"/>
      <c r="B108" s="2458">
        <v>3</v>
      </c>
      <c r="C108" s="2458">
        <v>1.0431</v>
      </c>
      <c r="D108" s="2458">
        <v>1.0431</v>
      </c>
      <c r="E108" s="2458">
        <v>1.0005</v>
      </c>
      <c r="F108" s="2458">
        <v>1.0005</v>
      </c>
      <c r="G108" s="2458">
        <v>1.0005</v>
      </c>
      <c r="H108" s="2458">
        <v>1.0005</v>
      </c>
      <c r="I108" s="2458">
        <v>1.0005</v>
      </c>
      <c r="J108" s="2458">
        <v>0.9694</v>
      </c>
      <c r="K108" s="2458">
        <v>0.9694</v>
      </c>
      <c r="L108" s="2458">
        <v>0.9694</v>
      </c>
      <c r="M108" s="2458">
        <v>0.9694</v>
      </c>
      <c r="N108" s="2458">
        <v>0.9694</v>
      </c>
    </row>
    <row r="109" spans="1:14">
      <c r="A109" s="2462"/>
      <c r="B109" s="2458">
        <v>4</v>
      </c>
      <c r="C109" s="2458">
        <v>0.9439</v>
      </c>
      <c r="D109" s="2458">
        <v>0.9439</v>
      </c>
      <c r="E109" s="2458">
        <v>0.8824</v>
      </c>
      <c r="F109" s="2458">
        <v>0.8824</v>
      </c>
      <c r="G109" s="2458">
        <v>0.8824</v>
      </c>
      <c r="H109" s="2458">
        <v>0.8824</v>
      </c>
      <c r="I109" s="2458">
        <v>0.8824</v>
      </c>
      <c r="J109" s="2458">
        <v>0.823</v>
      </c>
      <c r="K109" s="2458">
        <v>0.823</v>
      </c>
      <c r="L109" s="2458">
        <v>0.823</v>
      </c>
      <c r="M109" s="2458">
        <v>0.823</v>
      </c>
      <c r="N109" s="2458">
        <v>0.823</v>
      </c>
    </row>
    <row r="110" spans="1:14">
      <c r="A110" s="2462"/>
      <c r="B110" s="2458">
        <v>5</v>
      </c>
      <c r="C110" s="2458">
        <v>0.8996</v>
      </c>
      <c r="D110" s="2458">
        <v>0.8996</v>
      </c>
      <c r="E110" s="2458">
        <v>0.848</v>
      </c>
      <c r="F110" s="2458">
        <v>0.848</v>
      </c>
      <c r="G110" s="2458">
        <v>0.848</v>
      </c>
      <c r="H110" s="2458">
        <v>0.848</v>
      </c>
      <c r="I110" s="2458">
        <v>0.848</v>
      </c>
      <c r="J110" s="2458">
        <v>0.7498</v>
      </c>
      <c r="K110" s="2458">
        <v>0.7498</v>
      </c>
      <c r="L110" s="2458">
        <v>0.7498</v>
      </c>
      <c r="M110" s="2458">
        <v>0.7498</v>
      </c>
      <c r="N110" s="2458">
        <v>0.7498</v>
      </c>
    </row>
    <row r="111" ht="13" spans="1:14">
      <c r="A111" s="2462"/>
      <c r="B111" s="2458" t="s">
        <v>1157</v>
      </c>
      <c r="C111" s="2463">
        <f>$I$3</f>
        <v>0</v>
      </c>
      <c r="D111" s="2463">
        <f t="shared" ref="D111:N111" si="33">$I$3</f>
        <v>0</v>
      </c>
      <c r="E111" s="2463">
        <f t="shared" si="33"/>
        <v>0</v>
      </c>
      <c r="F111" s="2463">
        <f t="shared" si="33"/>
        <v>0</v>
      </c>
      <c r="G111" s="2463">
        <f t="shared" si="33"/>
        <v>0</v>
      </c>
      <c r="H111" s="2463">
        <f t="shared" si="33"/>
        <v>0</v>
      </c>
      <c r="I111" s="2463">
        <f t="shared" si="33"/>
        <v>0</v>
      </c>
      <c r="J111" s="2463">
        <f t="shared" si="33"/>
        <v>0</v>
      </c>
      <c r="K111" s="2463">
        <f t="shared" si="33"/>
        <v>0</v>
      </c>
      <c r="L111" s="2463">
        <f t="shared" si="33"/>
        <v>0</v>
      </c>
      <c r="M111" s="2463">
        <f t="shared" si="33"/>
        <v>0</v>
      </c>
      <c r="N111" s="2463">
        <f t="shared" si="33"/>
        <v>0</v>
      </c>
    </row>
    <row r="112" spans="1:14">
      <c r="A112" s="2464"/>
      <c r="B112" s="2458">
        <v>6</v>
      </c>
      <c r="C112" s="2447">
        <f>(-0.5556*(C111^2)-0.2719*C111+8944)*(10^(-4))</f>
        <v>0.8944</v>
      </c>
      <c r="D112" s="2447">
        <f>(-0.5556*(D111^2)-0.2719*D111+8944)*(10^(-4))</f>
        <v>0.8944</v>
      </c>
      <c r="E112" s="2447">
        <f>(-0.7912*(E111^2)-11.3794*E111+8482)*(10^(-4))</f>
        <v>0.8482</v>
      </c>
      <c r="F112" s="2447">
        <f t="shared" ref="F112:I112" si="34">(-0.7912*(F111^2)-11.3794*F111+8482)*(10^(-4))</f>
        <v>0.8482</v>
      </c>
      <c r="G112" s="2447">
        <f t="shared" si="34"/>
        <v>0.8482</v>
      </c>
      <c r="H112" s="2447">
        <f t="shared" si="34"/>
        <v>0.8482</v>
      </c>
      <c r="I112" s="2447">
        <f t="shared" si="34"/>
        <v>0.8482</v>
      </c>
      <c r="J112" s="2447">
        <f>(-0.989*(J111^2)-63.78*J111+7771)*(10^(-4))</f>
        <v>0.7771</v>
      </c>
      <c r="K112" s="2447">
        <f t="shared" ref="K112:N112" si="35">(-0.989*(K111^2)-63.78*K111+7771)*(10^(-4))</f>
        <v>0.7771</v>
      </c>
      <c r="L112" s="2447">
        <f t="shared" si="35"/>
        <v>0.7771</v>
      </c>
      <c r="M112" s="2447">
        <f t="shared" si="35"/>
        <v>0.7771</v>
      </c>
      <c r="N112" s="2447">
        <f t="shared" si="35"/>
        <v>0.7771</v>
      </c>
    </row>
    <row r="113" ht="13" spans="1:14">
      <c r="A113" s="2465" t="s">
        <v>1308</v>
      </c>
      <c r="B113" s="2465"/>
      <c r="C113" s="2465"/>
      <c r="D113" s="2465"/>
      <c r="E113" s="2465"/>
      <c r="F113" s="2465"/>
      <c r="G113" s="2465"/>
      <c r="H113" s="2465"/>
      <c r="I113" s="2465"/>
      <c r="J113" s="2465"/>
      <c r="K113" s="2465"/>
      <c r="L113" s="2465"/>
      <c r="M113" s="2465"/>
      <c r="N113" s="2465"/>
    </row>
    <row r="114" spans="1:14">
      <c r="A114" s="2466"/>
      <c r="B114" s="2466"/>
      <c r="C114" s="2466"/>
      <c r="D114" s="2466"/>
      <c r="E114" s="2466"/>
      <c r="F114" s="2466"/>
      <c r="G114" s="2466"/>
      <c r="H114" s="2466"/>
      <c r="I114" s="2466"/>
      <c r="J114" s="2466"/>
      <c r="K114" s="2385"/>
      <c r="L114" s="2466"/>
      <c r="M114" s="2466"/>
      <c r="N114" s="2466"/>
    </row>
    <row r="115" ht="13.25" spans="1:14">
      <c r="A115" s="2466"/>
      <c r="B115" s="2466"/>
      <c r="C115" s="2466"/>
      <c r="D115" s="2466"/>
      <c r="E115" s="2466"/>
      <c r="F115" s="2466"/>
      <c r="G115" s="2466"/>
      <c r="H115" s="2466"/>
      <c r="I115" s="2466"/>
      <c r="J115" s="2466"/>
      <c r="K115" s="2385"/>
      <c r="L115" s="2466"/>
      <c r="M115" s="2466"/>
      <c r="N115" s="2466"/>
    </row>
    <row r="116" ht="26.25" spans="1:14">
      <c r="A116" s="2467" t="s">
        <v>1309</v>
      </c>
      <c r="B116" s="2468">
        <f>G3</f>
        <v>4.82</v>
      </c>
      <c r="C116" s="2469" t="s">
        <v>1310</v>
      </c>
      <c r="D116" s="2470">
        <f>SUMPRODUCT((A118:A122=F116)*(B117:M117=H116)*B118:M122)</f>
        <v>0</v>
      </c>
      <c r="E116" s="2107" t="s">
        <v>1115</v>
      </c>
      <c r="F116" s="2471" t="str">
        <f>E2</f>
        <v>住宅</v>
      </c>
      <c r="G116" s="2107" t="s">
        <v>1116</v>
      </c>
      <c r="H116" s="2471">
        <f>G2</f>
        <v>0</v>
      </c>
      <c r="I116" s="2107"/>
      <c r="J116" s="2485"/>
      <c r="K116" s="2485"/>
      <c r="L116" s="2485"/>
      <c r="M116" s="2485"/>
      <c r="N116" s="2466"/>
    </row>
    <row r="117" ht="13" spans="1:14">
      <c r="A117" s="2472"/>
      <c r="B117" s="2473" t="s">
        <v>1311</v>
      </c>
      <c r="C117" s="2473" t="s">
        <v>1312</v>
      </c>
      <c r="D117" s="2473" t="s">
        <v>1313</v>
      </c>
      <c r="E117" s="2474" t="s">
        <v>1314</v>
      </c>
      <c r="F117" s="2474" t="s">
        <v>1315</v>
      </c>
      <c r="G117" s="2474" t="s">
        <v>1316</v>
      </c>
      <c r="H117" s="2475" t="s">
        <v>1317</v>
      </c>
      <c r="I117" s="2475" t="s">
        <v>1318</v>
      </c>
      <c r="J117" s="2486" t="s">
        <v>1319</v>
      </c>
      <c r="K117" s="2486" t="s">
        <v>1320</v>
      </c>
      <c r="L117" s="2486" t="s">
        <v>1321</v>
      </c>
      <c r="M117" s="2487" t="s">
        <v>1322</v>
      </c>
      <c r="N117" s="2466"/>
    </row>
    <row r="118" ht="13" spans="1:14">
      <c r="A118" s="2476" t="s">
        <v>1232</v>
      </c>
      <c r="B118" s="2447">
        <f>ROUND(0.9968-0.011*B116,4)</f>
        <v>0.9438</v>
      </c>
      <c r="C118" s="2447">
        <f>B118</f>
        <v>0.9438</v>
      </c>
      <c r="D118" s="2447">
        <f>ROUND(0.949-0.014*B116,4)</f>
        <v>0.8815</v>
      </c>
      <c r="E118" s="2447">
        <f>D118</f>
        <v>0.8815</v>
      </c>
      <c r="F118" s="2447">
        <f>E118</f>
        <v>0.8815</v>
      </c>
      <c r="G118" s="2447">
        <f>F118</f>
        <v>0.8815</v>
      </c>
      <c r="H118" s="2447">
        <f>G118</f>
        <v>0.8815</v>
      </c>
      <c r="I118" s="2447">
        <f>ROUND(0.8486-0.018*B116,4)</f>
        <v>0.7618</v>
      </c>
      <c r="J118" s="2447">
        <f t="shared" ref="J118:M122" si="36">I118</f>
        <v>0.7618</v>
      </c>
      <c r="K118" s="2447">
        <f t="shared" si="36"/>
        <v>0.7618</v>
      </c>
      <c r="L118" s="2447">
        <f t="shared" si="36"/>
        <v>0.7618</v>
      </c>
      <c r="M118" s="2488">
        <f t="shared" si="36"/>
        <v>0.7618</v>
      </c>
      <c r="N118" s="2466"/>
    </row>
    <row r="119" ht="13" spans="1:14">
      <c r="A119" s="2476" t="s">
        <v>1233</v>
      </c>
      <c r="B119" s="2447">
        <f>ROUND(0.993-0.0112*B116,4)</f>
        <v>0.939</v>
      </c>
      <c r="C119" s="2447">
        <f>B119</f>
        <v>0.939</v>
      </c>
      <c r="D119" s="2447">
        <f>ROUND(0.9415-0.0142*B116,4)</f>
        <v>0.8731</v>
      </c>
      <c r="E119" s="2447">
        <f t="shared" ref="E119:H120" si="37">D119</f>
        <v>0.8731</v>
      </c>
      <c r="F119" s="2447">
        <f t="shared" si="37"/>
        <v>0.8731</v>
      </c>
      <c r="G119" s="2447">
        <f t="shared" si="37"/>
        <v>0.8731</v>
      </c>
      <c r="H119" s="2447">
        <f t="shared" si="37"/>
        <v>0.8731</v>
      </c>
      <c r="I119" s="2447">
        <f>ROUND(0.838-0.0182*B116,4)</f>
        <v>0.7503</v>
      </c>
      <c r="J119" s="2447">
        <f t="shared" si="36"/>
        <v>0.7503</v>
      </c>
      <c r="K119" s="2447">
        <f t="shared" si="36"/>
        <v>0.7503</v>
      </c>
      <c r="L119" s="2447">
        <f t="shared" si="36"/>
        <v>0.7503</v>
      </c>
      <c r="M119" s="2488">
        <f t="shared" si="36"/>
        <v>0.7503</v>
      </c>
      <c r="N119" s="2466"/>
    </row>
    <row r="120" ht="13" spans="1:14">
      <c r="A120" s="2476" t="s">
        <v>1234</v>
      </c>
      <c r="B120" s="2447">
        <f>ROUND(0.9448-0.0115*B116,4)</f>
        <v>0.8894</v>
      </c>
      <c r="C120" s="2447">
        <f>B120</f>
        <v>0.8894</v>
      </c>
      <c r="D120" s="2447">
        <f>ROUND(0.937-0.0145*B116,4)</f>
        <v>0.8671</v>
      </c>
      <c r="E120" s="2447">
        <f t="shared" si="37"/>
        <v>0.8671</v>
      </c>
      <c r="F120" s="2447">
        <f t="shared" si="37"/>
        <v>0.8671</v>
      </c>
      <c r="G120" s="2447">
        <f t="shared" si="37"/>
        <v>0.8671</v>
      </c>
      <c r="H120" s="2447">
        <f t="shared" si="37"/>
        <v>0.8671</v>
      </c>
      <c r="I120" s="2447">
        <f>ROUND(0.7965-0.0185*B116,4)</f>
        <v>0.7073</v>
      </c>
      <c r="J120" s="2447">
        <f t="shared" si="36"/>
        <v>0.7073</v>
      </c>
      <c r="K120" s="2447">
        <f t="shared" si="36"/>
        <v>0.7073</v>
      </c>
      <c r="L120" s="2447">
        <f t="shared" si="36"/>
        <v>0.7073</v>
      </c>
      <c r="M120" s="2488">
        <f t="shared" si="36"/>
        <v>0.7073</v>
      </c>
      <c r="N120" s="2466"/>
    </row>
    <row r="121" ht="13.75" spans="1:14">
      <c r="A121" s="2477" t="s">
        <v>1235</v>
      </c>
      <c r="B121" s="2478">
        <f>ROUND(0.7836-0.012*B116,4)</f>
        <v>0.7258</v>
      </c>
      <c r="C121" s="2478">
        <f>B121</f>
        <v>0.7258</v>
      </c>
      <c r="D121" s="2478">
        <f>ROUND(0.753-0.015*B116,4)</f>
        <v>0.6807</v>
      </c>
      <c r="E121" s="2478">
        <f>D121</f>
        <v>0.6807</v>
      </c>
      <c r="F121" s="2478">
        <f>E121</f>
        <v>0.6807</v>
      </c>
      <c r="G121" s="2478">
        <f>ROUND(0.6612-0.018*B116,4)</f>
        <v>0.5744</v>
      </c>
      <c r="H121" s="2478">
        <f>G121</f>
        <v>0.5744</v>
      </c>
      <c r="I121" s="2478">
        <f>ROUND(0.5905-0.019*B116,4)</f>
        <v>0.4989</v>
      </c>
      <c r="J121" s="2478">
        <f t="shared" si="36"/>
        <v>0.4989</v>
      </c>
      <c r="K121" s="2478">
        <f t="shared" si="36"/>
        <v>0.4989</v>
      </c>
      <c r="L121" s="2478">
        <f t="shared" si="36"/>
        <v>0.4989</v>
      </c>
      <c r="M121" s="2489">
        <f t="shared" si="36"/>
        <v>0.4989</v>
      </c>
      <c r="N121" s="2466"/>
    </row>
    <row r="122" ht="13" spans="1:14">
      <c r="A122" s="2479" t="s">
        <v>280</v>
      </c>
      <c r="B122" s="2447">
        <f>ROUND(0.9404-0.0106*B116,4)</f>
        <v>0.8893</v>
      </c>
      <c r="C122" s="2447">
        <f>B122</f>
        <v>0.8893</v>
      </c>
      <c r="D122" s="2447">
        <f>ROUND(0.8955-0.0135*B116,4)</f>
        <v>0.8304</v>
      </c>
      <c r="E122" s="2447">
        <f t="shared" ref="E122:H122" si="38">D122</f>
        <v>0.8304</v>
      </c>
      <c r="F122" s="2447">
        <f t="shared" si="38"/>
        <v>0.8304</v>
      </c>
      <c r="G122" s="2447">
        <f t="shared" si="38"/>
        <v>0.8304</v>
      </c>
      <c r="H122" s="2447">
        <f t="shared" si="38"/>
        <v>0.8304</v>
      </c>
      <c r="I122" s="2447">
        <f>ROUND(0.7632-0.0166*B116,4)</f>
        <v>0.6832</v>
      </c>
      <c r="J122" s="2447">
        <f t="shared" si="36"/>
        <v>0.6832</v>
      </c>
      <c r="K122" s="2447">
        <f t="shared" si="36"/>
        <v>0.6832</v>
      </c>
      <c r="L122" s="2447">
        <f t="shared" si="36"/>
        <v>0.6832</v>
      </c>
      <c r="M122" s="2488">
        <f t="shared" si="36"/>
        <v>0.6832</v>
      </c>
      <c r="N122" s="24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H41" sqref="H41"/>
    </sheetView>
  </sheetViews>
  <sheetFormatPr defaultColWidth="6.62727272727273" defaultRowHeight="12.5"/>
  <cols>
    <col min="1" max="1" width="9.75454545454545" style="686" customWidth="1"/>
    <col min="2" max="2" width="25.7545454545455" style="2011" customWidth="1"/>
    <col min="3" max="3" width="10.3727272727273" style="2012" customWidth="1"/>
    <col min="4" max="4" width="9.87272727272727" style="2011" customWidth="1"/>
    <col min="5" max="5" width="9.5" style="686" customWidth="1"/>
    <col min="6" max="6" width="10.1272727272727" style="2011" customWidth="1"/>
    <col min="7" max="7" width="10.7545454545455" style="2011" customWidth="1"/>
    <col min="8" max="8" width="10" style="2011" customWidth="1"/>
    <col min="9" max="11" width="9.5" style="2011" customWidth="1"/>
    <col min="12" max="12" width="9" style="2011" customWidth="1"/>
    <col min="13" max="13" width="10.5" style="2011" customWidth="1"/>
    <col min="14" max="254" width="9" style="2011" customWidth="1"/>
    <col min="255" max="16384" width="6.62727272727273" style="2011"/>
  </cols>
  <sheetData>
    <row r="1" ht="21" spans="1:11">
      <c r="A1" s="389" t="s">
        <v>1323</v>
      </c>
      <c r="B1" s="1787"/>
      <c r="C1" s="2013"/>
      <c r="D1" s="2014"/>
      <c r="E1" s="2015"/>
      <c r="F1" s="2015"/>
      <c r="G1" s="2016"/>
      <c r="H1" s="2015"/>
      <c r="I1" s="2015"/>
      <c r="J1" s="2015"/>
      <c r="K1" s="2084">
        <f>MATCH(C1,'数据-取费表'!A6:A16,0)+5</f>
        <v>7</v>
      </c>
    </row>
    <row r="2" ht="18" customHeight="1" spans="1:11">
      <c r="A2" s="393" t="s">
        <v>1003</v>
      </c>
      <c r="B2" s="397">
        <f ca="1">C32</f>
        <v>35693</v>
      </c>
      <c r="C2" s="2017" t="s">
        <v>1324</v>
      </c>
      <c r="D2" s="2017"/>
      <c r="E2" s="2015"/>
      <c r="F2" s="2015"/>
      <c r="G2" s="2015"/>
      <c r="H2" s="2015"/>
      <c r="I2" s="2015"/>
      <c r="J2" s="2015"/>
      <c r="K2" s="2015"/>
    </row>
    <row r="3" ht="18" customHeight="1" spans="1:11">
      <c r="A3" s="396" t="s">
        <v>1005</v>
      </c>
      <c r="B3" s="397">
        <f ca="1">ROUND(B2*10000/IF(C1="",'数据-汇总表'!E3,INDIRECT("'数据-取费表'!K"&amp;$K$1)),0)</f>
        <v>5237</v>
      </c>
      <c r="C3" s="2017" t="s">
        <v>1325</v>
      </c>
      <c r="D3" s="2017"/>
      <c r="E3" s="2015"/>
      <c r="F3" s="2015"/>
      <c r="G3" s="2015"/>
      <c r="H3" s="2015"/>
      <c r="I3" s="2015"/>
      <c r="J3" s="2015"/>
      <c r="K3" s="2015"/>
    </row>
    <row r="4" s="2002" customFormat="1" ht="16.5" customHeight="1" spans="1:11">
      <c r="A4" s="2018" t="s">
        <v>1326</v>
      </c>
      <c r="B4" s="2019"/>
      <c r="C4" s="2020">
        <f ca="1">SUM(C8:K8)</f>
        <v>40137</v>
      </c>
      <c r="D4" s="2019"/>
      <c r="E4" s="2019"/>
      <c r="F4" s="2019"/>
      <c r="G4" s="2019"/>
      <c r="H4" s="2019"/>
      <c r="I4" s="2019"/>
      <c r="J4" s="2019"/>
      <c r="K4" s="2085"/>
    </row>
    <row r="5" s="2003" customFormat="1" ht="14" spans="1:33">
      <c r="A5" s="2021" t="s">
        <v>1327</v>
      </c>
      <c r="B5" s="2022" t="s">
        <v>1328</v>
      </c>
      <c r="C5" s="2023" t="s">
        <v>549</v>
      </c>
      <c r="D5" s="2023"/>
      <c r="E5" s="2023"/>
      <c r="F5" s="2023"/>
      <c r="G5" s="2023"/>
      <c r="H5" s="2023"/>
      <c r="I5" s="2023"/>
      <c r="J5" s="2023"/>
      <c r="K5" s="2023"/>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2004" customFormat="1" ht="13.5" customHeight="1" spans="1:33">
      <c r="A6" s="2024" t="s">
        <v>913</v>
      </c>
      <c r="B6" s="1750" t="s">
        <v>1329</v>
      </c>
      <c r="C6" s="2025">
        <f ca="1">收益法!C43</f>
        <v>5410</v>
      </c>
      <c r="D6" s="2025"/>
      <c r="E6" s="2025"/>
      <c r="F6" s="2025"/>
      <c r="G6" s="2025"/>
      <c r="H6" s="2025"/>
      <c r="I6" s="2025"/>
      <c r="J6" s="2025"/>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2004" customFormat="1" ht="13.5" customHeight="1" spans="1:33">
      <c r="A7" s="2024" t="s">
        <v>917</v>
      </c>
      <c r="B7" s="1750" t="s">
        <v>456</v>
      </c>
      <c r="C7" s="2026">
        <f>SUMIF('数据-汇总表'!$C19:$C33,假设开发法!C5,'数据-汇总表'!$E19:$E33)</f>
        <v>66363.26</v>
      </c>
      <c r="D7" s="2026">
        <f>SUMIF('数据-汇总表'!$C19:$C33,假设开发法!D5,'数据-汇总表'!$E19:$E33)</f>
        <v>0</v>
      </c>
      <c r="E7" s="2026">
        <f>SUMIF('数据-汇总表'!$C19:$C33,假设开发法!E5,'数据-汇总表'!$E19:$E33)</f>
        <v>0</v>
      </c>
      <c r="F7" s="2026">
        <f>SUMIF('数据-汇总表'!$C19:$C33,假设开发法!F5,'数据-汇总表'!$E19:$E33)</f>
        <v>0</v>
      </c>
      <c r="G7" s="2026">
        <f>SUMIF('数据-汇总表'!$C19:$C33,假设开发法!G5,'数据-汇总表'!$E19:$E33)</f>
        <v>0</v>
      </c>
      <c r="H7" s="2026">
        <f>SUMIF('数据-汇总表'!$C19:$C33,假设开发法!H5,'数据-汇总表'!$E19:$E33)</f>
        <v>0</v>
      </c>
      <c r="I7" s="2026">
        <f>SUMIF('数据-汇总表'!$C19:$C33,假设开发法!I5,'数据-汇总表'!$E19:$E33)</f>
        <v>0</v>
      </c>
      <c r="J7" s="2026">
        <f>SUMIF('数据-汇总表'!$C19:$C33,假设开发法!J5,'数据-汇总表'!$E19:$E33)</f>
        <v>0</v>
      </c>
      <c r="K7" s="2089">
        <f>SUMIF('数据-汇总表'!$C19:$C33,假设开发法!K5,'数据-汇总表'!$E19:$E33)</f>
        <v>0</v>
      </c>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2004" customFormat="1" ht="13.5" customHeight="1" spans="1:33">
      <c r="A8" s="2027" t="s">
        <v>962</v>
      </c>
      <c r="B8" s="2028" t="s">
        <v>1330</v>
      </c>
      <c r="C8" s="2029">
        <f ca="1">收益法!B2</f>
        <v>40137</v>
      </c>
      <c r="D8" s="2029"/>
      <c r="E8" s="2029"/>
      <c r="F8" s="2030"/>
      <c r="G8" s="2030"/>
      <c r="H8" s="2030"/>
      <c r="I8" s="2030"/>
      <c r="J8" s="2030"/>
      <c r="K8" s="2090"/>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2002" customFormat="1" ht="16.5" customHeight="1" spans="1:11">
      <c r="A9" s="2018" t="s">
        <v>1331</v>
      </c>
      <c r="B9" s="2019"/>
      <c r="C9" s="2019"/>
      <c r="D9" s="2019"/>
      <c r="E9" s="2019"/>
      <c r="F9" s="2019"/>
      <c r="G9" s="2019"/>
      <c r="H9" s="2019"/>
      <c r="I9" s="2019"/>
      <c r="J9" s="2019"/>
      <c r="K9" s="2085"/>
    </row>
    <row r="10" s="2005" customFormat="1" ht="13.5" customHeight="1" spans="1:11">
      <c r="A10" s="2021" t="s">
        <v>1327</v>
      </c>
      <c r="B10" s="2031" t="s">
        <v>1328</v>
      </c>
      <c r="C10" s="2032" t="s">
        <v>1332</v>
      </c>
      <c r="D10" s="2033" t="s">
        <v>1333</v>
      </c>
      <c r="E10" s="2033" t="s">
        <v>1334</v>
      </c>
      <c r="F10" s="2033" t="s">
        <v>1335</v>
      </c>
      <c r="G10" s="2031"/>
      <c r="H10" s="2034"/>
      <c r="I10" s="2034"/>
      <c r="J10" s="2034"/>
      <c r="K10" s="2091"/>
    </row>
    <row r="11" s="2006" customFormat="1" ht="13.5" customHeight="1" spans="1:11">
      <c r="A11" s="2035" t="s">
        <v>1019</v>
      </c>
      <c r="B11" s="2036" t="s">
        <v>1336</v>
      </c>
      <c r="C11" s="2037">
        <f ca="1">IF(C1="",'数据-取费表'!P16,INDIRECT("'数据-取费表'!p"&amp;$K$1)+INDIRECT("'数据-取费表'!ar"&amp;$K$1))</f>
        <v>307</v>
      </c>
      <c r="D11" s="2038"/>
      <c r="E11" s="1753"/>
      <c r="F11" s="2039">
        <f ca="1">1-IF('数据-取费表'!B24=0,1,IF(C1="",'数据-取费表'!N16,INDIRECT("'数据-取费表'!n"&amp;$K$1)))</f>
        <v>0.01</v>
      </c>
      <c r="G11" s="2031"/>
      <c r="H11" s="2034"/>
      <c r="I11" s="2034"/>
      <c r="J11" s="2034"/>
      <c r="K11" s="2091"/>
    </row>
    <row r="12" s="2006" customFormat="1" ht="13.5" customHeight="1" spans="1:11">
      <c r="A12" s="2035" t="s">
        <v>1022</v>
      </c>
      <c r="B12" s="2036" t="s">
        <v>1337</v>
      </c>
      <c r="C12" s="643">
        <f ca="1">ROUND(C11*F12,0)</f>
        <v>18</v>
      </c>
      <c r="D12" s="2038"/>
      <c r="E12" s="1753"/>
      <c r="F12" s="2039">
        <f>'数据-取费表'!B33</f>
        <v>0.06</v>
      </c>
      <c r="G12" s="2031" t="s">
        <v>1338</v>
      </c>
      <c r="H12" s="2034"/>
      <c r="I12" s="2034"/>
      <c r="J12" s="2034"/>
      <c r="K12" s="2091"/>
    </row>
    <row r="13" s="2006" customFormat="1" ht="13.5" customHeight="1" spans="1:11">
      <c r="A13" s="2035" t="s">
        <v>1339</v>
      </c>
      <c r="B13" s="2036" t="s">
        <v>1340</v>
      </c>
      <c r="C13" s="643">
        <f ca="1">ROUND(IF(C1="",SUMIF('数据-取费表'!C:C,"住宅",'数据-取费表'!P:P)*F13,IF(INDIRECT("'数据-取费表'!c"&amp;$K$1)="住宅",INDIRECT("'数据-取费表'!P"&amp;$K$1)*F13,0)),0)</f>
        <v>0</v>
      </c>
      <c r="D13" s="2040"/>
      <c r="E13" s="1753"/>
      <c r="F13" s="2039">
        <f>'数据-取费表'!B34</f>
        <v>0</v>
      </c>
      <c r="G13" s="2031" t="s">
        <v>1341</v>
      </c>
      <c r="H13" s="2034"/>
      <c r="I13" s="2034"/>
      <c r="J13" s="2034"/>
      <c r="K13" s="2091"/>
    </row>
    <row r="14" s="2007" customFormat="1" ht="13.5" customHeight="1" spans="1:33">
      <c r="A14" s="2035" t="s">
        <v>1342</v>
      </c>
      <c r="B14" s="2036" t="s">
        <v>1343</v>
      </c>
      <c r="C14" s="643">
        <f ca="1">ROUND(D14*E14*F11/10000,0)</f>
        <v>14</v>
      </c>
      <c r="D14" s="2040">
        <f ca="1">IF(C1="",'数据-汇总表'!E3,INDIRECT("'数据-取费表'!K"&amp;$K$1)+INDIRECT("'数据-取费表'!S"&amp;$K$1))</f>
        <v>68156.19</v>
      </c>
      <c r="E14" s="643">
        <f>'数据-取费表'!B35</f>
        <v>200</v>
      </c>
      <c r="F14" s="2041"/>
      <c r="G14" s="2031" t="s">
        <v>1344</v>
      </c>
      <c r="H14" s="2034"/>
      <c r="I14" s="2034"/>
      <c r="J14" s="2034"/>
      <c r="K14" s="2091"/>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row>
    <row r="15" s="2007" customFormat="1" ht="13.5" customHeight="1" spans="1:33">
      <c r="A15" s="2035" t="s">
        <v>1345</v>
      </c>
      <c r="B15" s="2036" t="s">
        <v>1346</v>
      </c>
      <c r="C15" s="2042">
        <f ca="1">ROUND(C11*F15,0)</f>
        <v>6</v>
      </c>
      <c r="D15" s="2043"/>
      <c r="E15" s="2042"/>
      <c r="F15" s="2039">
        <f>'数据-取费表'!B36</f>
        <v>0.02</v>
      </c>
      <c r="G15" s="1750" t="s">
        <v>1347</v>
      </c>
      <c r="H15" s="1865"/>
      <c r="I15" s="1865"/>
      <c r="J15" s="1865"/>
      <c r="K15" s="1866"/>
      <c r="L15" s="2006"/>
      <c r="M15" s="2006"/>
      <c r="N15" s="2006"/>
      <c r="O15" s="2006"/>
      <c r="P15" s="2006"/>
      <c r="Q15" s="2006"/>
      <c r="R15" s="2006"/>
      <c r="S15" s="2006"/>
      <c r="T15" s="2006"/>
      <c r="U15" s="2006"/>
      <c r="V15" s="2006"/>
      <c r="W15" s="2006"/>
      <c r="X15" s="2006"/>
      <c r="Y15" s="2006"/>
      <c r="Z15" s="2006"/>
      <c r="AA15" s="2006"/>
      <c r="AB15" s="2006"/>
      <c r="AC15" s="2006"/>
      <c r="AD15" s="2006"/>
      <c r="AE15" s="2006"/>
      <c r="AF15" s="2006"/>
      <c r="AG15" s="2006"/>
    </row>
    <row r="16" s="2007" customFormat="1" ht="13.5" customHeight="1" spans="1:33">
      <c r="A16" s="2035" t="s">
        <v>936</v>
      </c>
      <c r="B16" s="2036" t="s">
        <v>1348</v>
      </c>
      <c r="C16" s="2042">
        <f ca="1">SUM(C11:C15)</f>
        <v>345</v>
      </c>
      <c r="D16" s="2043"/>
      <c r="E16" s="2042"/>
      <c r="F16" s="2039"/>
      <c r="G16" s="1750"/>
      <c r="H16" s="2044"/>
      <c r="I16" s="1865"/>
      <c r="J16" s="1865"/>
      <c r="K16" s="1866"/>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row>
    <row r="17" s="2007" customFormat="1" ht="13.5" customHeight="1" spans="1:33">
      <c r="A17" s="2035" t="s">
        <v>940</v>
      </c>
      <c r="B17" s="2036" t="s">
        <v>1349</v>
      </c>
      <c r="C17" s="643">
        <f ca="1">ROUND(D17*E17/10000,0)</f>
        <v>0</v>
      </c>
      <c r="D17" s="2040">
        <f ca="1">D14</f>
        <v>68156.19</v>
      </c>
      <c r="E17" s="643">
        <f>'数据-取费表'!B32</f>
        <v>0</v>
      </c>
      <c r="F17" s="2043"/>
      <c r="G17" s="1750" t="s">
        <v>1350</v>
      </c>
      <c r="H17" s="2044"/>
      <c r="I17" s="1865"/>
      <c r="J17" s="1865"/>
      <c r="K17" s="186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row>
    <row r="18" s="2006" customFormat="1" ht="13.5" customHeight="1" spans="1:11">
      <c r="A18" s="2035" t="s">
        <v>1351</v>
      </c>
      <c r="B18" s="2036" t="s">
        <v>1352</v>
      </c>
      <c r="C18" s="643">
        <f ca="1">C19+C20-IF(C1="",'数据-取费表'!B29,IF(G18="已全部缴纳",C19+C20,H18))</f>
        <v>716</v>
      </c>
      <c r="D18" s="2040"/>
      <c r="E18" s="643"/>
      <c r="F18" s="2041"/>
      <c r="G18" s="2045"/>
      <c r="H18" s="2046"/>
      <c r="I18" s="2092" t="s">
        <v>1353</v>
      </c>
      <c r="J18" s="1865"/>
      <c r="K18" s="1866"/>
    </row>
    <row r="19" s="2006" customFormat="1" ht="13.5" customHeight="1" spans="1:11">
      <c r="A19" s="2035" t="s">
        <v>1019</v>
      </c>
      <c r="B19" s="2036" t="s">
        <v>443</v>
      </c>
      <c r="C19" s="643">
        <f ca="1">ROUND(D19*E19/10000,0)</f>
        <v>0</v>
      </c>
      <c r="D19" s="2040">
        <f ca="1">IF(C1="",'数据-汇总表'!E5,IF(INDIRECT("'数据-取费表'!c"&amp;$K$1)="住宅",INDIRECT("'数据-取费表'!k"&amp;$K$1),0))</f>
        <v>0</v>
      </c>
      <c r="E19" s="643">
        <f>'数据-取费表'!B27</f>
        <v>0</v>
      </c>
      <c r="F19" s="2041"/>
      <c r="G19" s="1864"/>
      <c r="H19" s="2047"/>
      <c r="I19" s="2048"/>
      <c r="J19" s="2048"/>
      <c r="K19" s="2093"/>
    </row>
    <row r="20" s="2006" customFormat="1" ht="13.5" customHeight="1" spans="1:11">
      <c r="A20" s="2035" t="s">
        <v>1022</v>
      </c>
      <c r="B20" s="2036" t="s">
        <v>1354</v>
      </c>
      <c r="C20" s="643">
        <f ca="1">ROUND(D20*E20/10000,0)</f>
        <v>716</v>
      </c>
      <c r="D20" s="2040">
        <f ca="1">IF(C1="",'数据-汇总表'!E6,IF(INDIRECT("'数据-取费表'!c"&amp;$K$1)="住宅",INDIRECT("'数据-取费表'!s"&amp;$K$1),INDIRECT("'数据-取费表'!k"&amp;$K$1)+INDIRECT("'数据-取费表'!s"&amp;$K$1)))</f>
        <v>68156.19</v>
      </c>
      <c r="E20" s="643">
        <f>'数据-取费表'!B28</f>
        <v>105</v>
      </c>
      <c r="F20" s="2041"/>
      <c r="G20" s="1864"/>
      <c r="H20" s="2048"/>
      <c r="I20" s="2048"/>
      <c r="J20" s="2048"/>
      <c r="K20" s="2093"/>
    </row>
    <row r="21" s="2006" customFormat="1" ht="13.5" customHeight="1" spans="1:11">
      <c r="A21" s="2024" t="s">
        <v>913</v>
      </c>
      <c r="B21" s="2049" t="s">
        <v>1355</v>
      </c>
      <c r="C21" s="2050">
        <f ca="1">C16+C17+C18</f>
        <v>1061</v>
      </c>
      <c r="D21" s="2051"/>
      <c r="E21" s="2052"/>
      <c r="F21" s="2052"/>
      <c r="G21" s="1750" t="s">
        <v>1356</v>
      </c>
      <c r="H21" s="1865"/>
      <c r="I21" s="1865"/>
      <c r="J21" s="1865"/>
      <c r="K21" s="1866"/>
    </row>
    <row r="22" s="2006" customFormat="1" ht="13.5" customHeight="1" spans="1:11">
      <c r="A22" s="2024" t="s">
        <v>917</v>
      </c>
      <c r="B22" s="2049" t="s">
        <v>1357</v>
      </c>
      <c r="C22" s="2050">
        <f ca="1">ROUND(C21*F22,0)</f>
        <v>32</v>
      </c>
      <c r="D22" s="2052"/>
      <c r="E22" s="2052"/>
      <c r="F22" s="2053">
        <f>'数据-取费表'!B37</f>
        <v>0.03</v>
      </c>
      <c r="G22" s="2031" t="s">
        <v>1358</v>
      </c>
      <c r="H22" s="2034"/>
      <c r="I22" s="2034"/>
      <c r="J22" s="2034"/>
      <c r="K22" s="2091"/>
    </row>
    <row r="23" s="2006" customFormat="1" ht="13.5" customHeight="1" spans="1:11">
      <c r="A23" s="2024" t="s">
        <v>962</v>
      </c>
      <c r="B23" s="2049" t="s">
        <v>1359</v>
      </c>
      <c r="C23" s="2050">
        <f ca="1">ROUND(C4*F23*F11,0)</f>
        <v>8</v>
      </c>
      <c r="D23" s="2052"/>
      <c r="E23" s="2052"/>
      <c r="F23" s="2053">
        <f>'数据-取费表'!B38</f>
        <v>0.02</v>
      </c>
      <c r="G23" s="2031" t="s">
        <v>1360</v>
      </c>
      <c r="H23" s="2034"/>
      <c r="I23" s="2034"/>
      <c r="J23" s="2034"/>
      <c r="K23" s="2091"/>
    </row>
    <row r="24" s="2006" customFormat="1" ht="13.5" customHeight="1" spans="1:11">
      <c r="A24" s="2024" t="s">
        <v>965</v>
      </c>
      <c r="B24" s="2049" t="s">
        <v>1361</v>
      </c>
      <c r="C24" s="2054">
        <f>ROUND(F24/(1+'数据-取费表'!C42),4)</f>
        <v>0.029</v>
      </c>
      <c r="D24" s="2052" t="s">
        <v>1362</v>
      </c>
      <c r="E24" s="2052"/>
      <c r="F24" s="2053">
        <f>IF(项目基本情况!B8="出让",0,'数据-取费表'!B48+'数据-取费表'!B49)</f>
        <v>0.0305</v>
      </c>
      <c r="G24" s="2031" t="s">
        <v>1363</v>
      </c>
      <c r="H24" s="2055"/>
      <c r="I24" s="2055"/>
      <c r="J24" s="2055"/>
      <c r="K24" s="2094"/>
    </row>
    <row r="25" s="2006" customFormat="1" ht="13.5" customHeight="1" spans="1:11">
      <c r="A25" s="2024" t="s">
        <v>969</v>
      </c>
      <c r="B25" s="2051" t="s">
        <v>1364</v>
      </c>
      <c r="C25" s="2056">
        <f ca="1">C27</f>
        <v>0</v>
      </c>
      <c r="D25" s="2054">
        <f ca="1">C26</f>
        <v>0.0006</v>
      </c>
      <c r="E25" s="2057" t="s">
        <v>1362</v>
      </c>
      <c r="F25" s="2058">
        <f ca="1">'数据-取费表'!B40</f>
        <v>0.031</v>
      </c>
      <c r="G25" s="1750" t="str">
        <f>IF('数据-取费表'!B22&lt;=1,"单利计息。","复利计息。")&amp;"后续开发成本、管理费用及销售费用产生的利息。"</f>
        <v>复利计息。后续开发成本、管理费用及销售费用产生的利息。</v>
      </c>
      <c r="H25" s="2055"/>
      <c r="I25" s="2055"/>
      <c r="J25" s="2055"/>
      <c r="K25" s="2094"/>
    </row>
    <row r="26" s="2008" customFormat="1" ht="13.5" customHeight="1" spans="1:11">
      <c r="A26" s="2035" t="s">
        <v>936</v>
      </c>
      <c r="B26" s="2059" t="s">
        <v>1365</v>
      </c>
      <c r="C26" s="2060">
        <f ca="1">ROUND(IF('数据-取费表'!B22&lt;=1,(1+C24)*F25*'数据-取费表'!B24,(1+C24)*(POWER((1+F25),'数据-取费表'!B24)-1)),4)</f>
        <v>0.0006</v>
      </c>
      <c r="D26" s="2061"/>
      <c r="E26" s="2062"/>
      <c r="F26" s="2063"/>
      <c r="G26" s="2064" t="str">
        <f>IF('数据-取费表'!B22&lt;=1,"（(1)+取得税费率/(1+5%)）×年利率×建设期","（(1)+取得税费率）/(1+5%)×((1+年利率)^建设期-1)")</f>
        <v>（(1)+取得税费率）/(1+5%)×((1+年利率)^建设期-1)</v>
      </c>
      <c r="H26" s="1865"/>
      <c r="I26" s="1865"/>
      <c r="J26" s="1865"/>
      <c r="K26" s="1866"/>
    </row>
    <row r="27" s="2008" customFormat="1" ht="13.5" customHeight="1" spans="1:11">
      <c r="A27" s="2035" t="s">
        <v>940</v>
      </c>
      <c r="B27" s="2059" t="s">
        <v>1366</v>
      </c>
      <c r="C27" s="2065">
        <f ca="1">ROUND(IF('数据-取费表'!B22&lt;=1,(C21+C22+C23)*F25*'数据-取费表'!B24/2,(C21+C22+C23)*(POWER((1+F25),'数据-取费表'!B24/2)-1)),0)</f>
        <v>0</v>
      </c>
      <c r="D27" s="2061"/>
      <c r="E27" s="2062"/>
      <c r="F27" s="2063"/>
      <c r="G27" s="2064" t="str">
        <f>IF('数据-取费表'!B22&lt;=1,"（1）-（3）项×年利率×建设期÷2","（1）-（3）项×((1+年利率)^(建设期÷2)-1)")</f>
        <v>（1）-（3）项×((1+年利率)^(建设期÷2)-1)</v>
      </c>
      <c r="H27" s="1865"/>
      <c r="I27" s="1865"/>
      <c r="J27" s="1865"/>
      <c r="K27" s="1866"/>
    </row>
    <row r="28" s="2009" customFormat="1" ht="13.5" customHeight="1" spans="1:11">
      <c r="A28" s="2024" t="s">
        <v>970</v>
      </c>
      <c r="B28" s="2066" t="s">
        <v>1367</v>
      </c>
      <c r="C28" s="2067">
        <f ca="1">C30</f>
        <v>110</v>
      </c>
      <c r="D28" s="2054">
        <f ca="1">C29</f>
        <v>0.001</v>
      </c>
      <c r="E28" s="2057" t="s">
        <v>1362</v>
      </c>
      <c r="F28" s="987">
        <f ca="1">IF(C1="",'数据-取费表'!Q16,INDIRECT("'数据-取费表'!q"&amp;$K$1))</f>
        <v>0.1</v>
      </c>
      <c r="G28" s="2068"/>
      <c r="H28" s="2055"/>
      <c r="I28" s="2055"/>
      <c r="J28" s="2055"/>
      <c r="K28" s="2094"/>
    </row>
    <row r="29" s="2010" customFormat="1" ht="13.5" customHeight="1" spans="1:11">
      <c r="A29" s="2035" t="s">
        <v>936</v>
      </c>
      <c r="B29" s="2069" t="s">
        <v>1368</v>
      </c>
      <c r="C29" s="2061">
        <f ca="1">ROUND((1+C24)*F28*'数据-取费表'!B24/'数据-取费表'!B20,4)</f>
        <v>0.001</v>
      </c>
      <c r="D29" s="2061"/>
      <c r="E29" s="2062"/>
      <c r="F29" s="2070"/>
      <c r="G29" s="1750" t="s">
        <v>1369</v>
      </c>
      <c r="H29" s="1865"/>
      <c r="I29" s="1865"/>
      <c r="J29" s="1865"/>
      <c r="K29" s="1866"/>
    </row>
    <row r="30" s="2010" customFormat="1" ht="13.5" customHeight="1" spans="1:11">
      <c r="A30" s="2035" t="s">
        <v>940</v>
      </c>
      <c r="B30" s="2069" t="s">
        <v>1370</v>
      </c>
      <c r="C30" s="2071">
        <f ca="1">ROUND((C21+C22+C23)*F28,0)</f>
        <v>110</v>
      </c>
      <c r="D30" s="2061"/>
      <c r="E30" s="2062"/>
      <c r="F30" s="2070"/>
      <c r="G30" s="1750"/>
      <c r="H30" s="1865"/>
      <c r="I30" s="1865"/>
      <c r="J30" s="1865"/>
      <c r="K30" s="1866"/>
    </row>
    <row r="31" s="2006" customFormat="1" ht="13.5" customHeight="1" spans="1:11">
      <c r="A31" s="2072" t="s">
        <v>1371</v>
      </c>
      <c r="B31" s="2073" t="s">
        <v>1372</v>
      </c>
      <c r="C31" s="2074">
        <f ca="1">ROUND(C4*F31/(1+'数据-取费表'!C42),0)</f>
        <v>2141</v>
      </c>
      <c r="D31" s="2075"/>
      <c r="E31" s="2076"/>
      <c r="F31" s="2077">
        <f>'数据-取费表'!B41</f>
        <v>0.056</v>
      </c>
      <c r="G31" s="2078" t="s">
        <v>1373</v>
      </c>
      <c r="H31" s="2079"/>
      <c r="I31" s="2079"/>
      <c r="J31" s="2079"/>
      <c r="K31" s="2095"/>
    </row>
    <row r="32" s="2005" customFormat="1" ht="13.5" customHeight="1" spans="1:11">
      <c r="A32" s="2080" t="s">
        <v>1374</v>
      </c>
      <c r="B32" s="2081"/>
      <c r="C32" s="2082">
        <f ca="1">ROUND((C4-C21-C22-C23-C25-C28-C31)/(1+C24+D25+D28),0)</f>
        <v>35693</v>
      </c>
      <c r="D32" s="2081"/>
      <c r="E32" s="2081"/>
      <c r="F32" s="2081"/>
      <c r="G32" s="2083" t="s">
        <v>1375</v>
      </c>
      <c r="H32" s="2081"/>
      <c r="I32" s="2081"/>
      <c r="J32" s="2081"/>
      <c r="K32" s="20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F131"/>
  <sheetViews>
    <sheetView view="pageBreakPreview" zoomScale="80" zoomScaleNormal="60" topLeftCell="A19" workbookViewId="0">
      <selection activeCell="K12" sqref="K12"/>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29" width="9.12727272727273" style="717"/>
    <col min="30" max="30" width="10.3727272727273" style="717"/>
    <col min="31" max="33" width="9.12727272727273" style="717"/>
    <col min="34" max="34" width="10.3727272727273" style="717"/>
    <col min="35" max="37" width="9.12727272727273" style="717"/>
    <col min="38" max="38" width="10.3727272727273" style="717"/>
    <col min="39" max="41" width="9.12727272727273" style="717"/>
    <col min="42" max="42" width="10.3727272727273" style="717"/>
    <col min="43" max="45" width="9.12727272727273" style="717"/>
    <col min="46" max="46" width="10.3727272727273" style="717"/>
    <col min="47" max="49" width="9.12727272727273" style="717"/>
    <col min="50" max="50" width="10.3727272727273" style="717"/>
    <col min="51" max="53" width="9.12727272727273" style="717"/>
    <col min="54" max="54" width="10.3727272727273" style="717"/>
    <col min="55" max="57" width="9.12727272727273" style="717"/>
    <col min="58" max="58" width="10.3727272727273" style="717"/>
    <col min="59" max="16384" width="9" style="717"/>
  </cols>
  <sheetData>
    <row r="1" s="710" customFormat="1" ht="28.5" customHeight="1" spans="1:30">
      <c r="A1" s="720" t="s">
        <v>1376</v>
      </c>
      <c r="B1" s="721"/>
      <c r="C1" s="722" t="s">
        <v>1377</v>
      </c>
      <c r="D1" s="723"/>
      <c r="E1" s="723"/>
      <c r="F1" s="724" t="s">
        <v>1378</v>
      </c>
      <c r="G1" s="723"/>
      <c r="H1" s="723"/>
      <c r="I1" s="723"/>
      <c r="J1" s="723"/>
      <c r="K1" s="888"/>
      <c r="L1" s="889"/>
      <c r="M1" s="890"/>
      <c r="N1" s="890"/>
      <c r="O1" s="890"/>
      <c r="P1" s="891"/>
      <c r="Q1" s="891"/>
      <c r="R1" s="891"/>
      <c r="S1" s="891"/>
      <c r="T1" s="891"/>
      <c r="U1" s="891"/>
      <c r="V1" s="891"/>
      <c r="W1" s="891"/>
      <c r="X1" s="891"/>
      <c r="Y1" s="891"/>
      <c r="Z1" s="891"/>
      <c r="AA1" s="891"/>
      <c r="AB1" s="891"/>
      <c r="AC1" s="973"/>
      <c r="AD1" s="1996"/>
    </row>
    <row r="2" s="710" customFormat="1" ht="28.5" customHeight="1" spans="1:30">
      <c r="A2" s="393" t="s">
        <v>1003</v>
      </c>
      <c r="B2" s="725">
        <f>F65</f>
        <v>12470</v>
      </c>
      <c r="C2" s="1112"/>
      <c r="D2" s="1112"/>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6"/>
    </row>
    <row r="3" s="710" customFormat="1" ht="28.5" customHeight="1" spans="1:29">
      <c r="A3" s="396" t="s">
        <v>1005</v>
      </c>
      <c r="B3" s="728">
        <f>ROUND(IF(D3="",B2*10000/'数据-汇总表'!E3,B2*10000/D3),0)</f>
        <v>1830</v>
      </c>
      <c r="C3" s="396" t="s">
        <v>1108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tr">
        <f>土地案例!A19</f>
        <v>高港区刁铺街道扬子江路东侧、环溪路南侧260米</v>
      </c>
      <c r="F5" s="741"/>
      <c r="G5" s="738" t="str">
        <f>土地案例!A20</f>
        <v>高港区扬子江路西侧、柴墟路北侧</v>
      </c>
      <c r="H5" s="739"/>
      <c r="I5" s="738" t="str">
        <f>土地案例!A21</f>
        <v>高港区刁铺街道扬子江路东侧、环溪路南侧</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t="str">
        <f>土地案例!I19</f>
        <v>2020-09-10</v>
      </c>
      <c r="F7" s="753">
        <f>SUMIF(69:69,YEAR(E7)&amp;"-"&amp;INT((MONTH(E7)+2)/3),70:70)</f>
        <v>100</v>
      </c>
      <c r="G7" s="754" t="str">
        <f>土地案例!I20</f>
        <v>2020-09-10</v>
      </c>
      <c r="H7" s="751">
        <f>SUMIF(69:69,YEAR(G7)&amp;"-"&amp;INT((MONTH(G7)+2)/3),70:70)</f>
        <v>100</v>
      </c>
      <c r="I7" s="754" t="str">
        <f>土地案例!I21</f>
        <v>2020-09-10</v>
      </c>
      <c r="J7" s="751">
        <f>SUMIF(69:69,YEAR(I7)&amp;"-"&amp;INT((MONTH(I7)+2)/3),70:70)</f>
        <v>100</v>
      </c>
      <c r="K7" s="901"/>
      <c r="L7" s="902"/>
      <c r="M7" s="903"/>
      <c r="N7" s="903"/>
      <c r="O7" s="903"/>
      <c r="P7" s="904" t="s">
        <v>1390</v>
      </c>
      <c r="Q7" s="958"/>
      <c r="R7" s="959" t="s">
        <v>1391</v>
      </c>
      <c r="S7" s="960">
        <f t="shared" ref="S7:S15" si="0">F7</f>
        <v>100</v>
      </c>
      <c r="T7" s="959" t="s">
        <v>1391</v>
      </c>
      <c r="U7" s="960">
        <f t="shared" ref="U7:U15" si="1">H7</f>
        <v>100</v>
      </c>
      <c r="V7" s="959" t="s">
        <v>1391</v>
      </c>
      <c r="W7" s="960">
        <f t="shared" ref="W7:W15" si="2">J7</f>
        <v>100</v>
      </c>
      <c r="X7" s="961"/>
      <c r="Y7" s="904" t="s">
        <v>1390</v>
      </c>
      <c r="Z7" s="962"/>
      <c r="AA7" s="978">
        <f>D7/F7</f>
        <v>1</v>
      </c>
      <c r="AB7" s="978">
        <f>D7/H7</f>
        <v>1</v>
      </c>
      <c r="AC7" s="978">
        <f>D7/J7</f>
        <v>1</v>
      </c>
    </row>
    <row r="8" s="711" customFormat="1" ht="14.75" spans="1:29">
      <c r="A8" s="748" t="s">
        <v>1392</v>
      </c>
      <c r="B8" s="749"/>
      <c r="C8" s="755" t="s">
        <v>1393</v>
      </c>
      <c r="D8" s="751">
        <v>100</v>
      </c>
      <c r="E8" s="755" t="s">
        <v>1394</v>
      </c>
      <c r="F8" s="753">
        <f>SUMIF(72:72,E8,73:73)-SUMIF(72:72,C8,73:73)+100</f>
        <v>100</v>
      </c>
      <c r="G8" s="755" t="s">
        <v>1394</v>
      </c>
      <c r="H8" s="751">
        <f>SUMIF(72:72,G8,73:73)-SUMIF(72:72,C8,73:73)+100</f>
        <v>100</v>
      </c>
      <c r="I8" s="755" t="s">
        <v>1394</v>
      </c>
      <c r="J8" s="751">
        <f>SUMIF(72:72,I8,73:73)-SUMIF(72:72,C8,73:73)+100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45" si="3">D8/F8</f>
        <v>1</v>
      </c>
      <c r="AB8" s="978">
        <f t="shared" ref="AB8:AB45" si="4">D8/H8</f>
        <v>1</v>
      </c>
      <c r="AC8" s="978">
        <f t="shared" ref="AC8:AC45" si="5">D8/J8</f>
        <v>1</v>
      </c>
    </row>
    <row r="9" s="711" customFormat="1" spans="1:29">
      <c r="A9" s="756" t="s">
        <v>1396</v>
      </c>
      <c r="B9" s="757" t="s">
        <v>1397</v>
      </c>
      <c r="C9" s="758" t="s">
        <v>549</v>
      </c>
      <c r="D9" s="759">
        <v>100</v>
      </c>
      <c r="E9" s="758" t="s">
        <v>549</v>
      </c>
      <c r="F9" s="759">
        <f>SUMIF(74:74,E9,75:75)-SUMIF(74:74,C9,75:75)+100</f>
        <v>100</v>
      </c>
      <c r="G9" s="758" t="s">
        <v>549</v>
      </c>
      <c r="H9" s="759">
        <f>SUMIF(74:74,G9,75:75)-SUMIF(74:74,C9,75:75)+100</f>
        <v>100</v>
      </c>
      <c r="I9" s="758" t="s">
        <v>549</v>
      </c>
      <c r="J9" s="759">
        <f>SUMIF(74:74,I9,75:75)-SUMIF(74:74,C9,75:75)+100</f>
        <v>100</v>
      </c>
      <c r="K9" s="901"/>
      <c r="L9" s="902"/>
      <c r="M9" s="903"/>
      <c r="N9" s="903"/>
      <c r="O9" s="905"/>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762"/>
      <c r="D10" s="763">
        <v>100</v>
      </c>
      <c r="E10" s="1371"/>
      <c r="F10" s="763">
        <f>ROUND(100/'数据-取费表'!G16,0)</f>
        <v>119</v>
      </c>
      <c r="G10" s="1372"/>
      <c r="H10" s="763">
        <f>ROUND(100/'数据-取费表'!G16,0)</f>
        <v>119</v>
      </c>
      <c r="I10" s="1372"/>
      <c r="J10" s="763">
        <f>ROUND(100/'数据-取费表'!G16,0)</f>
        <v>119</v>
      </c>
      <c r="K10" s="906"/>
      <c r="L10" s="907"/>
      <c r="M10" s="908"/>
      <c r="N10" s="908"/>
      <c r="O10" s="909"/>
      <c r="P10" s="863"/>
      <c r="Q10" s="963" t="str">
        <f t="shared" si="6"/>
        <v>土地使用年限（年）</v>
      </c>
      <c r="R10" s="959" t="s">
        <v>1391</v>
      </c>
      <c r="S10" s="960">
        <f t="shared" si="0"/>
        <v>119</v>
      </c>
      <c r="T10" s="959" t="s">
        <v>1391</v>
      </c>
      <c r="U10" s="960">
        <f t="shared" si="1"/>
        <v>119</v>
      </c>
      <c r="V10" s="959" t="s">
        <v>1391</v>
      </c>
      <c r="W10" s="960">
        <f t="shared" si="2"/>
        <v>119</v>
      </c>
      <c r="X10" s="961"/>
      <c r="Y10" s="963"/>
      <c r="Z10" s="979" t="str">
        <f t="shared" si="7"/>
        <v>土地使用年限（年）</v>
      </c>
      <c r="AA10" s="978">
        <f t="shared" si="3"/>
        <v>0.840336134453782</v>
      </c>
      <c r="AB10" s="978">
        <f t="shared" si="4"/>
        <v>0.840336134453782</v>
      </c>
      <c r="AC10" s="978">
        <f t="shared" si="5"/>
        <v>0.840336134453782</v>
      </c>
    </row>
    <row r="11" ht="15.5" spans="1:29">
      <c r="A11" s="764"/>
      <c r="B11" s="761" t="s">
        <v>1401</v>
      </c>
      <c r="C11" s="765">
        <f>ROUND(269902/56008,2)</f>
        <v>4.82</v>
      </c>
      <c r="D11" s="763">
        <v>100</v>
      </c>
      <c r="E11" s="765">
        <v>2</v>
      </c>
      <c r="F11" s="763">
        <f>LOOKUP(E11,79:79,80:80)-LOOKUP(C11,79:79,80:80)+100</f>
        <v>110</v>
      </c>
      <c r="G11" s="766">
        <v>2.2</v>
      </c>
      <c r="H11" s="763">
        <f>LOOKUP(G11,79:79,80:80)-LOOKUP(C11,79:79,80:80)+100</f>
        <v>110</v>
      </c>
      <c r="I11" s="765">
        <v>2</v>
      </c>
      <c r="J11" s="763">
        <f>LOOKUP(I11,79:79,80:80)-LOOKUP(C11,79:79,80:80)+100</f>
        <v>110</v>
      </c>
      <c r="K11" s="910">
        <v>5</v>
      </c>
      <c r="L11" s="911"/>
      <c r="M11" s="897"/>
      <c r="N11" s="897"/>
      <c r="O11" s="912"/>
      <c r="P11" s="863"/>
      <c r="Q11" s="963" t="str">
        <f t="shared" si="6"/>
        <v>容积率</v>
      </c>
      <c r="R11" s="959" t="s">
        <v>1391</v>
      </c>
      <c r="S11" s="960">
        <f t="shared" si="0"/>
        <v>110</v>
      </c>
      <c r="T11" s="959" t="s">
        <v>1391</v>
      </c>
      <c r="U11" s="960">
        <f t="shared" si="1"/>
        <v>110</v>
      </c>
      <c r="V11" s="959" t="s">
        <v>1391</v>
      </c>
      <c r="W11" s="960">
        <f t="shared" si="2"/>
        <v>110</v>
      </c>
      <c r="X11" s="961"/>
      <c r="Y11" s="963"/>
      <c r="Z11" s="979" t="str">
        <f t="shared" si="7"/>
        <v>容积率</v>
      </c>
      <c r="AA11" s="978">
        <f t="shared" si="3"/>
        <v>0.909090909090909</v>
      </c>
      <c r="AB11" s="978">
        <f t="shared" si="4"/>
        <v>0.909090909090909</v>
      </c>
      <c r="AC11" s="978">
        <f t="shared" si="5"/>
        <v>0.909090909090909</v>
      </c>
    </row>
    <row r="12" s="711" customFormat="1" ht="15.5" spans="1:29">
      <c r="A12" s="767"/>
      <c r="B12" s="1983" t="s">
        <v>1402</v>
      </c>
      <c r="C12" s="762"/>
      <c r="D12" s="769">
        <v>100</v>
      </c>
      <c r="E12" s="762">
        <f>土地案例!P19</f>
        <v>31.48</v>
      </c>
      <c r="F12" s="763">
        <f>SUMIF(81:81,E12,82:82)-SUMIF(81:81,C12,82:82)+100</f>
        <v>100</v>
      </c>
      <c r="G12" s="1306">
        <f>土地案例!P20</f>
        <v>4.69</v>
      </c>
      <c r="H12" s="763">
        <f>SUMIF(81:81,G12,82:82)-SUMIF(81:81,C12,82:82)+100</f>
        <v>100</v>
      </c>
      <c r="I12" s="762">
        <f>土地案例!P21</f>
        <v>32.95</v>
      </c>
      <c r="J12" s="763">
        <f>SUMIF(81:81,I12,82:82)-SUMIF(81:81,C12,82:82)+100</f>
        <v>100</v>
      </c>
      <c r="K12" s="906"/>
      <c r="L12" s="902"/>
      <c r="M12" s="903"/>
      <c r="N12" s="903"/>
      <c r="O12" s="905"/>
      <c r="P12" s="863"/>
      <c r="Q12" s="963" t="str">
        <f t="shared" si="6"/>
        <v>溢价</v>
      </c>
      <c r="R12" s="959" t="s">
        <v>1391</v>
      </c>
      <c r="S12" s="960">
        <f t="shared" si="0"/>
        <v>100</v>
      </c>
      <c r="T12" s="959" t="s">
        <v>1391</v>
      </c>
      <c r="U12" s="960">
        <f t="shared" si="1"/>
        <v>100</v>
      </c>
      <c r="V12" s="959" t="s">
        <v>1391</v>
      </c>
      <c r="W12" s="960">
        <f t="shared" si="2"/>
        <v>100</v>
      </c>
      <c r="X12" s="961"/>
      <c r="Y12" s="963"/>
      <c r="Z12" s="979" t="str">
        <f t="shared" si="7"/>
        <v>溢价</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98" hidden="1" spans="1:29">
      <c r="A15" s="778" t="s">
        <v>1403</v>
      </c>
      <c r="B15" s="1229" t="s">
        <v>1404</v>
      </c>
      <c r="C15" s="1344"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1405</v>
      </c>
      <c r="Q15" s="863" t="str">
        <f t="shared" si="6"/>
        <v>居住社区成熟度</v>
      </c>
      <c r="R15" s="964" t="s">
        <v>1391</v>
      </c>
      <c r="S15" s="965">
        <f t="shared" si="0"/>
        <v>100</v>
      </c>
      <c r="T15" s="964" t="s">
        <v>1391</v>
      </c>
      <c r="U15" s="965">
        <f t="shared" si="1"/>
        <v>100</v>
      </c>
      <c r="V15" s="964" t="s">
        <v>1391</v>
      </c>
      <c r="W15" s="965">
        <f t="shared" si="2"/>
        <v>100</v>
      </c>
      <c r="X15" s="951"/>
      <c r="Y15" s="915" t="s">
        <v>1405</v>
      </c>
      <c r="Z15" s="937" t="str">
        <f t="shared" si="7"/>
        <v>居住社区成熟度</v>
      </c>
      <c r="AA15" s="980">
        <f t="shared" si="3"/>
        <v>1</v>
      </c>
      <c r="AB15" s="980">
        <f t="shared" si="4"/>
        <v>1</v>
      </c>
      <c r="AC15" s="980">
        <f t="shared" si="5"/>
        <v>1</v>
      </c>
    </row>
    <row r="16" ht="15.5" hidden="1" spans="1:29">
      <c r="A16" s="764"/>
      <c r="B16" s="1230"/>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hidden="1" spans="1:29">
      <c r="A17" s="764"/>
      <c r="B17" s="1231" t="s">
        <v>1406</v>
      </c>
      <c r="C17" s="1345"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v>0</v>
      </c>
      <c r="L17" s="913"/>
      <c r="M17" s="897"/>
      <c r="N17" s="897"/>
      <c r="O17" s="912"/>
      <c r="P17" s="916"/>
      <c r="Q17" s="863" t="str">
        <f>B17</f>
        <v>商业繁华度</v>
      </c>
      <c r="R17" s="964" t="s">
        <v>1391</v>
      </c>
      <c r="S17" s="965">
        <f>F17</f>
        <v>100</v>
      </c>
      <c r="T17" s="964" t="s">
        <v>1391</v>
      </c>
      <c r="U17" s="965">
        <f>H17</f>
        <v>100</v>
      </c>
      <c r="V17" s="964" t="s">
        <v>1391</v>
      </c>
      <c r="W17" s="965">
        <f>J17</f>
        <v>100</v>
      </c>
      <c r="X17" s="951"/>
      <c r="Y17" s="916"/>
      <c r="Z17" s="937" t="str">
        <f>Q17</f>
        <v>商业繁华度</v>
      </c>
      <c r="AA17" s="980">
        <f t="shared" si="3"/>
        <v>1</v>
      </c>
      <c r="AB17" s="980">
        <f t="shared" si="4"/>
        <v>1</v>
      </c>
      <c r="AC17" s="980">
        <f t="shared" si="5"/>
        <v>1</v>
      </c>
    </row>
    <row r="18" ht="15.5" hidden="1" spans="1:29">
      <c r="A18" s="764"/>
      <c r="B18" s="812"/>
      <c r="C18" s="1140" t="s">
        <v>1296</v>
      </c>
      <c r="D18" s="787"/>
      <c r="E18" s="1259" t="s">
        <v>1295</v>
      </c>
      <c r="F18" s="787"/>
      <c r="G18" s="1259" t="s">
        <v>1295</v>
      </c>
      <c r="H18" s="785"/>
      <c r="I18" s="1259" t="s">
        <v>1295</v>
      </c>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231" t="s">
        <v>1407</v>
      </c>
      <c r="C19" s="1345" t="str">
        <f>估价对象房地状况!C17</f>
        <v>估价对象位于XX商圈，周边办公楼项目较多，入驻率高，办公集聚程度较好</v>
      </c>
      <c r="D19" s="791">
        <v>100</v>
      </c>
      <c r="E19" s="1137"/>
      <c r="F19" s="791">
        <f>SUMIF(91:91,E20,92:92)-SUMIF(91:91,C20,92:92)+100</f>
        <v>100</v>
      </c>
      <c r="G19" s="1137"/>
      <c r="H19" s="787">
        <f>SUMIF(91:91,G20,92:92)-SUMIF(91:91,C20,92:92)+100</f>
        <v>100</v>
      </c>
      <c r="I19" s="1139"/>
      <c r="J19" s="787">
        <f>SUMIF(91:91,I20,92:92)-SUMIF(91:91,C20,92:92)+100</f>
        <v>100</v>
      </c>
      <c r="K19" s="910">
        <v>2</v>
      </c>
      <c r="L19" s="913"/>
      <c r="M19" s="897"/>
      <c r="N19" s="897"/>
      <c r="O19" s="912"/>
      <c r="P19" s="916"/>
      <c r="Q19" s="863" t="str">
        <f>B19</f>
        <v>办公集聚程度</v>
      </c>
      <c r="R19" s="964" t="s">
        <v>1391</v>
      </c>
      <c r="S19" s="965">
        <f>F19</f>
        <v>100</v>
      </c>
      <c r="T19" s="964" t="s">
        <v>1391</v>
      </c>
      <c r="U19" s="965">
        <f>H19</f>
        <v>100</v>
      </c>
      <c r="V19" s="964" t="s">
        <v>1391</v>
      </c>
      <c r="W19" s="965">
        <f>J19</f>
        <v>100</v>
      </c>
      <c r="X19" s="951"/>
      <c r="Y19" s="916"/>
      <c r="Z19" s="937" t="str">
        <f>Q19</f>
        <v>办公集聚程度</v>
      </c>
      <c r="AA19" s="980">
        <f t="shared" si="3"/>
        <v>1</v>
      </c>
      <c r="AB19" s="980">
        <f t="shared" si="4"/>
        <v>1</v>
      </c>
      <c r="AC19" s="980">
        <f t="shared" si="5"/>
        <v>1</v>
      </c>
    </row>
    <row r="20" ht="15.5" spans="1:29">
      <c r="A20" s="764"/>
      <c r="B20" s="812"/>
      <c r="C20" s="784" t="s">
        <v>1296</v>
      </c>
      <c r="D20" s="785"/>
      <c r="E20" s="793" t="s">
        <v>1296</v>
      </c>
      <c r="F20" s="785"/>
      <c r="G20" s="793" t="s">
        <v>1296</v>
      </c>
      <c r="H20" s="785"/>
      <c r="I20" s="793" t="s">
        <v>1296</v>
      </c>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231" t="s">
        <v>1408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v>2</v>
      </c>
      <c r="L21" s="913"/>
      <c r="M21" s="897"/>
      <c r="N21" s="897"/>
      <c r="O21" s="912"/>
      <c r="P21" s="916"/>
      <c r="Q21" s="863" t="str">
        <f>B21</f>
        <v>交通便捷度</v>
      </c>
      <c r="R21" s="964" t="s">
        <v>1391</v>
      </c>
      <c r="S21" s="965">
        <f>F21</f>
        <v>100</v>
      </c>
      <c r="T21" s="964" t="s">
        <v>1391</v>
      </c>
      <c r="U21" s="965">
        <f>H21</f>
        <v>100</v>
      </c>
      <c r="V21" s="964" t="s">
        <v>1391</v>
      </c>
      <c r="W21" s="965">
        <f>J21</f>
        <v>100</v>
      </c>
      <c r="X21" s="951"/>
      <c r="Y21" s="916"/>
      <c r="Z21" s="937" t="str">
        <f>Q21</f>
        <v>交通便捷度</v>
      </c>
      <c r="AA21" s="980">
        <f t="shared" si="3"/>
        <v>1</v>
      </c>
      <c r="AB21" s="980">
        <f t="shared" si="4"/>
        <v>1</v>
      </c>
      <c r="AC21" s="980">
        <f t="shared" si="5"/>
        <v>1</v>
      </c>
    </row>
    <row r="22" ht="15.5" spans="1:29">
      <c r="A22" s="764"/>
      <c r="B22" s="1232"/>
      <c r="C22" s="784" t="s">
        <v>1296</v>
      </c>
      <c r="D22" s="787"/>
      <c r="E22" s="784" t="s">
        <v>1296</v>
      </c>
      <c r="F22" s="785"/>
      <c r="G22" s="784" t="s">
        <v>1296</v>
      </c>
      <c r="H22" s="785"/>
      <c r="I22" s="784" t="s">
        <v>1296</v>
      </c>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231" t="s">
        <v>1409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1391</v>
      </c>
      <c r="S23" s="965">
        <f>F23</f>
        <v>100</v>
      </c>
      <c r="T23" s="964" t="s">
        <v>1391</v>
      </c>
      <c r="U23" s="965">
        <f>H23</f>
        <v>100</v>
      </c>
      <c r="V23" s="964" t="s">
        <v>1391</v>
      </c>
      <c r="W23" s="965">
        <f>J23</f>
        <v>100</v>
      </c>
      <c r="X23" s="951"/>
      <c r="Y23" s="916"/>
      <c r="Z23" s="937" t="str">
        <f>Q23</f>
        <v>区域土地利用方向</v>
      </c>
      <c r="AA23" s="980">
        <f t="shared" si="3"/>
        <v>1</v>
      </c>
      <c r="AB23" s="980">
        <f t="shared" si="4"/>
        <v>1</v>
      </c>
      <c r="AC23" s="980">
        <f t="shared" si="5"/>
        <v>1</v>
      </c>
    </row>
    <row r="24" ht="15.5" spans="1:29">
      <c r="A24" s="736"/>
      <c r="B24" s="812"/>
      <c r="C24" s="798" t="s">
        <v>1296</v>
      </c>
      <c r="D24" s="785"/>
      <c r="E24" s="798" t="s">
        <v>1296</v>
      </c>
      <c r="F24" s="785"/>
      <c r="G24" s="784" t="s">
        <v>1296</v>
      </c>
      <c r="H24" s="785"/>
      <c r="I24" s="784" t="s">
        <v>1296</v>
      </c>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232" t="s">
        <v>1410</v>
      </c>
      <c r="C25" s="1345"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1391</v>
      </c>
      <c r="S25" s="965">
        <f>F25</f>
        <v>100</v>
      </c>
      <c r="T25" s="964" t="s">
        <v>1391</v>
      </c>
      <c r="U25" s="965">
        <f>H25</f>
        <v>100</v>
      </c>
      <c r="V25" s="964" t="s">
        <v>1391</v>
      </c>
      <c r="W25" s="965">
        <f>J25</f>
        <v>100</v>
      </c>
      <c r="X25" s="951"/>
      <c r="Y25" s="916"/>
      <c r="Z25" s="937" t="str">
        <f>Q25</f>
        <v>自然及人文环境状况</v>
      </c>
      <c r="AA25" s="980">
        <f t="shared" si="3"/>
        <v>1</v>
      </c>
      <c r="AB25" s="980">
        <f t="shared" si="4"/>
        <v>1</v>
      </c>
      <c r="AC25" s="980">
        <f t="shared" si="5"/>
        <v>1</v>
      </c>
    </row>
    <row r="26" ht="15.5" spans="1:29">
      <c r="A26" s="736"/>
      <c r="B26" s="812"/>
      <c r="C26" s="798" t="s">
        <v>1296</v>
      </c>
      <c r="D26" s="785"/>
      <c r="E26" s="798" t="s">
        <v>1296</v>
      </c>
      <c r="F26" s="785"/>
      <c r="G26" s="798" t="s">
        <v>1296</v>
      </c>
      <c r="H26" s="785"/>
      <c r="I26" s="798" t="s">
        <v>1296</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232" t="s">
        <v>1411</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v>2</v>
      </c>
      <c r="L27" s="902"/>
      <c r="M27" s="903"/>
      <c r="N27" s="903"/>
      <c r="O27" s="905"/>
      <c r="P27" s="916"/>
      <c r="Q27" s="963" t="str">
        <f t="shared" si="8"/>
        <v>公共配套设施</v>
      </c>
      <c r="R27" s="959" t="s">
        <v>1391</v>
      </c>
      <c r="S27" s="960">
        <f>F27</f>
        <v>100</v>
      </c>
      <c r="T27" s="959" t="s">
        <v>1391</v>
      </c>
      <c r="U27" s="960">
        <f>H27</f>
        <v>100</v>
      </c>
      <c r="V27" s="959" t="s">
        <v>1391</v>
      </c>
      <c r="W27" s="960">
        <f>J27</f>
        <v>100</v>
      </c>
      <c r="X27" s="961"/>
      <c r="Y27" s="916"/>
      <c r="Z27" s="979" t="str">
        <f>Q27</f>
        <v>公共配套设施</v>
      </c>
      <c r="AA27" s="980">
        <f>D27/F27</f>
        <v>1</v>
      </c>
      <c r="AB27" s="980">
        <f>D27/H27</f>
        <v>1</v>
      </c>
      <c r="AC27" s="980">
        <f>D27/J27</f>
        <v>1</v>
      </c>
    </row>
    <row r="28" s="711" customFormat="1" ht="15.5" spans="1:29">
      <c r="A28" s="794"/>
      <c r="B28" s="812"/>
      <c r="C28" s="796" t="s">
        <v>1296</v>
      </c>
      <c r="D28" s="785"/>
      <c r="E28" s="784" t="s">
        <v>1296</v>
      </c>
      <c r="F28" s="785"/>
      <c r="G28" s="784" t="s">
        <v>1296</v>
      </c>
      <c r="H28" s="785"/>
      <c r="I28" s="784" t="s">
        <v>1296</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232" t="s">
        <v>1412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2</v>
      </c>
      <c r="L29" s="902"/>
      <c r="M29" s="903"/>
      <c r="N29" s="903"/>
      <c r="O29" s="905"/>
      <c r="P29" s="916"/>
      <c r="Q29" s="963" t="str">
        <f t="shared" ref="Q29" si="9">B29</f>
        <v>基础设施水平</v>
      </c>
      <c r="R29" s="959" t="s">
        <v>1391</v>
      </c>
      <c r="S29" s="960">
        <f>F29</f>
        <v>100</v>
      </c>
      <c r="T29" s="959" t="s">
        <v>1391</v>
      </c>
      <c r="U29" s="960">
        <f>H29</f>
        <v>100</v>
      </c>
      <c r="V29" s="959" t="s">
        <v>1391</v>
      </c>
      <c r="W29" s="960">
        <f>J29</f>
        <v>100</v>
      </c>
      <c r="X29" s="961"/>
      <c r="Y29" s="916"/>
      <c r="Z29" s="979" t="str">
        <f>Q29</f>
        <v>基础设施水平</v>
      </c>
      <c r="AA29" s="980">
        <f>D29/F29</f>
        <v>1</v>
      </c>
      <c r="AB29" s="980">
        <f>D29/H29</f>
        <v>1</v>
      </c>
      <c r="AC29" s="980">
        <f>D29/J29</f>
        <v>1</v>
      </c>
    </row>
    <row r="30" s="711" customFormat="1" ht="16.2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hidden="1" spans="1:29">
      <c r="A31" s="764"/>
      <c r="B31" s="812" t="s">
        <v>1413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1391</v>
      </c>
      <c r="S31" s="965">
        <f t="shared" ref="S31:S45" si="10">F31</f>
        <v>100</v>
      </c>
      <c r="T31" s="964" t="s">
        <v>1391</v>
      </c>
      <c r="U31" s="965">
        <f t="shared" ref="U31:U45" si="11">H31</f>
        <v>100</v>
      </c>
      <c r="V31" s="964" t="s">
        <v>1391</v>
      </c>
      <c r="W31" s="965">
        <f t="shared" ref="W31:W45" si="12">J31</f>
        <v>100</v>
      </c>
      <c r="X31" s="951"/>
      <c r="Y31" s="916"/>
      <c r="Z31" s="937" t="str">
        <f t="shared" ref="Z31:Z45" si="13">Q31</f>
        <v>临街状况</v>
      </c>
      <c r="AA31" s="980">
        <f t="shared" si="3"/>
        <v>1</v>
      </c>
      <c r="AB31" s="980">
        <f t="shared" si="4"/>
        <v>1</v>
      </c>
      <c r="AC31" s="980">
        <f t="shared" si="5"/>
        <v>1</v>
      </c>
    </row>
    <row r="32" ht="28" hidden="1" spans="1:29">
      <c r="A32" s="764"/>
      <c r="B32" s="1232" t="s">
        <v>1414</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1391</v>
      </c>
      <c r="S32" s="965">
        <f t="shared" si="10"/>
        <v>100</v>
      </c>
      <c r="T32" s="964" t="s">
        <v>1391</v>
      </c>
      <c r="U32" s="965">
        <f t="shared" si="11"/>
        <v>100</v>
      </c>
      <c r="V32" s="964" t="s">
        <v>1391</v>
      </c>
      <c r="W32" s="965">
        <f t="shared" si="12"/>
        <v>100</v>
      </c>
      <c r="X32" s="951"/>
      <c r="Y32" s="916"/>
      <c r="Z32" s="937" t="str">
        <f t="shared" si="13"/>
        <v>毗邻道路的类型与等级</v>
      </c>
      <c r="AA32" s="980">
        <f t="shared" si="3"/>
        <v>1</v>
      </c>
      <c r="AB32" s="980">
        <f t="shared" si="4"/>
        <v>1</v>
      </c>
      <c r="AC32" s="980">
        <f t="shared" si="5"/>
        <v>1</v>
      </c>
    </row>
    <row r="33" ht="15.5" hidden="1"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hidden="1" spans="1:29">
      <c r="A34" s="764"/>
      <c r="B34" s="761" t="s">
        <v>1415</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1391</v>
      </c>
      <c r="S34" s="965">
        <f t="shared" si="10"/>
        <v>100</v>
      </c>
      <c r="T34" s="964" t="s">
        <v>1391</v>
      </c>
      <c r="U34" s="965">
        <f t="shared" si="11"/>
        <v>100</v>
      </c>
      <c r="V34" s="964" t="s">
        <v>1391</v>
      </c>
      <c r="W34" s="965">
        <f t="shared" si="12"/>
        <v>100</v>
      </c>
      <c r="X34" s="951"/>
      <c r="Y34" s="916"/>
      <c r="Z34" s="937" t="str">
        <f t="shared" si="13"/>
        <v>土地级别</v>
      </c>
      <c r="AA34" s="980">
        <f t="shared" si="3"/>
        <v>1</v>
      </c>
      <c r="AB34" s="980">
        <f t="shared" si="4"/>
        <v>1</v>
      </c>
      <c r="AC34" s="980">
        <f t="shared" si="5"/>
        <v>1</v>
      </c>
    </row>
    <row r="35" ht="15.5" hidden="1" spans="1:29">
      <c r="A35" s="736"/>
      <c r="B35" s="1261">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1391</v>
      </c>
      <c r="S35" s="965">
        <f t="shared" si="10"/>
        <v>100</v>
      </c>
      <c r="T35" s="964" t="s">
        <v>1391</v>
      </c>
      <c r="U35" s="965">
        <f t="shared" si="11"/>
        <v>100</v>
      </c>
      <c r="V35" s="964" t="s">
        <v>1391</v>
      </c>
      <c r="W35" s="965">
        <f t="shared" si="12"/>
        <v>100</v>
      </c>
      <c r="X35" s="951"/>
      <c r="Y35" s="916"/>
      <c r="Z35" s="937">
        <f t="shared" si="13"/>
        <v>111</v>
      </c>
      <c r="AA35" s="980">
        <f t="shared" si="3"/>
        <v>1</v>
      </c>
      <c r="AB35" s="980">
        <f t="shared" si="4"/>
        <v>1</v>
      </c>
      <c r="AC35" s="980">
        <f t="shared" si="5"/>
        <v>1</v>
      </c>
    </row>
    <row r="36" ht="15.5" hidden="1"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1416</v>
      </c>
      <c r="Q36" s="863">
        <f t="shared" si="8"/>
        <v>111</v>
      </c>
      <c r="R36" s="964" t="s">
        <v>1391</v>
      </c>
      <c r="S36" s="965">
        <f t="shared" si="10"/>
        <v>100</v>
      </c>
      <c r="T36" s="964" t="s">
        <v>1391</v>
      </c>
      <c r="U36" s="965">
        <f t="shared" si="11"/>
        <v>100</v>
      </c>
      <c r="V36" s="964" t="s">
        <v>1391</v>
      </c>
      <c r="W36" s="965">
        <f t="shared" si="12"/>
        <v>100</v>
      </c>
      <c r="X36" s="951"/>
      <c r="Y36" s="925" t="s">
        <v>1416</v>
      </c>
      <c r="Z36" s="937">
        <f t="shared" si="13"/>
        <v>111</v>
      </c>
      <c r="AA36" s="980">
        <f t="shared" si="3"/>
        <v>1</v>
      </c>
      <c r="AB36" s="980">
        <f t="shared" si="4"/>
        <v>1</v>
      </c>
      <c r="AC36" s="980">
        <f t="shared" si="5"/>
        <v>1</v>
      </c>
    </row>
    <row r="37" s="713" customFormat="1" ht="16.25" hidden="1" spans="1:29">
      <c r="A37" s="807"/>
      <c r="B37" s="1984">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1391</v>
      </c>
      <c r="S37" s="967">
        <f t="shared" si="10"/>
        <v>100</v>
      </c>
      <c r="T37" s="966" t="s">
        <v>1391</v>
      </c>
      <c r="U37" s="967">
        <f t="shared" si="11"/>
        <v>100</v>
      </c>
      <c r="V37" s="966" t="s">
        <v>1391</v>
      </c>
      <c r="W37" s="967">
        <f t="shared" si="12"/>
        <v>100</v>
      </c>
      <c r="X37" s="968"/>
      <c r="Y37" s="925"/>
      <c r="Z37" s="981">
        <f t="shared" si="13"/>
        <v>111</v>
      </c>
      <c r="AA37" s="980">
        <f t="shared" si="3"/>
        <v>1</v>
      </c>
      <c r="AB37" s="980">
        <f t="shared" si="4"/>
        <v>1</v>
      </c>
      <c r="AC37" s="980">
        <f t="shared" si="5"/>
        <v>1</v>
      </c>
    </row>
    <row r="38" ht="15.5" spans="1:29">
      <c r="A38" s="815" t="s">
        <v>1417</v>
      </c>
      <c r="B38" s="812" t="s">
        <v>1418</v>
      </c>
      <c r="C38" s="813">
        <v>56008</v>
      </c>
      <c r="D38" s="814">
        <v>100</v>
      </c>
      <c r="E38" s="813">
        <f>土地案例!C19</f>
        <v>6405</v>
      </c>
      <c r="F38" s="814">
        <f>LOOKUP(E38,116:116,117:117)-LOOKUP(C38,116:116,117:117)+100</f>
        <v>95</v>
      </c>
      <c r="G38" s="813">
        <f>土地案例!C20</f>
        <v>5361</v>
      </c>
      <c r="H38" s="814">
        <f>LOOKUP(G38,116:116,117:117)-LOOKUP(C38,116:116,117:117)+100</f>
        <v>95</v>
      </c>
      <c r="I38" s="926">
        <f>土地案例!C21</f>
        <v>10599</v>
      </c>
      <c r="J38" s="814">
        <f>LOOKUP(I38,116:116,117:117)-LOOKUP(C38,116:116,117:117)+100</f>
        <v>96</v>
      </c>
      <c r="K38" s="920"/>
      <c r="L38" s="913"/>
      <c r="M38" s="897"/>
      <c r="N38" s="897"/>
      <c r="O38" s="912"/>
      <c r="P38" s="925"/>
      <c r="Q38" s="863" t="str">
        <f t="shared" si="8"/>
        <v>宗地面积</v>
      </c>
      <c r="R38" s="964" t="s">
        <v>1391</v>
      </c>
      <c r="S38" s="965">
        <f t="shared" si="10"/>
        <v>95</v>
      </c>
      <c r="T38" s="964" t="s">
        <v>1391</v>
      </c>
      <c r="U38" s="965">
        <f t="shared" si="11"/>
        <v>95</v>
      </c>
      <c r="V38" s="964" t="s">
        <v>1391</v>
      </c>
      <c r="W38" s="965">
        <f t="shared" si="12"/>
        <v>96</v>
      </c>
      <c r="X38" s="951"/>
      <c r="Y38" s="925"/>
      <c r="Z38" s="937" t="str">
        <f t="shared" si="13"/>
        <v>宗地面积</v>
      </c>
      <c r="AA38" s="980">
        <f t="shared" si="3"/>
        <v>1.05263157894737</v>
      </c>
      <c r="AB38" s="980">
        <f t="shared" si="4"/>
        <v>1.05263157894737</v>
      </c>
      <c r="AC38" s="980">
        <f t="shared" si="5"/>
        <v>1.04166666666667</v>
      </c>
    </row>
    <row r="39" ht="15.5" spans="1:29">
      <c r="A39" s="815"/>
      <c r="B39" s="761" t="s">
        <v>1419</v>
      </c>
      <c r="C39" s="1985" t="s">
        <v>1420</v>
      </c>
      <c r="D39" s="773">
        <v>100</v>
      </c>
      <c r="E39" s="1985" t="s">
        <v>1421</v>
      </c>
      <c r="F39" s="773">
        <f>SUMIF(118:118,E39,119:119)-SUMIF(118:118,C39,119:119)+100</f>
        <v>101</v>
      </c>
      <c r="G39" s="1985" t="s">
        <v>1420</v>
      </c>
      <c r="H39" s="773">
        <f>SUMIF(118:118,G39,119:119)-SUMIF(118:118,C39,119:119)+100</f>
        <v>100</v>
      </c>
      <c r="I39" s="1985" t="s">
        <v>1421</v>
      </c>
      <c r="J39" s="773">
        <f>SUMIF(118:118,I39,119:119)-SUMIF(118:118,C39,119:119)+100</f>
        <v>101</v>
      </c>
      <c r="K39" s="921">
        <v>1</v>
      </c>
      <c r="L39" s="913"/>
      <c r="M39" s="897"/>
      <c r="N39" s="897"/>
      <c r="O39" s="912"/>
      <c r="P39" s="925"/>
      <c r="Q39" s="863" t="str">
        <f t="shared" ref="Q39:Q45" si="14">B39</f>
        <v>宗地形状</v>
      </c>
      <c r="R39" s="964" t="s">
        <v>1391</v>
      </c>
      <c r="S39" s="965">
        <f t="shared" si="10"/>
        <v>101</v>
      </c>
      <c r="T39" s="964" t="s">
        <v>1391</v>
      </c>
      <c r="U39" s="965">
        <f t="shared" si="11"/>
        <v>100</v>
      </c>
      <c r="V39" s="964" t="s">
        <v>1391</v>
      </c>
      <c r="W39" s="965">
        <f t="shared" si="12"/>
        <v>101</v>
      </c>
      <c r="X39" s="951"/>
      <c r="Y39" s="925"/>
      <c r="Z39" s="937" t="str">
        <f t="shared" si="13"/>
        <v>宗地形状</v>
      </c>
      <c r="AA39" s="980">
        <f t="shared" si="3"/>
        <v>0.99009900990099</v>
      </c>
      <c r="AB39" s="980">
        <f t="shared" si="4"/>
        <v>1</v>
      </c>
      <c r="AC39" s="980">
        <f t="shared" si="5"/>
        <v>0.99009900990099</v>
      </c>
    </row>
    <row r="40" ht="15.5" spans="1:29">
      <c r="A40" s="815"/>
      <c r="B40" s="761" t="s">
        <v>1422</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1391</v>
      </c>
      <c r="S40" s="965">
        <f t="shared" si="10"/>
        <v>100</v>
      </c>
      <c r="T40" s="964" t="s">
        <v>1391</v>
      </c>
      <c r="U40" s="965">
        <f t="shared" si="11"/>
        <v>100</v>
      </c>
      <c r="V40" s="964" t="s">
        <v>1391</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1423</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v>1</v>
      </c>
      <c r="L41" s="902"/>
      <c r="M41" s="903"/>
      <c r="N41" s="903"/>
      <c r="O41" s="905"/>
      <c r="P41" s="925"/>
      <c r="Q41" s="863" t="str">
        <f t="shared" si="14"/>
        <v>宗地开发程度</v>
      </c>
      <c r="R41" s="959" t="s">
        <v>1391</v>
      </c>
      <c r="S41" s="960">
        <f t="shared" si="10"/>
        <v>100</v>
      </c>
      <c r="T41" s="959" t="s">
        <v>1391</v>
      </c>
      <c r="U41" s="960">
        <f t="shared" si="11"/>
        <v>100</v>
      </c>
      <c r="V41" s="959" t="s">
        <v>1391</v>
      </c>
      <c r="W41" s="960">
        <f t="shared" si="12"/>
        <v>100</v>
      </c>
      <c r="X41" s="961"/>
      <c r="Y41" s="925"/>
      <c r="Z41" s="979" t="str">
        <f t="shared" si="13"/>
        <v>宗地开发程度</v>
      </c>
      <c r="AA41" s="978">
        <f t="shared" si="3"/>
        <v>1</v>
      </c>
      <c r="AB41" s="978">
        <f t="shared" si="4"/>
        <v>1</v>
      </c>
      <c r="AC41" s="978">
        <f t="shared" si="5"/>
        <v>1</v>
      </c>
    </row>
    <row r="42" ht="15.5" spans="1:29">
      <c r="A42" s="815"/>
      <c r="B42" s="761" t="s">
        <v>1424</v>
      </c>
      <c r="C42" s="1985" t="s">
        <v>1296</v>
      </c>
      <c r="D42" s="773">
        <v>100</v>
      </c>
      <c r="E42" s="1985" t="s">
        <v>1296</v>
      </c>
      <c r="F42" s="773">
        <f>SUMIF(124:124,E42,125:125)-SUMIF(124:124,C42,125:125)+100</f>
        <v>100</v>
      </c>
      <c r="G42" s="1985" t="s">
        <v>1296</v>
      </c>
      <c r="H42" s="773">
        <f>SUMIF(124:124,G42,125:125)-SUMIF(124:124,C42,125:125)+100</f>
        <v>100</v>
      </c>
      <c r="I42" s="1985" t="s">
        <v>1296</v>
      </c>
      <c r="J42" s="773">
        <f>SUMIF(124:124,I42,125:125)-SUMIF(124:124,C42,125:125)+100</f>
        <v>100</v>
      </c>
      <c r="K42" s="921">
        <v>1</v>
      </c>
      <c r="L42" s="913"/>
      <c r="M42" s="897"/>
      <c r="N42" s="897"/>
      <c r="O42" s="912"/>
      <c r="P42" s="925" t="s">
        <v>1416</v>
      </c>
      <c r="Q42" s="863" t="str">
        <f t="shared" si="14"/>
        <v>工程地质条件</v>
      </c>
      <c r="R42" s="964" t="s">
        <v>1391</v>
      </c>
      <c r="S42" s="965">
        <f t="shared" si="10"/>
        <v>100</v>
      </c>
      <c r="T42" s="964" t="s">
        <v>1391</v>
      </c>
      <c r="U42" s="965">
        <f t="shared" si="11"/>
        <v>100</v>
      </c>
      <c r="V42" s="964" t="s">
        <v>1391</v>
      </c>
      <c r="W42" s="965">
        <f t="shared" si="12"/>
        <v>100</v>
      </c>
      <c r="X42" s="951"/>
      <c r="Y42" s="925" t="s">
        <v>1416</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1391</v>
      </c>
      <c r="S43" s="965">
        <f t="shared" si="10"/>
        <v>100</v>
      </c>
      <c r="T43" s="964" t="s">
        <v>1391</v>
      </c>
      <c r="U43" s="965">
        <f t="shared" si="11"/>
        <v>100</v>
      </c>
      <c r="V43" s="964" t="s">
        <v>1391</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1391</v>
      </c>
      <c r="S44" s="965">
        <f t="shared" si="10"/>
        <v>100</v>
      </c>
      <c r="T44" s="964" t="s">
        <v>1391</v>
      </c>
      <c r="U44" s="965">
        <f t="shared" si="11"/>
        <v>100</v>
      </c>
      <c r="V44" s="964" t="s">
        <v>1391</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986">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1391</v>
      </c>
      <c r="S45" s="967">
        <f t="shared" si="10"/>
        <v>100</v>
      </c>
      <c r="T45" s="966" t="s">
        <v>1391</v>
      </c>
      <c r="U45" s="967">
        <f t="shared" si="11"/>
        <v>100</v>
      </c>
      <c r="V45" s="966" t="s">
        <v>1391</v>
      </c>
      <c r="W45" s="967">
        <f t="shared" si="12"/>
        <v>100</v>
      </c>
      <c r="X45" s="968"/>
      <c r="Y45" s="925"/>
      <c r="Z45" s="981">
        <f t="shared" si="13"/>
        <v>111</v>
      </c>
      <c r="AA45" s="980">
        <f t="shared" si="3"/>
        <v>1</v>
      </c>
      <c r="AB45" s="980">
        <f t="shared" si="4"/>
        <v>1</v>
      </c>
      <c r="AC45" s="980">
        <f t="shared" si="5"/>
        <v>1</v>
      </c>
    </row>
    <row r="46" spans="1:29">
      <c r="A46" s="822" t="s">
        <v>1425</v>
      </c>
      <c r="B46" s="823" t="s">
        <v>1426</v>
      </c>
      <c r="C46" s="824" t="s">
        <v>124</v>
      </c>
      <c r="D46" s="825"/>
      <c r="E46" s="826">
        <f>土地案例!O19</f>
        <v>2771</v>
      </c>
      <c r="F46" s="827"/>
      <c r="G46" s="828">
        <f>土地案例!O20</f>
        <v>2840</v>
      </c>
      <c r="H46" s="829"/>
      <c r="I46" s="826">
        <f>土地案例!O21</f>
        <v>2760</v>
      </c>
      <c r="J46" s="829"/>
      <c r="K46" s="928"/>
      <c r="L46" s="929"/>
      <c r="M46" s="839"/>
      <c r="N46" s="897"/>
      <c r="O46" s="839"/>
      <c r="P46" s="863" t="str">
        <f>A46</f>
        <v>成交单价</v>
      </c>
      <c r="Q46" s="863"/>
      <c r="R46" s="937">
        <f>E46</f>
        <v>2771</v>
      </c>
      <c r="S46" s="937"/>
      <c r="T46" s="937">
        <f>G46</f>
        <v>2840</v>
      </c>
      <c r="U46" s="937"/>
      <c r="V46" s="937">
        <f>I46</f>
        <v>2760</v>
      </c>
      <c r="W46" s="937"/>
      <c r="X46" s="885"/>
      <c r="Y46" s="982"/>
      <c r="Z46" s="885"/>
      <c r="AA46" s="885"/>
      <c r="AB46" s="885"/>
      <c r="AC46" s="885"/>
    </row>
    <row r="47" ht="14.75" spans="1:29">
      <c r="A47" s="830" t="s">
        <v>1427</v>
      </c>
      <c r="B47" s="831"/>
      <c r="C47" s="832">
        <f>R48</f>
        <v>2222</v>
      </c>
      <c r="D47" s="833" t="s">
        <v>1428</v>
      </c>
      <c r="E47" s="832">
        <f>R47</f>
        <v>2206</v>
      </c>
      <c r="F47" s="834"/>
      <c r="G47" s="835">
        <f>T47</f>
        <v>2284</v>
      </c>
      <c r="H47" s="834"/>
      <c r="I47" s="832">
        <f>V47</f>
        <v>2175</v>
      </c>
      <c r="J47" s="834"/>
      <c r="K47" s="930">
        <f>F47+H47+J47</f>
        <v>0</v>
      </c>
      <c r="L47" s="929"/>
      <c r="M47" s="839"/>
      <c r="N47" s="839"/>
      <c r="O47" s="839"/>
      <c r="P47" s="863" t="str">
        <f>A47</f>
        <v>比较价值（元/平方米）</v>
      </c>
      <c r="Q47" s="863"/>
      <c r="R47" s="969">
        <f>ROUND(PRODUCT(R46,AA7:AA45),0)</f>
        <v>2206</v>
      </c>
      <c r="S47" s="969"/>
      <c r="T47" s="969">
        <f>ROUND(PRODUCT(T46,AB7:AB45),0)</f>
        <v>2284</v>
      </c>
      <c r="U47" s="969"/>
      <c r="V47" s="969">
        <f>ROUND(PRODUCT(V46,AC7:AC45),0)</f>
        <v>2175</v>
      </c>
      <c r="W47" s="969"/>
      <c r="X47" s="885"/>
      <c r="Y47" s="885"/>
      <c r="Z47" s="885"/>
      <c r="AA47" s="885"/>
      <c r="AB47" s="885"/>
      <c r="AC47" s="885"/>
    </row>
    <row r="48" ht="14.75" spans="1:29">
      <c r="A48" s="836" t="s">
        <v>1429</v>
      </c>
      <c r="B48" s="837"/>
      <c r="C48" s="838">
        <f>R48</f>
        <v>2222</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2222</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1430</v>
      </c>
      <c r="D51" s="842"/>
      <c r="E51" s="843">
        <f>IF(E46&lt;E47,E47/E46-1,E46/E47-1)</f>
        <v>0.256119673617407</v>
      </c>
      <c r="F51" s="844" t="str">
        <f>IF(OR(E51&gt;=0.3,E51&lt;=-0.3),"超过30%","")</f>
        <v/>
      </c>
      <c r="G51" s="843">
        <f>IF(G46&lt;G47,G47/G46-1,G46/G47-1)</f>
        <v>0.243432574430823</v>
      </c>
      <c r="H51" s="844" t="str">
        <f>IF(OR(G51&gt;=0.3,G51&lt;=-0.3),"超过30%","")</f>
        <v/>
      </c>
      <c r="I51" s="843">
        <f>IF(I46&lt;I47,I47/I46-1,I46/I47-1)</f>
        <v>0.268965517241379</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1431</v>
      </c>
      <c r="D52" s="845"/>
      <c r="E52" s="843">
        <f>IF(E47&lt;G47,G47/E47-1,E47/G47-1)</f>
        <v>0.0353581142339074</v>
      </c>
      <c r="F52" s="844" t="str">
        <f>IF(OR(E52&gt;=0.2,E52&lt;=-0.2),"超过20%","")</f>
        <v/>
      </c>
      <c r="G52" s="843">
        <f>IF(G47&lt;I47,I47/G47-1,G47/I47-1)</f>
        <v>0.0501149425287357</v>
      </c>
      <c r="H52" s="844" t="str">
        <f>IF(OR(G52&gt;=0.2,G52&lt;=-0.2),"超过20%","")</f>
        <v/>
      </c>
      <c r="I52" s="843">
        <f>IF(I47&lt;E47,E47/I47-1,I47/E47-1)</f>
        <v>0.0142528735632184</v>
      </c>
      <c r="J52" s="844" t="str">
        <f>IF(OR(I52&gt;=0.2,I52&lt;=-0.2),"超过20%","")</f>
        <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1432</v>
      </c>
      <c r="D53" s="845"/>
      <c r="E53" s="843">
        <f>IF(E46&lt;G46,G46/E46-1,E46/G46-1)</f>
        <v>0.024900757849152</v>
      </c>
      <c r="F53" s="844" t="str">
        <f>IF(OR(E53&gt;=0.3,E53&lt;=-0.3),"超过30%","")</f>
        <v/>
      </c>
      <c r="G53" s="843">
        <f>IF(G46&lt;I46,I46/G46-1,G46/I46-1)</f>
        <v>0.0289855072463767</v>
      </c>
      <c r="H53" s="844" t="str">
        <f>IF(OR(G53&gt;=0.3,G53&lt;=-0.3),"超过30%","")</f>
        <v/>
      </c>
      <c r="I53" s="843">
        <f>IF(I46&lt;E46,E46/I46-1,I46/E46-1)</f>
        <v>0.00398550724637681</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1433</v>
      </c>
      <c r="B55" s="851" t="s">
        <v>1434</v>
      </c>
      <c r="C55" s="852" t="s">
        <v>1435</v>
      </c>
      <c r="D55" s="853" t="s">
        <v>1436</v>
      </c>
      <c r="E55" s="854" t="s">
        <v>1437</v>
      </c>
      <c r="F55" s="1987" t="s">
        <v>1438</v>
      </c>
      <c r="G55" s="732" t="s">
        <v>1439</v>
      </c>
      <c r="H55" s="856"/>
      <c r="I55" s="1989" t="s">
        <v>1440</v>
      </c>
      <c r="J55" s="1990">
        <f>项目基本情况!F35</f>
        <v>0</v>
      </c>
      <c r="K55" s="938" t="s">
        <v>1441</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1442</v>
      </c>
      <c r="B56" s="858">
        <f>C48</f>
        <v>2222</v>
      </c>
      <c r="C56" s="859">
        <v>1</v>
      </c>
      <c r="D56" s="860">
        <v>1</v>
      </c>
      <c r="E56" s="859">
        <f>'数据-汇总表'!E8+'数据-汇总表'!E9</f>
        <v>56121.31</v>
      </c>
      <c r="F56" s="1988">
        <f t="shared" ref="F56:F64" si="15">ROUND(B56*E56/10000,0)</f>
        <v>12470</v>
      </c>
      <c r="G56" s="862"/>
      <c r="H56" s="863"/>
      <c r="I56" s="1991">
        <v>1</v>
      </c>
      <c r="J56" s="1992">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1443</v>
      </c>
      <c r="B57" s="410">
        <f>ROUND($C$48*C57*D57,0)</f>
        <v>0</v>
      </c>
      <c r="C57" s="865">
        <f t="shared" ref="C57:C64" si="16">IF($C$55="北京市系数",I57,J57)</f>
        <v>0</v>
      </c>
      <c r="D57" s="866">
        <v>0.25</v>
      </c>
      <c r="E57" s="867"/>
      <c r="F57" s="1988">
        <f t="shared" si="15"/>
        <v>0</v>
      </c>
      <c r="G57" s="868" t="s">
        <v>1444</v>
      </c>
      <c r="H57" s="869">
        <f>项目基本情况!B37</f>
        <v>0</v>
      </c>
      <c r="I57" s="1991">
        <f>SUMIF(修正!A57:A68,H57,修正!B57:B68)</f>
        <v>0</v>
      </c>
      <c r="J57" s="1993"/>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1445</v>
      </c>
      <c r="B58" s="410">
        <f t="shared" ref="B58:B64" si="17">ROUND($C$48*C58*D58,0)</f>
        <v>0</v>
      </c>
      <c r="C58" s="865">
        <f t="shared" si="16"/>
        <v>0</v>
      </c>
      <c r="D58" s="866">
        <v>0.25</v>
      </c>
      <c r="E58" s="867"/>
      <c r="F58" s="1988">
        <f t="shared" si="15"/>
        <v>0</v>
      </c>
      <c r="G58" s="870"/>
      <c r="H58" s="869">
        <f>项目基本情况!B37</f>
        <v>0</v>
      </c>
      <c r="I58" s="1991">
        <f>SUMIF(修正!A57:A68,H58,修正!C57:C68)</f>
        <v>0</v>
      </c>
      <c r="J58" s="1993"/>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1446</v>
      </c>
      <c r="B59" s="410">
        <f t="shared" si="17"/>
        <v>0</v>
      </c>
      <c r="C59" s="865">
        <f t="shared" si="16"/>
        <v>0</v>
      </c>
      <c r="D59" s="866">
        <v>0.25</v>
      </c>
      <c r="E59" s="867"/>
      <c r="F59" s="1988">
        <f t="shared" si="15"/>
        <v>0</v>
      </c>
      <c r="G59" s="870"/>
      <c r="H59" s="869">
        <f>项目基本情况!B37</f>
        <v>0</v>
      </c>
      <c r="I59" s="1991">
        <f>SUMIF(修正!A57:A68,H59,修正!D57:D68)</f>
        <v>0</v>
      </c>
      <c r="J59" s="1993"/>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1447</v>
      </c>
      <c r="B60" s="410">
        <f t="shared" si="17"/>
        <v>0</v>
      </c>
      <c r="C60" s="865">
        <f t="shared" si="16"/>
        <v>0</v>
      </c>
      <c r="D60" s="866">
        <v>0.25</v>
      </c>
      <c r="E60" s="409">
        <f>'数据-汇总表'!E11</f>
        <v>0</v>
      </c>
      <c r="F60" s="1988">
        <f t="shared" si="15"/>
        <v>0</v>
      </c>
      <c r="G60" s="872" t="s">
        <v>1448</v>
      </c>
      <c r="H60" s="869">
        <f>项目基本情况!C37</f>
        <v>0</v>
      </c>
      <c r="I60" s="1991">
        <f>SUMIF(修正!A57:A68,H60,修正!E57:E68)</f>
        <v>0</v>
      </c>
      <c r="J60" s="1993"/>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1449</v>
      </c>
      <c r="B61" s="410">
        <f t="shared" si="17"/>
        <v>0</v>
      </c>
      <c r="C61" s="865">
        <f t="shared" si="16"/>
        <v>0</v>
      </c>
      <c r="D61" s="866">
        <v>0.25</v>
      </c>
      <c r="E61" s="409">
        <f>'数据-汇总表'!E12</f>
        <v>0</v>
      </c>
      <c r="F61" s="1988">
        <f t="shared" si="15"/>
        <v>0</v>
      </c>
      <c r="G61" s="873" t="s">
        <v>549</v>
      </c>
      <c r="H61" s="869">
        <f>IF(G61="商业",项目基本情况!B37,IF(G61="办公",项目基本情况!C37,IF(G61="住宅",项目基本情况!D37,项目基本情况!E37)))</f>
        <v>0</v>
      </c>
      <c r="I61" s="1991">
        <f>SUMIF(修正!A57:A68,H61,修正!F57:F68)</f>
        <v>0</v>
      </c>
      <c r="J61" s="1993"/>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1450</v>
      </c>
      <c r="B62" s="410">
        <f t="shared" si="17"/>
        <v>0</v>
      </c>
      <c r="C62" s="865">
        <f t="shared" si="16"/>
        <v>0</v>
      </c>
      <c r="D62" s="866">
        <v>0.25</v>
      </c>
      <c r="E62" s="409">
        <f>'数据-汇总表'!E13</f>
        <v>0</v>
      </c>
      <c r="F62" s="1988">
        <f t="shared" si="15"/>
        <v>0</v>
      </c>
      <c r="G62" s="873" t="s">
        <v>1451</v>
      </c>
      <c r="H62" s="869">
        <f>IF(G62="商业",项目基本情况!B37,IF(G62="办公",项目基本情况!C37,IF(G62="住宅",项目基本情况!D37,项目基本情况!E37)))</f>
        <v>0</v>
      </c>
      <c r="I62" s="1991">
        <f>SUMIF(修正!A57:A68,H62,修正!G57:G68)</f>
        <v>0</v>
      </c>
      <c r="J62" s="1993"/>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1452</v>
      </c>
      <c r="B63" s="410">
        <f t="shared" si="17"/>
        <v>0</v>
      </c>
      <c r="C63" s="865">
        <f t="shared" si="16"/>
        <v>0</v>
      </c>
      <c r="D63" s="866">
        <v>0.25</v>
      </c>
      <c r="E63" s="409">
        <f>'数据-汇总表'!E14</f>
        <v>10241.95</v>
      </c>
      <c r="F63" s="1988">
        <f t="shared" si="15"/>
        <v>0</v>
      </c>
      <c r="G63" s="872" t="s">
        <v>1444</v>
      </c>
      <c r="H63" s="869">
        <f>项目基本情况!B37</f>
        <v>0</v>
      </c>
      <c r="I63" s="1991">
        <f>SUMIF(修正!A57:A68,H63,修正!G57:G68)</f>
        <v>0</v>
      </c>
      <c r="J63" s="1993"/>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1453</v>
      </c>
      <c r="B64" s="410">
        <f t="shared" si="17"/>
        <v>0</v>
      </c>
      <c r="C64" s="865">
        <f t="shared" si="16"/>
        <v>0</v>
      </c>
      <c r="D64" s="866">
        <v>0.25</v>
      </c>
      <c r="E64" s="409">
        <f>'数据-汇总表'!E15</f>
        <v>0</v>
      </c>
      <c r="F64" s="1988">
        <f t="shared" si="15"/>
        <v>0</v>
      </c>
      <c r="G64" s="874" t="s">
        <v>1448</v>
      </c>
      <c r="H64" s="875">
        <f>项目基本情况!C37</f>
        <v>0</v>
      </c>
      <c r="I64" s="1994">
        <f>SUMIF(修正!A57:A68,H64,修正!G57:G68)</f>
        <v>0</v>
      </c>
      <c r="J64" s="1995"/>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1454</v>
      </c>
      <c r="B65" s="877" t="s">
        <v>1455</v>
      </c>
      <c r="C65" s="877" t="s">
        <v>1455</v>
      </c>
      <c r="D65" s="877" t="s">
        <v>1455</v>
      </c>
      <c r="E65" s="877">
        <f>IF(B46="楼面地价",SUM(E56:E64),'数据-汇总表'!D3)</f>
        <v>66363.26</v>
      </c>
      <c r="F65" s="878">
        <f>IF(B46="楼面地价",SUM(F56:F64),ROUND(C48*E65/10000,0))</f>
        <v>12470</v>
      </c>
      <c r="G65" s="1997"/>
      <c r="H65" s="1997"/>
      <c r="I65" s="1997"/>
      <c r="J65" s="1997"/>
      <c r="K65" s="1999"/>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58">
      <c r="A67" s="885"/>
      <c r="B67" s="883"/>
      <c r="C67" s="883" t="str">
        <f>YEAR(C7)&amp;"-"&amp;MONTH(C7)&amp;"-1"</f>
        <v>2024-12-1</v>
      </c>
      <c r="D67" s="883">
        <f>EDATE(C67,-3)</f>
        <v>45536</v>
      </c>
      <c r="E67" s="883">
        <f>EDATE(D67,-3)</f>
        <v>45444</v>
      </c>
      <c r="F67" s="883">
        <f t="shared" ref="F67:P67" si="18">EDATE(E67,-3)</f>
        <v>45352</v>
      </c>
      <c r="G67" s="883">
        <f t="shared" si="18"/>
        <v>45261</v>
      </c>
      <c r="H67" s="883">
        <f t="shared" si="18"/>
        <v>45170</v>
      </c>
      <c r="I67" s="883">
        <f t="shared" si="18"/>
        <v>45078</v>
      </c>
      <c r="J67" s="883">
        <f t="shared" si="18"/>
        <v>44986</v>
      </c>
      <c r="K67" s="883">
        <f t="shared" si="18"/>
        <v>44896</v>
      </c>
      <c r="L67" s="883">
        <f t="shared" si="18"/>
        <v>44805</v>
      </c>
      <c r="M67" s="883">
        <f t="shared" si="18"/>
        <v>44713</v>
      </c>
      <c r="N67" s="883">
        <f t="shared" si="18"/>
        <v>44621</v>
      </c>
      <c r="O67" s="883">
        <f t="shared" si="18"/>
        <v>44531</v>
      </c>
      <c r="P67" s="881">
        <f t="shared" si="18"/>
        <v>44440</v>
      </c>
      <c r="Q67" s="881">
        <f t="shared" ref="Q67:BF67" si="19">EDATE(P67,-3)</f>
        <v>44348</v>
      </c>
      <c r="R67" s="881">
        <f t="shared" si="19"/>
        <v>44256</v>
      </c>
      <c r="S67" s="881">
        <f t="shared" si="19"/>
        <v>44166</v>
      </c>
      <c r="T67" s="881">
        <f t="shared" si="19"/>
        <v>44075</v>
      </c>
      <c r="U67" s="881">
        <f t="shared" si="19"/>
        <v>43983</v>
      </c>
      <c r="V67" s="881">
        <f t="shared" si="19"/>
        <v>43891</v>
      </c>
      <c r="W67" s="881">
        <f t="shared" si="19"/>
        <v>43800</v>
      </c>
      <c r="X67" s="881">
        <f t="shared" si="19"/>
        <v>43709</v>
      </c>
      <c r="Y67" s="881">
        <f t="shared" si="19"/>
        <v>43617</v>
      </c>
      <c r="Z67" s="881">
        <f t="shared" si="19"/>
        <v>43525</v>
      </c>
      <c r="AA67" s="881">
        <f t="shared" si="19"/>
        <v>43435</v>
      </c>
      <c r="AB67" s="881">
        <f t="shared" si="19"/>
        <v>43344</v>
      </c>
      <c r="AC67" s="881">
        <f t="shared" si="19"/>
        <v>43252</v>
      </c>
      <c r="AD67" s="881">
        <f t="shared" si="19"/>
        <v>43160</v>
      </c>
      <c r="AE67" s="881">
        <f t="shared" si="19"/>
        <v>43070</v>
      </c>
      <c r="AF67" s="881">
        <f t="shared" si="19"/>
        <v>42979</v>
      </c>
      <c r="AG67" s="881">
        <f t="shared" si="19"/>
        <v>42887</v>
      </c>
      <c r="AH67" s="881">
        <f t="shared" si="19"/>
        <v>42795</v>
      </c>
      <c r="AI67" s="881">
        <f t="shared" si="19"/>
        <v>42705</v>
      </c>
      <c r="AJ67" s="881">
        <f t="shared" si="19"/>
        <v>42614</v>
      </c>
      <c r="AK67" s="881">
        <f t="shared" si="19"/>
        <v>42522</v>
      </c>
      <c r="AL67" s="881">
        <f t="shared" si="19"/>
        <v>42430</v>
      </c>
      <c r="AM67" s="881">
        <f t="shared" si="19"/>
        <v>42339</v>
      </c>
      <c r="AN67" s="881">
        <f t="shared" si="19"/>
        <v>42248</v>
      </c>
      <c r="AO67" s="881">
        <f t="shared" si="19"/>
        <v>42156</v>
      </c>
      <c r="AP67" s="881">
        <f t="shared" si="19"/>
        <v>42064</v>
      </c>
      <c r="AQ67" s="881">
        <f t="shared" si="19"/>
        <v>41974</v>
      </c>
      <c r="AR67" s="881">
        <f t="shared" si="19"/>
        <v>41883</v>
      </c>
      <c r="AS67" s="881">
        <f t="shared" si="19"/>
        <v>41791</v>
      </c>
      <c r="AT67" s="881">
        <f t="shared" si="19"/>
        <v>41699</v>
      </c>
      <c r="AU67" s="881">
        <f t="shared" si="19"/>
        <v>41609</v>
      </c>
      <c r="AV67" s="881">
        <f t="shared" si="19"/>
        <v>41518</v>
      </c>
      <c r="AW67" s="881">
        <f t="shared" si="19"/>
        <v>41426</v>
      </c>
      <c r="AX67" s="881">
        <f t="shared" si="19"/>
        <v>41334</v>
      </c>
      <c r="AY67" s="881">
        <f t="shared" si="19"/>
        <v>41244</v>
      </c>
      <c r="AZ67" s="881">
        <f t="shared" si="19"/>
        <v>41153</v>
      </c>
      <c r="BA67" s="881">
        <f t="shared" si="19"/>
        <v>41061</v>
      </c>
      <c r="BB67" s="881">
        <f t="shared" si="19"/>
        <v>40969</v>
      </c>
      <c r="BC67" s="881">
        <f t="shared" si="19"/>
        <v>40878</v>
      </c>
      <c r="BD67" s="881">
        <f t="shared" si="19"/>
        <v>40787</v>
      </c>
      <c r="BE67" s="881">
        <f t="shared" si="19"/>
        <v>40695</v>
      </c>
      <c r="BF67" s="881">
        <f t="shared" si="19"/>
        <v>40603</v>
      </c>
    </row>
    <row r="68" ht="21.75" spans="1:58">
      <c r="A68" s="884" t="s">
        <v>1456</v>
      </c>
      <c r="B68" s="885"/>
      <c r="C68" s="886"/>
      <c r="D68" s="886"/>
      <c r="E68" s="886"/>
      <c r="F68" s="887"/>
      <c r="G68" s="887"/>
      <c r="H68" s="886"/>
      <c r="I68" s="886"/>
      <c r="J68" s="946"/>
      <c r="K68" s="1194"/>
      <c r="L68" s="1195"/>
      <c r="M68" s="946"/>
      <c r="N68" s="947"/>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row>
    <row r="69" s="716" customFormat="1" ht="42" spans="1:58">
      <c r="A69" s="983" t="s">
        <v>1457</v>
      </c>
      <c r="B69" s="984"/>
      <c r="C69" s="985" t="str">
        <f>YEAR(C67)&amp;"-"&amp;ROUNDUP(MONTH(C67)/3,0)</f>
        <v>2024-4</v>
      </c>
      <c r="D69" s="985" t="str">
        <f>YEAR(D67)&amp;"-"&amp;ROUNDUP(MONTH(D67)/3,0)</f>
        <v>2024-3</v>
      </c>
      <c r="E69" s="985" t="str">
        <f t="shared" ref="E69:P69" si="20">YEAR(E67)&amp;"-"&amp;ROUNDUP(MONTH(E67)/3,0)</f>
        <v>2024-2</v>
      </c>
      <c r="F69" s="985" t="str">
        <f t="shared" si="20"/>
        <v>2024-1</v>
      </c>
      <c r="G69" s="985" t="str">
        <f t="shared" si="20"/>
        <v>2023-4</v>
      </c>
      <c r="H69" s="985" t="str">
        <f t="shared" si="20"/>
        <v>2023-3</v>
      </c>
      <c r="I69" s="985" t="str">
        <f t="shared" si="20"/>
        <v>2023-2</v>
      </c>
      <c r="J69" s="985" t="str">
        <f t="shared" si="20"/>
        <v>2023-1</v>
      </c>
      <c r="K69" s="985" t="str">
        <f t="shared" si="20"/>
        <v>2022-4</v>
      </c>
      <c r="L69" s="985" t="str">
        <f t="shared" si="20"/>
        <v>2022-3</v>
      </c>
      <c r="M69" s="985" t="str">
        <f t="shared" si="20"/>
        <v>2022-2</v>
      </c>
      <c r="N69" s="985" t="str">
        <f t="shared" si="20"/>
        <v>2022-1</v>
      </c>
      <c r="O69" s="985" t="str">
        <f t="shared" si="20"/>
        <v>2021-4</v>
      </c>
      <c r="P69" s="2000" t="str">
        <f t="shared" si="20"/>
        <v>2021-3</v>
      </c>
      <c r="Q69" s="2000" t="str">
        <f t="shared" ref="Q69:BF69" si="21">YEAR(Q67)&amp;"-"&amp;ROUNDUP(MONTH(Q67)/3,0)</f>
        <v>2021-2</v>
      </c>
      <c r="R69" s="2000" t="str">
        <f t="shared" si="21"/>
        <v>2021-1</v>
      </c>
      <c r="S69" s="2000" t="str">
        <f t="shared" si="21"/>
        <v>2020-4</v>
      </c>
      <c r="T69" s="2000" t="str">
        <f t="shared" si="21"/>
        <v>2020-3</v>
      </c>
      <c r="U69" s="2000" t="str">
        <f t="shared" si="21"/>
        <v>2020-2</v>
      </c>
      <c r="V69" s="2000" t="str">
        <f t="shared" si="21"/>
        <v>2020-1</v>
      </c>
      <c r="W69" s="2000" t="str">
        <f t="shared" si="21"/>
        <v>2019-4</v>
      </c>
      <c r="X69" s="2000" t="str">
        <f t="shared" si="21"/>
        <v>2019-3</v>
      </c>
      <c r="Y69" s="2000" t="str">
        <f t="shared" si="21"/>
        <v>2019-2</v>
      </c>
      <c r="Z69" s="2000" t="str">
        <f t="shared" si="21"/>
        <v>2019-1</v>
      </c>
      <c r="AA69" s="2000" t="str">
        <f t="shared" si="21"/>
        <v>2018-4</v>
      </c>
      <c r="AB69" s="2000" t="str">
        <f t="shared" si="21"/>
        <v>2018-3</v>
      </c>
      <c r="AC69" s="2000" t="str">
        <f t="shared" si="21"/>
        <v>2018-2</v>
      </c>
      <c r="AD69" s="2000" t="str">
        <f t="shared" si="21"/>
        <v>2018-1</v>
      </c>
      <c r="AE69" s="2000" t="str">
        <f t="shared" si="21"/>
        <v>2017-4</v>
      </c>
      <c r="AF69" s="2000" t="str">
        <f t="shared" si="21"/>
        <v>2017-3</v>
      </c>
      <c r="AG69" s="2000" t="str">
        <f t="shared" si="21"/>
        <v>2017-2</v>
      </c>
      <c r="AH69" s="2000" t="str">
        <f t="shared" si="21"/>
        <v>2017-1</v>
      </c>
      <c r="AI69" s="2000" t="str">
        <f t="shared" si="21"/>
        <v>2016-4</v>
      </c>
      <c r="AJ69" s="2000" t="str">
        <f t="shared" si="21"/>
        <v>2016-3</v>
      </c>
      <c r="AK69" s="2000" t="str">
        <f t="shared" si="21"/>
        <v>2016-2</v>
      </c>
      <c r="AL69" s="2000" t="str">
        <f t="shared" si="21"/>
        <v>2016-1</v>
      </c>
      <c r="AM69" s="2000" t="str">
        <f t="shared" si="21"/>
        <v>2015-4</v>
      </c>
      <c r="AN69" s="2000" t="str">
        <f t="shared" si="21"/>
        <v>2015-3</v>
      </c>
      <c r="AO69" s="2000" t="str">
        <f t="shared" si="21"/>
        <v>2015-2</v>
      </c>
      <c r="AP69" s="2000" t="str">
        <f t="shared" si="21"/>
        <v>2015-1</v>
      </c>
      <c r="AQ69" s="2000" t="str">
        <f t="shared" si="21"/>
        <v>2014-4</v>
      </c>
      <c r="AR69" s="2000" t="str">
        <f t="shared" si="21"/>
        <v>2014-3</v>
      </c>
      <c r="AS69" s="2000" t="str">
        <f t="shared" si="21"/>
        <v>2014-2</v>
      </c>
      <c r="AT69" s="2000" t="str">
        <f t="shared" si="21"/>
        <v>2014-1</v>
      </c>
      <c r="AU69" s="2000" t="str">
        <f t="shared" si="21"/>
        <v>2013-4</v>
      </c>
      <c r="AV69" s="2000" t="str">
        <f t="shared" si="21"/>
        <v>2013-3</v>
      </c>
      <c r="AW69" s="2000" t="str">
        <f t="shared" si="21"/>
        <v>2013-2</v>
      </c>
      <c r="AX69" s="2000" t="str">
        <f t="shared" si="21"/>
        <v>2013-1</v>
      </c>
      <c r="AY69" s="2000" t="str">
        <f t="shared" si="21"/>
        <v>2012-4</v>
      </c>
      <c r="AZ69" s="2000" t="str">
        <f t="shared" si="21"/>
        <v>2012-3</v>
      </c>
      <c r="BA69" s="2000" t="str">
        <f t="shared" si="21"/>
        <v>2012-2</v>
      </c>
      <c r="BB69" s="2000" t="str">
        <f t="shared" si="21"/>
        <v>2012-1</v>
      </c>
      <c r="BC69" s="2000" t="str">
        <f t="shared" si="21"/>
        <v>2011-4</v>
      </c>
      <c r="BD69" s="2000" t="str">
        <f t="shared" si="21"/>
        <v>2011-3</v>
      </c>
      <c r="BE69" s="2000" t="str">
        <f t="shared" si="21"/>
        <v>2011-2</v>
      </c>
      <c r="BF69" s="2000" t="str">
        <f t="shared" si="21"/>
        <v>2011-1</v>
      </c>
    </row>
    <row r="70" s="711" customFormat="1" ht="30" customHeight="1" spans="1:58">
      <c r="A70" s="1998" t="s">
        <v>1458</v>
      </c>
      <c r="B70" s="987" t="str">
        <f>"北京市平均增长率"&amp;TEXT(SUMIF(基准地价修正!N25:N29,A70,基准地价修正!P25:P29),"0.00%")</f>
        <v>北京市平均增长率0.00%</v>
      </c>
      <c r="C70" s="988">
        <v>100</v>
      </c>
      <c r="D70" s="989">
        <v>100</v>
      </c>
      <c r="E70" s="989">
        <v>100</v>
      </c>
      <c r="F70" s="989">
        <v>100</v>
      </c>
      <c r="G70" s="989">
        <v>100</v>
      </c>
      <c r="H70" s="989">
        <v>100</v>
      </c>
      <c r="I70" s="989">
        <v>100</v>
      </c>
      <c r="J70" s="989">
        <v>100</v>
      </c>
      <c r="K70" s="989">
        <v>100</v>
      </c>
      <c r="L70" s="989">
        <v>100</v>
      </c>
      <c r="M70" s="989">
        <v>100</v>
      </c>
      <c r="N70" s="989">
        <v>100</v>
      </c>
      <c r="O70" s="989">
        <v>100</v>
      </c>
      <c r="P70" s="989">
        <v>100</v>
      </c>
      <c r="Q70" s="989">
        <v>100</v>
      </c>
      <c r="R70" s="989">
        <v>100</v>
      </c>
      <c r="S70" s="989">
        <v>100</v>
      </c>
      <c r="T70" s="989">
        <v>100</v>
      </c>
      <c r="U70" s="989">
        <v>100</v>
      </c>
      <c r="V70" s="989">
        <v>100</v>
      </c>
      <c r="W70" s="989">
        <v>100</v>
      </c>
      <c r="X70" s="989">
        <v>100</v>
      </c>
      <c r="Y70" s="989">
        <v>100</v>
      </c>
      <c r="Z70" s="989">
        <v>100</v>
      </c>
      <c r="AA70" s="989">
        <v>100</v>
      </c>
      <c r="AB70" s="989">
        <v>100</v>
      </c>
      <c r="AC70" s="989">
        <v>100</v>
      </c>
      <c r="AD70" s="989">
        <v>100</v>
      </c>
      <c r="AE70" s="989">
        <v>100</v>
      </c>
      <c r="AF70" s="989">
        <v>100</v>
      </c>
      <c r="AG70" s="989">
        <v>100</v>
      </c>
      <c r="AH70" s="989">
        <v>100</v>
      </c>
      <c r="AI70" s="989">
        <v>100</v>
      </c>
      <c r="AJ70" s="989">
        <v>100</v>
      </c>
      <c r="AK70" s="989">
        <v>100</v>
      </c>
      <c r="AL70" s="989">
        <v>100</v>
      </c>
      <c r="AM70" s="989">
        <v>100</v>
      </c>
      <c r="AN70" s="989">
        <v>100</v>
      </c>
      <c r="AO70" s="989">
        <v>100</v>
      </c>
      <c r="AP70" s="989">
        <v>100</v>
      </c>
      <c r="AQ70" s="989">
        <v>100</v>
      </c>
      <c r="AR70" s="989">
        <v>100</v>
      </c>
      <c r="AS70" s="989">
        <v>100</v>
      </c>
      <c r="AT70" s="989">
        <v>100</v>
      </c>
      <c r="AU70" s="989">
        <v>100</v>
      </c>
      <c r="AV70" s="989">
        <v>100</v>
      </c>
      <c r="AW70" s="989">
        <v>100</v>
      </c>
      <c r="AX70" s="989">
        <v>100</v>
      </c>
      <c r="AY70" s="989">
        <v>100</v>
      </c>
      <c r="AZ70" s="989">
        <v>100</v>
      </c>
      <c r="BA70" s="989">
        <v>100</v>
      </c>
      <c r="BB70" s="989">
        <v>100</v>
      </c>
      <c r="BC70" s="989">
        <v>100</v>
      </c>
      <c r="BD70" s="989">
        <v>100</v>
      </c>
      <c r="BE70" s="989">
        <v>100</v>
      </c>
      <c r="BF70" s="989">
        <v>100</v>
      </c>
    </row>
    <row r="71" s="711" customFormat="1" ht="14.75" spans="1:29">
      <c r="A71" s="990" t="s">
        <v>1459</v>
      </c>
      <c r="B71" s="991"/>
      <c r="C71" s="992"/>
      <c r="D71" s="993"/>
      <c r="E71" s="993"/>
      <c r="F71" s="993"/>
      <c r="G71" s="993"/>
      <c r="H71" s="993"/>
      <c r="I71" s="993"/>
      <c r="J71" s="993"/>
      <c r="K71" s="993"/>
      <c r="L71" s="993"/>
      <c r="M71" s="1041"/>
      <c r="N71" s="993"/>
      <c r="O71" s="2001"/>
      <c r="P71" s="972"/>
      <c r="Q71" s="972"/>
      <c r="R71" s="1095"/>
      <c r="S71" s="1095"/>
      <c r="T71" s="1095"/>
      <c r="U71" s="1095"/>
      <c r="V71" s="1095"/>
      <c r="W71" s="1095"/>
      <c r="X71" s="1095"/>
      <c r="Y71" s="1095"/>
      <c r="Z71" s="1095"/>
      <c r="AA71" s="1095"/>
      <c r="AB71" s="1095"/>
      <c r="AC71" s="1095"/>
    </row>
    <row r="72" s="711" customFormat="1" spans="1:29">
      <c r="A72" s="994" t="s">
        <v>1392</v>
      </c>
      <c r="B72" s="995"/>
      <c r="C72" s="996" t="s">
        <v>1393</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1460</v>
      </c>
      <c r="B74" s="1001" t="s">
        <v>1397</v>
      </c>
      <c r="C74" s="926" t="s">
        <v>549</v>
      </c>
      <c r="D74" s="926" t="s">
        <v>1461</v>
      </c>
      <c r="E74" s="926" t="s">
        <v>1462</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1400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1401</v>
      </c>
      <c r="C78" s="1010" t="str">
        <f>C79&amp;"（含）"&amp;"-"&amp;D79</f>
        <v>0（含）-1</v>
      </c>
      <c r="D78" s="1010" t="str">
        <f t="shared" ref="D78:L78" si="22">D79&amp;"（含）"&amp;"-"&amp;E79</f>
        <v>1（含）-2</v>
      </c>
      <c r="E78" s="1010" t="str">
        <f t="shared" si="22"/>
        <v>2（含）-3</v>
      </c>
      <c r="F78" s="1010" t="str">
        <f t="shared" si="22"/>
        <v>3（含）-4</v>
      </c>
      <c r="G78" s="1010" t="str">
        <f t="shared" si="22"/>
        <v>4（含）-5</v>
      </c>
      <c r="H78" s="1010" t="str">
        <f t="shared" si="22"/>
        <v>5（含）-</v>
      </c>
      <c r="I78" s="1010" t="str">
        <f t="shared" si="22"/>
        <v>（含）-</v>
      </c>
      <c r="J78" s="1010" t="str">
        <f t="shared" si="22"/>
        <v>（含）-</v>
      </c>
      <c r="K78" s="1010" t="str">
        <f t="shared" si="22"/>
        <v>（含）-</v>
      </c>
      <c r="L78" s="1010" t="str">
        <f t="shared" si="22"/>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v>0</v>
      </c>
      <c r="D79" s="770">
        <v>1</v>
      </c>
      <c r="E79" s="770">
        <v>2</v>
      </c>
      <c r="F79" s="770">
        <v>3</v>
      </c>
      <c r="G79" s="770">
        <v>4</v>
      </c>
      <c r="H79" s="770">
        <v>5</v>
      </c>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3">IF($B$46="单位面积地价",C80+$K11,C80-$K11)</f>
        <v>95</v>
      </c>
      <c r="E80" s="1008">
        <f t="shared" si="23"/>
        <v>90</v>
      </c>
      <c r="F80" s="1008">
        <f t="shared" si="23"/>
        <v>85</v>
      </c>
      <c r="G80" s="1008">
        <f t="shared" si="23"/>
        <v>80</v>
      </c>
      <c r="H80" s="1008">
        <f t="shared" si="23"/>
        <v>75</v>
      </c>
      <c r="I80" s="1008">
        <f t="shared" si="23"/>
        <v>70</v>
      </c>
      <c r="J80" s="1008">
        <f t="shared" si="23"/>
        <v>65</v>
      </c>
      <c r="K80" s="1008">
        <f t="shared" si="23"/>
        <v>60</v>
      </c>
      <c r="L80" s="1008">
        <f t="shared" si="23"/>
        <v>55</v>
      </c>
      <c r="M80" s="1008">
        <f t="shared" si="23"/>
        <v>50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溢价</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1403</v>
      </c>
      <c r="B87" s="1001" t="s">
        <v>1404</v>
      </c>
      <c r="C87" s="1022" t="s">
        <v>1271</v>
      </c>
      <c r="D87" s="1022" t="s">
        <v>1272</v>
      </c>
      <c r="E87" s="1022" t="s">
        <v>1273</v>
      </c>
      <c r="F87" s="1022" t="s">
        <v>1274</v>
      </c>
      <c r="G87" s="1022" t="s">
        <v>1275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1406</v>
      </c>
      <c r="C89" s="1024" t="s">
        <v>1271</v>
      </c>
      <c r="D89" s="1024" t="s">
        <v>1272</v>
      </c>
      <c r="E89" s="1024" t="s">
        <v>1273</v>
      </c>
      <c r="F89" s="1024" t="s">
        <v>1274</v>
      </c>
      <c r="G89" s="1024" t="s">
        <v>1275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1407</v>
      </c>
      <c r="C91" s="1024" t="s">
        <v>1271</v>
      </c>
      <c r="D91" s="1024" t="s">
        <v>1272</v>
      </c>
      <c r="E91" s="1024" t="s">
        <v>1273</v>
      </c>
      <c r="F91" s="1024" t="s">
        <v>1274</v>
      </c>
      <c r="G91" s="1024" t="s">
        <v>1275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98</v>
      </c>
      <c r="E92" s="1008">
        <f>D92-$K19</f>
        <v>96</v>
      </c>
      <c r="F92" s="1008">
        <f>E92-$K19</f>
        <v>94</v>
      </c>
      <c r="G92" s="1008">
        <f>F92-$K19</f>
        <v>92</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1408</v>
      </c>
      <c r="C93" s="1024" t="s">
        <v>1271</v>
      </c>
      <c r="D93" s="1024" t="s">
        <v>1272</v>
      </c>
      <c r="E93" s="1024" t="s">
        <v>1273</v>
      </c>
      <c r="F93" s="1024" t="s">
        <v>1274</v>
      </c>
      <c r="G93" s="1024" t="s">
        <v>1275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1409</v>
      </c>
      <c r="C95" s="1024" t="s">
        <v>1271</v>
      </c>
      <c r="D95" s="1024" t="s">
        <v>1272</v>
      </c>
      <c r="E95" s="1024" t="s">
        <v>1273</v>
      </c>
      <c r="F95" s="1024" t="s">
        <v>1274</v>
      </c>
      <c r="G95" s="1024" t="s">
        <v>1275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1410</v>
      </c>
      <c r="C97" s="1022" t="s">
        <v>1271</v>
      </c>
      <c r="D97" s="1022" t="s">
        <v>1272</v>
      </c>
      <c r="E97" s="1022" t="s">
        <v>1273</v>
      </c>
      <c r="F97" s="1022" t="s">
        <v>1274</v>
      </c>
      <c r="G97" s="1022" t="s">
        <v>1275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1411</v>
      </c>
      <c r="C99" s="1022" t="s">
        <v>1271</v>
      </c>
      <c r="D99" s="1022" t="s">
        <v>1272</v>
      </c>
      <c r="E99" s="1022" t="s">
        <v>1273</v>
      </c>
      <c r="F99" s="1022" t="s">
        <v>1274</v>
      </c>
      <c r="G99" s="1022" t="s">
        <v>1275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98</v>
      </c>
      <c r="E100" s="1008">
        <f>D100-$K27</f>
        <v>96</v>
      </c>
      <c r="F100" s="1008">
        <f>E100-$K27</f>
        <v>94</v>
      </c>
      <c r="G100" s="1008">
        <f>F100-$K27</f>
        <v>92</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1412</v>
      </c>
      <c r="C101" s="1029" t="s">
        <v>1463</v>
      </c>
      <c r="D101" s="1029" t="s">
        <v>1464</v>
      </c>
      <c r="E101" s="1029" t="s">
        <v>1465</v>
      </c>
      <c r="F101" s="1029" t="s">
        <v>1466</v>
      </c>
      <c r="G101" s="1029" t="s">
        <v>1467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98</v>
      </c>
      <c r="E102" s="1008">
        <f>D102-$K29</f>
        <v>96</v>
      </c>
      <c r="F102" s="1008">
        <f>E102-$K29</f>
        <v>94</v>
      </c>
      <c r="G102" s="1008">
        <f>F102-$K29</f>
        <v>92</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1468</v>
      </c>
      <c r="D103" s="1006" t="s">
        <v>1469</v>
      </c>
      <c r="E103" s="1006" t="s">
        <v>1470</v>
      </c>
      <c r="F103" s="1006" t="s">
        <v>1471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4">C104-$K31</f>
        <v>100</v>
      </c>
      <c r="E104" s="1008">
        <f t="shared" si="24"/>
        <v>100</v>
      </c>
      <c r="F104" s="1008">
        <f t="shared" si="24"/>
        <v>100</v>
      </c>
      <c r="G104" s="1008">
        <f t="shared" si="24"/>
        <v>100</v>
      </c>
      <c r="H104" s="1008">
        <f t="shared" si="24"/>
        <v>100</v>
      </c>
      <c r="I104" s="1008">
        <f t="shared" si="24"/>
        <v>100</v>
      </c>
      <c r="J104" s="1008">
        <f t="shared" si="24"/>
        <v>100</v>
      </c>
      <c r="K104" s="1008">
        <f t="shared" si="24"/>
        <v>100</v>
      </c>
      <c r="L104" s="1008">
        <f t="shared" si="24"/>
        <v>100</v>
      </c>
      <c r="M104" s="1008">
        <f t="shared" si="24"/>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1414</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5">C106-$K32</f>
        <v>100</v>
      </c>
      <c r="E106" s="1008">
        <f t="shared" si="25"/>
        <v>100</v>
      </c>
      <c r="F106" s="1008">
        <f t="shared" si="25"/>
        <v>100</v>
      </c>
      <c r="G106" s="1008">
        <f t="shared" si="25"/>
        <v>100</v>
      </c>
      <c r="H106" s="1008">
        <f t="shared" si="25"/>
        <v>100</v>
      </c>
      <c r="I106" s="1008">
        <f t="shared" si="25"/>
        <v>100</v>
      </c>
      <c r="J106" s="1008">
        <f t="shared" si="25"/>
        <v>100</v>
      </c>
      <c r="K106" s="1008">
        <f t="shared" si="25"/>
        <v>100</v>
      </c>
      <c r="L106" s="1008">
        <f t="shared" si="25"/>
        <v>100</v>
      </c>
      <c r="M106" s="1008">
        <f t="shared" si="25"/>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1415</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6">C108-$K34</f>
        <v>100</v>
      </c>
      <c r="E108" s="1008">
        <f t="shared" si="26"/>
        <v>100</v>
      </c>
      <c r="F108" s="1008">
        <f t="shared" si="26"/>
        <v>100</v>
      </c>
      <c r="G108" s="1008">
        <f t="shared" si="26"/>
        <v>100</v>
      </c>
      <c r="H108" s="1008">
        <f t="shared" si="26"/>
        <v>100</v>
      </c>
      <c r="I108" s="1008">
        <f t="shared" si="26"/>
        <v>100</v>
      </c>
      <c r="J108" s="1008">
        <f t="shared" si="26"/>
        <v>100</v>
      </c>
      <c r="K108" s="1008">
        <f t="shared" si="26"/>
        <v>100</v>
      </c>
      <c r="L108" s="1008">
        <f t="shared" si="26"/>
        <v>100</v>
      </c>
      <c r="M108" s="1008">
        <f t="shared" si="26"/>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 spans="1:29">
      <c r="A115" s="1000" t="s">
        <v>1417</v>
      </c>
      <c r="B115" s="1001" t="s">
        <v>1418</v>
      </c>
      <c r="C115" s="1023" t="str">
        <f>C116&amp;"(含)"&amp;"-"&amp;D116</f>
        <v>0(含)-10000</v>
      </c>
      <c r="D115" s="1023" t="str">
        <f t="shared" ref="D115:M115" si="27">D116&amp;"(含)"&amp;"-"&amp;E116</f>
        <v>10000(含)-20000</v>
      </c>
      <c r="E115" s="1023" t="str">
        <f t="shared" si="27"/>
        <v>20000(含)-30000</v>
      </c>
      <c r="F115" s="1023" t="str">
        <f t="shared" si="27"/>
        <v>30000(含)-40000</v>
      </c>
      <c r="G115" s="1023" t="str">
        <f t="shared" si="27"/>
        <v>40000(含)-50000</v>
      </c>
      <c r="H115" s="1023" t="str">
        <f t="shared" si="27"/>
        <v>50000(含)-60000</v>
      </c>
      <c r="I115" s="1023" t="str">
        <f t="shared" si="27"/>
        <v>60000(含)-</v>
      </c>
      <c r="J115" s="1023" t="str">
        <f t="shared" si="27"/>
        <v>(含)-</v>
      </c>
      <c r="K115" s="1023" t="str">
        <f t="shared" si="27"/>
        <v>(含)-</v>
      </c>
      <c r="L115" s="1023" t="str">
        <f t="shared" si="27"/>
        <v>(含)-</v>
      </c>
      <c r="M115" s="1023" t="str">
        <f t="shared" si="27"/>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v>0</v>
      </c>
      <c r="D116" s="989">
        <v>10000</v>
      </c>
      <c r="E116" s="989">
        <v>20000</v>
      </c>
      <c r="F116" s="989">
        <v>30000</v>
      </c>
      <c r="G116" s="989">
        <v>40000</v>
      </c>
      <c r="H116" s="989">
        <v>50000</v>
      </c>
      <c r="I116" s="989">
        <v>60000</v>
      </c>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v>100</v>
      </c>
      <c r="D117" s="1032">
        <v>101</v>
      </c>
      <c r="E117" s="1032">
        <v>102</v>
      </c>
      <c r="F117" s="1032">
        <v>103</v>
      </c>
      <c r="G117" s="1032">
        <v>104</v>
      </c>
      <c r="H117" s="1032">
        <v>105</v>
      </c>
      <c r="I117" s="1032">
        <v>106</v>
      </c>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1419</v>
      </c>
      <c r="C118" s="1410" t="s">
        <v>1472</v>
      </c>
      <c r="D118" s="1410" t="s">
        <v>1421</v>
      </c>
      <c r="E118" s="1410" t="s">
        <v>1420</v>
      </c>
      <c r="F118" s="1410" t="s">
        <v>1473</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8">C119-$K39</f>
        <v>99</v>
      </c>
      <c r="E119" s="1008">
        <f t="shared" si="28"/>
        <v>98</v>
      </c>
      <c r="F119" s="1008">
        <f t="shared" si="28"/>
        <v>97</v>
      </c>
      <c r="G119" s="1008">
        <f t="shared" si="28"/>
        <v>96</v>
      </c>
      <c r="H119" s="1008">
        <f t="shared" si="28"/>
        <v>95</v>
      </c>
      <c r="I119" s="1008">
        <f t="shared" si="28"/>
        <v>94</v>
      </c>
      <c r="J119" s="1008">
        <f t="shared" si="28"/>
        <v>93</v>
      </c>
      <c r="K119" s="1008">
        <f t="shared" si="28"/>
        <v>92</v>
      </c>
      <c r="L119" s="1008">
        <f t="shared" si="28"/>
        <v>91</v>
      </c>
      <c r="M119" s="1058">
        <f t="shared" si="28"/>
        <v>90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1422</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9">C121-$K40</f>
        <v>100</v>
      </c>
      <c r="E121" s="1008">
        <f t="shared" si="29"/>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1423</v>
      </c>
      <c r="C122" s="1013" t="s">
        <v>236</v>
      </c>
      <c r="D122" s="1013" t="s">
        <v>246</v>
      </c>
      <c r="E122" s="1013" t="s">
        <v>255</v>
      </c>
      <c r="F122" s="1013" t="s">
        <v>263</v>
      </c>
      <c r="G122" s="1013" t="s">
        <v>270</v>
      </c>
      <c r="H122" s="1030" t="s">
        <v>1474</v>
      </c>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30">C123-$K41</f>
        <v>99</v>
      </c>
      <c r="E123" s="1008">
        <f t="shared" si="30"/>
        <v>98</v>
      </c>
      <c r="F123" s="1008">
        <f t="shared" si="30"/>
        <v>97</v>
      </c>
      <c r="G123" s="1008">
        <f t="shared" si="30"/>
        <v>96</v>
      </c>
      <c r="H123" s="1008">
        <f t="shared" si="30"/>
        <v>95</v>
      </c>
      <c r="I123" s="1008">
        <f t="shared" si="30"/>
        <v>94</v>
      </c>
      <c r="J123" s="1008">
        <f t="shared" si="30"/>
        <v>93</v>
      </c>
      <c r="K123" s="1008">
        <f t="shared" si="30"/>
        <v>92</v>
      </c>
      <c r="L123" s="1008">
        <f t="shared" si="30"/>
        <v>91</v>
      </c>
      <c r="M123" s="1058">
        <f t="shared" si="30"/>
        <v>90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1424</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31">C125-$K42</f>
        <v>99</v>
      </c>
      <c r="E125" s="1008">
        <f t="shared" si="31"/>
        <v>98</v>
      </c>
      <c r="F125" s="1008">
        <f t="shared" si="31"/>
        <v>97</v>
      </c>
      <c r="G125" s="1008">
        <f t="shared" si="31"/>
        <v>96</v>
      </c>
      <c r="H125" s="1008">
        <f t="shared" si="31"/>
        <v>95</v>
      </c>
      <c r="I125" s="1008">
        <f t="shared" si="31"/>
        <v>94</v>
      </c>
      <c r="J125" s="1008">
        <f t="shared" si="31"/>
        <v>93</v>
      </c>
      <c r="K125" s="1008">
        <f t="shared" si="31"/>
        <v>92</v>
      </c>
      <c r="L125" s="1008">
        <f t="shared" si="31"/>
        <v>91</v>
      </c>
      <c r="M125" s="1058">
        <f t="shared" si="31"/>
        <v>90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49" sqref="J4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1475</v>
      </c>
      <c r="B1" s="975"/>
      <c r="C1" s="1678" t="s">
        <v>549</v>
      </c>
      <c r="D1" s="1679" t="s">
        <v>1476</v>
      </c>
      <c r="E1" s="1680" t="s">
        <v>1477</v>
      </c>
      <c r="F1" s="1681">
        <f ca="1">J53</f>
        <v>26.01</v>
      </c>
      <c r="G1" s="1682">
        <f>MATCH(C1,'数据-取费表'!A6:A16,0)+5</f>
        <v>6</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1478</v>
      </c>
      <c r="B2" s="1975">
        <f ca="1">C40+J29+L46</f>
        <v>40137</v>
      </c>
      <c r="C2" s="1685" t="s">
        <v>1479</v>
      </c>
      <c r="D2" s="1685"/>
      <c r="E2" s="1687"/>
      <c r="F2" s="1688"/>
      <c r="G2" s="1689"/>
      <c r="H2" s="1690"/>
      <c r="I2" s="1690"/>
      <c r="J2" s="1690"/>
      <c r="K2" s="1852"/>
      <c r="L2" s="1690"/>
      <c r="M2" s="1690"/>
    </row>
    <row r="3" ht="18" customHeight="1" spans="1:13">
      <c r="A3" s="1691" t="s">
        <v>1480</v>
      </c>
      <c r="B3" s="1692">
        <f ca="1">IF(ISERROR(B2*10000/F43),0,ROUND(B2*10000/F43,0))</f>
        <v>6048</v>
      </c>
      <c r="C3" s="1685" t="s">
        <v>1481</v>
      </c>
      <c r="D3" s="1685"/>
      <c r="E3" s="1687"/>
      <c r="F3" s="1688"/>
      <c r="G3" s="1689"/>
      <c r="H3" s="1693" t="s">
        <v>1482</v>
      </c>
      <c r="I3" s="1853"/>
      <c r="J3" s="1853"/>
      <c r="K3" s="1854"/>
      <c r="L3" s="1853"/>
      <c r="M3" s="1853"/>
    </row>
    <row r="4" ht="18" customHeight="1" spans="1:13">
      <c r="A4" s="1694" t="s">
        <v>1483</v>
      </c>
      <c r="B4" s="1695" t="s">
        <v>1484</v>
      </c>
      <c r="C4" s="1695" t="s">
        <v>1485</v>
      </c>
      <c r="D4" s="1695" t="s">
        <v>1486</v>
      </c>
      <c r="E4" s="1696" t="s">
        <v>1487</v>
      </c>
      <c r="F4" s="1697"/>
      <c r="G4" s="1675"/>
      <c r="H4" s="1694" t="s">
        <v>1483</v>
      </c>
      <c r="I4" s="1695" t="s">
        <v>1484</v>
      </c>
      <c r="J4" s="1695" t="s">
        <v>1485</v>
      </c>
      <c r="K4" s="1695" t="s">
        <v>1486</v>
      </c>
      <c r="L4" s="1696" t="s">
        <v>1487</v>
      </c>
      <c r="M4" s="1697"/>
    </row>
    <row r="5" ht="18" customHeight="1" spans="1:13">
      <c r="A5" s="1698">
        <v>1</v>
      </c>
      <c r="B5" s="1699" t="s">
        <v>1488</v>
      </c>
      <c r="C5" s="1700">
        <f ca="1">C6+C10+C12</f>
        <v>2768</v>
      </c>
      <c r="D5" s="1701" t="s">
        <v>1489</v>
      </c>
      <c r="E5" s="1702"/>
      <c r="F5" s="1703"/>
      <c r="G5" s="1675"/>
      <c r="H5" s="1698">
        <v>1</v>
      </c>
      <c r="I5" s="1699" t="s">
        <v>1488</v>
      </c>
      <c r="J5" s="1700">
        <f ca="1">J6+J10+J12</f>
        <v>0</v>
      </c>
      <c r="K5" s="1701" t="s">
        <v>1489</v>
      </c>
      <c r="L5" s="1702"/>
      <c r="M5" s="1703"/>
    </row>
    <row r="6" ht="18" customHeight="1" spans="1:13">
      <c r="A6" s="1704" t="s">
        <v>913</v>
      </c>
      <c r="B6" s="1705" t="s">
        <v>1490</v>
      </c>
      <c r="C6" s="1706">
        <f ca="1">ROUND(F6*F8*F7*(1-F9)/10000,0)</f>
        <v>2765</v>
      </c>
      <c r="D6" s="1707" t="s">
        <v>1491</v>
      </c>
      <c r="E6" s="1708" t="s">
        <v>1492</v>
      </c>
      <c r="F6" s="1709">
        <f ca="1">INDIRECT("'数据-取费表'!u"&amp;$G$1)</f>
        <v>1.5</v>
      </c>
      <c r="G6" s="1675"/>
      <c r="H6" s="1704" t="s">
        <v>913</v>
      </c>
      <c r="I6" s="1705" t="s">
        <v>1490</v>
      </c>
      <c r="J6" s="1782">
        <f ca="1">ROUND(M6*M8*M7*(1-M9)/10000,0)</f>
        <v>0</v>
      </c>
      <c r="K6" s="1707" t="s">
        <v>1493</v>
      </c>
      <c r="L6" s="1708" t="s">
        <v>1492</v>
      </c>
      <c r="M6" s="1709">
        <f ca="1">INDIRECT("'数据-取费表'!z"&amp;$G$1)</f>
        <v>0</v>
      </c>
    </row>
    <row r="7" ht="18" customHeight="1" spans="1:13">
      <c r="A7" s="1710"/>
      <c r="B7" s="1711"/>
      <c r="C7" s="1712"/>
      <c r="D7" s="1713"/>
      <c r="E7" s="1714" t="s">
        <v>1494</v>
      </c>
      <c r="F7" s="1709">
        <f ca="1">IF(INDIRECT("'数据-取费表'!ah"&amp;$G$1)="",INDIRECT("'数据-取费表'!k"&amp;$G$1),INDIRECT("'数据-取费表'!ah"&amp;$G$1))</f>
        <v>56121.31</v>
      </c>
      <c r="G7" s="1675"/>
      <c r="H7" s="1715"/>
      <c r="I7" s="1711"/>
      <c r="J7" s="1716"/>
      <c r="K7" s="1713"/>
      <c r="L7" s="1708" t="s">
        <v>1494</v>
      </c>
      <c r="M7" s="1709">
        <f ca="1">F7</f>
        <v>56121.31</v>
      </c>
    </row>
    <row r="8" ht="18" customHeight="1" spans="1:13">
      <c r="A8" s="1715"/>
      <c r="B8" s="1711"/>
      <c r="C8" s="1716"/>
      <c r="D8" s="1713"/>
      <c r="E8" s="1708" t="s">
        <v>1495</v>
      </c>
      <c r="F8" s="1709">
        <f ca="1">INDIRECT("'数据-取费表'!ai"&amp;$G$1)</f>
        <v>365</v>
      </c>
      <c r="G8" s="1675"/>
      <c r="H8" s="1715"/>
      <c r="I8" s="1711"/>
      <c r="J8" s="1716"/>
      <c r="K8" s="1713"/>
      <c r="L8" s="1708" t="s">
        <v>1495</v>
      </c>
      <c r="M8" s="1709">
        <f ca="1">INDIRECT("'数据-取费表'!ai"&amp;$G$1)</f>
        <v>365</v>
      </c>
    </row>
    <row r="9" ht="18" customHeight="1" spans="1:13">
      <c r="A9" s="1715"/>
      <c r="B9" s="1717"/>
      <c r="C9" s="1716"/>
      <c r="D9" s="1713"/>
      <c r="E9" s="1708" t="s">
        <v>1496</v>
      </c>
      <c r="F9" s="1718">
        <f ca="1">INDIRECT("'数据-取费表'!w"&amp;$G$1)</f>
        <v>0.1</v>
      </c>
      <c r="G9" s="1675"/>
      <c r="H9" s="1715"/>
      <c r="I9" s="1717"/>
      <c r="J9" s="1716"/>
      <c r="K9" s="1713"/>
      <c r="L9" s="1721" t="s">
        <v>1496</v>
      </c>
      <c r="M9" s="1726">
        <f ca="1">INDIRECT("'数据-取费表'!ab"&amp;$G$1)</f>
        <v>0</v>
      </c>
    </row>
    <row r="10" ht="18" customHeight="1" spans="1:13">
      <c r="A10" s="1704" t="s">
        <v>917</v>
      </c>
      <c r="B10" s="1719" t="s">
        <v>1497</v>
      </c>
      <c r="C10" s="642">
        <f ca="1">ROUND(IF(F10="押一",C6/12*F11,IF(F10="押二",C6/12*2*F11,IF(F10="押三",C6/12*3*F11,C11*F11))),0)</f>
        <v>3</v>
      </c>
      <c r="D10" s="1720" t="s">
        <v>1498</v>
      </c>
      <c r="E10" s="1721" t="s">
        <v>1499</v>
      </c>
      <c r="F10" s="1722" t="s">
        <v>1500</v>
      </c>
      <c r="G10" s="1675"/>
      <c r="H10" s="1704" t="s">
        <v>917</v>
      </c>
      <c r="I10" s="1719" t="s">
        <v>1497</v>
      </c>
      <c r="J10" s="1782">
        <f ca="1">ROUND(IF(M10="押一",J6/12*M11,IF(M10="押二",J6/12*2*M11,IF(M10="押三",J6/12*3*M11,J11*M11))),0)</f>
        <v>0</v>
      </c>
      <c r="K10" s="1720" t="s">
        <v>1498</v>
      </c>
      <c r="L10" s="1721" t="s">
        <v>1499</v>
      </c>
      <c r="M10" s="1722"/>
    </row>
    <row r="11" ht="18" customHeight="1" spans="1:13">
      <c r="A11" s="1723"/>
      <c r="B11" s="1724" t="s">
        <v>1501</v>
      </c>
      <c r="C11" s="1725"/>
      <c r="D11" s="1976"/>
      <c r="E11" s="1721" t="s">
        <v>1502</v>
      </c>
      <c r="F11" s="1726">
        <f ca="1">'数据-取费表'!B39</f>
        <v>0.015</v>
      </c>
      <c r="G11" s="1675"/>
      <c r="H11" s="1727"/>
      <c r="I11" s="1724" t="s">
        <v>1501</v>
      </c>
      <c r="J11" s="1725"/>
      <c r="K11" s="1857"/>
      <c r="L11" s="1721" t="s">
        <v>1502</v>
      </c>
      <c r="M11" s="1858">
        <f ca="1">'数据-取费表'!B39</f>
        <v>0.015</v>
      </c>
    </row>
    <row r="12" ht="18" customHeight="1" spans="1:13">
      <c r="A12" s="1728" t="s">
        <v>962</v>
      </c>
      <c r="B12" s="1729" t="s">
        <v>1503</v>
      </c>
      <c r="C12" s="1730"/>
      <c r="D12" s="1731"/>
      <c r="E12" s="1732"/>
      <c r="F12" s="1733"/>
      <c r="G12" s="1675"/>
      <c r="H12" s="1728" t="s">
        <v>962</v>
      </c>
      <c r="I12" s="1729" t="s">
        <v>1503</v>
      </c>
      <c r="J12" s="1730"/>
      <c r="K12" s="1859"/>
      <c r="L12" s="1732"/>
      <c r="M12" s="1860"/>
    </row>
    <row r="13" ht="18" customHeight="1" spans="1:13">
      <c r="A13" s="1734">
        <v>2</v>
      </c>
      <c r="B13" s="1735" t="s">
        <v>1504</v>
      </c>
      <c r="C13" s="1736">
        <f ca="1">ROUND(C29*F13,0)</f>
        <v>43474</v>
      </c>
      <c r="D13" s="1737" t="s">
        <v>1505</v>
      </c>
      <c r="E13" s="1737" t="s">
        <v>1506</v>
      </c>
      <c r="F13" s="1738">
        <f ca="1">INDIRECT("'数据-取费表'!y"&amp;$G$1)</f>
        <v>1</v>
      </c>
      <c r="G13" s="1675"/>
      <c r="H13" s="1734">
        <v>2</v>
      </c>
      <c r="I13" s="1735" t="s">
        <v>1504</v>
      </c>
      <c r="J13" s="1861">
        <f ca="1">ROUND(J14*J15,0)</f>
        <v>0</v>
      </c>
      <c r="K13" s="1760" t="s">
        <v>1505</v>
      </c>
      <c r="L13" s="1862"/>
      <c r="M13" s="1863"/>
    </row>
    <row r="14" ht="18" customHeight="1" spans="1:13">
      <c r="A14" s="1739" t="s">
        <v>936</v>
      </c>
      <c r="B14" s="1708" t="s">
        <v>1507</v>
      </c>
      <c r="C14" s="1740">
        <f ca="1">INDIRECT("'数据-取费表'!m"&amp;$G$1)+INDIRECT("'数据-取费表'!t"&amp;$G$1)</f>
        <v>30670</v>
      </c>
      <c r="D14" s="1741" t="s">
        <v>1508</v>
      </c>
      <c r="E14" s="1742"/>
      <c r="F14" s="1743"/>
      <c r="G14" s="1675"/>
      <c r="H14" s="1739" t="s">
        <v>913</v>
      </c>
      <c r="I14" s="1708" t="s">
        <v>1509</v>
      </c>
      <c r="J14" s="643">
        <f ca="1">C29</f>
        <v>43474</v>
      </c>
      <c r="K14" s="1864"/>
      <c r="L14" s="1865"/>
      <c r="M14" s="1866"/>
    </row>
    <row r="15" s="1674" customFormat="1" ht="18" customHeight="1" spans="1:37">
      <c r="A15" s="1739" t="s">
        <v>940</v>
      </c>
      <c r="B15" s="1708" t="s">
        <v>1337</v>
      </c>
      <c r="C15" s="643">
        <f ca="1">ROUND(C14*F15,0)</f>
        <v>1840</v>
      </c>
      <c r="D15" s="1744" t="s">
        <v>1510</v>
      </c>
      <c r="E15" s="1744" t="s">
        <v>1511</v>
      </c>
      <c r="F15" s="1745">
        <f>'数据-取费表'!B33</f>
        <v>0.06</v>
      </c>
      <c r="G15" s="1746"/>
      <c r="H15" s="1747" t="s">
        <v>917</v>
      </c>
      <c r="I15" s="1732" t="s">
        <v>1506</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943</v>
      </c>
      <c r="B16" s="1708" t="s">
        <v>1340</v>
      </c>
      <c r="C16" s="643">
        <f ca="1">ROUND(INDIRECT("'数据-取费表'!m"&amp;$G$1)*F16,0)</f>
        <v>0</v>
      </c>
      <c r="D16" s="1708" t="s">
        <v>1510</v>
      </c>
      <c r="E16" s="1708" t="s">
        <v>1511</v>
      </c>
      <c r="F16" s="1748">
        <f ca="1">IF(INDIRECT("'数据-取费表'!c"&amp;$G$1)="住宅",'数据-取费表'!B34,0)</f>
        <v>0</v>
      </c>
      <c r="G16" s="1675"/>
      <c r="H16" s="1734" t="s">
        <v>1512</v>
      </c>
      <c r="I16" s="1735" t="s">
        <v>1513</v>
      </c>
      <c r="J16" s="1736">
        <f ca="1">ROUND(J17+J22+J23+J24,0)</f>
        <v>96</v>
      </c>
      <c r="K16" s="1760" t="s">
        <v>1514</v>
      </c>
      <c r="L16" s="1761"/>
      <c r="M16" s="1703"/>
    </row>
    <row r="17" s="1674" customFormat="1" ht="18" customHeight="1" spans="1:37">
      <c r="A17" s="1739" t="s">
        <v>1515</v>
      </c>
      <c r="B17" s="1708" t="s">
        <v>1516</v>
      </c>
      <c r="C17" s="643">
        <f ca="1">ROUND(F17*(F43+INDIRECT("'数据-取费表'!S"&amp;$G$1))/10000,0)</f>
        <v>1363</v>
      </c>
      <c r="D17" s="1708" t="s">
        <v>1517</v>
      </c>
      <c r="E17" s="1708" t="s">
        <v>1518</v>
      </c>
      <c r="F17" s="1749">
        <f>'数据-取费表'!B35</f>
        <v>200</v>
      </c>
      <c r="G17" s="1746"/>
      <c r="H17" s="1739" t="s">
        <v>913</v>
      </c>
      <c r="I17" s="1708" t="s">
        <v>1519</v>
      </c>
      <c r="J17" s="1763">
        <f ca="1">ROUND(IF(AND(项目基本情况!B11="自然人",项目基本情况!B10="北京市"),J6*M17/(1+'数据-取费表'!C42),J18+J19+J20),2)</f>
        <v>9.32</v>
      </c>
      <c r="K17" s="1741" t="s">
        <v>1520</v>
      </c>
      <c r="L17" s="1764" t="s">
        <v>1521</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1522</v>
      </c>
      <c r="B18" s="1708" t="s">
        <v>1346</v>
      </c>
      <c r="C18" s="643">
        <f ca="1">ROUND(C14*F18,0)</f>
        <v>613</v>
      </c>
      <c r="D18" s="1708" t="s">
        <v>1510</v>
      </c>
      <c r="E18" s="1708" t="s">
        <v>1511</v>
      </c>
      <c r="F18" s="1748">
        <f>'数据-取费表'!B36</f>
        <v>0.02</v>
      </c>
      <c r="G18" s="1746"/>
      <c r="H18" s="1739" t="s">
        <v>936</v>
      </c>
      <c r="I18" s="1708" t="s">
        <v>1523</v>
      </c>
      <c r="J18" s="643">
        <f ca="1">ROUND(J6*M18/(1+'数据-取费表'!C42),2)</f>
        <v>0</v>
      </c>
      <c r="K18" s="1764" t="s">
        <v>1524</v>
      </c>
      <c r="L18" s="1708" t="s">
        <v>1511</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913</v>
      </c>
      <c r="B19" s="1708" t="s">
        <v>1525</v>
      </c>
      <c r="C19" s="643">
        <f ca="1">SUM(C14:C18)</f>
        <v>34486</v>
      </c>
      <c r="D19" s="1750" t="s">
        <v>1526</v>
      </c>
      <c r="E19" s="645"/>
      <c r="F19" s="1749"/>
      <c r="G19" s="1675"/>
      <c r="H19" s="1739" t="s">
        <v>940</v>
      </c>
      <c r="I19" s="1708" t="s">
        <v>1527</v>
      </c>
      <c r="J19" s="643">
        <f ca="1">IF(K19="按租金收入计税",ROUND(J6*M19/(1+'数据-取费表'!C42),2),ROUND(C29*M19*0.7,2))</f>
        <v>0</v>
      </c>
      <c r="K19" s="1767" t="s">
        <v>1528</v>
      </c>
      <c r="L19" s="1708" t="s">
        <v>1511</v>
      </c>
      <c r="M19" s="1748">
        <f>IF(K19="按租金收入计税",'数据-取费表'!B51,'数据-取费表'!B50)</f>
        <v>0.12</v>
      </c>
    </row>
    <row r="20" s="1674" customFormat="1" ht="18" customHeight="1" spans="1:37">
      <c r="A20" s="1739" t="s">
        <v>917</v>
      </c>
      <c r="B20" s="1708" t="s">
        <v>1529</v>
      </c>
      <c r="C20" s="643">
        <f ca="1">ROUND(C19*F20,0)</f>
        <v>1035</v>
      </c>
      <c r="D20" s="1751" t="s">
        <v>1530</v>
      </c>
      <c r="E20" s="1708" t="s">
        <v>1511</v>
      </c>
      <c r="F20" s="1748">
        <f>'数据-取费表'!B37</f>
        <v>0.03</v>
      </c>
      <c r="G20" s="1746"/>
      <c r="H20" s="1739" t="s">
        <v>943</v>
      </c>
      <c r="I20" s="1707" t="s">
        <v>1531</v>
      </c>
      <c r="J20" s="1769">
        <f ca="1">ROUND(M20*M21/10000,2)</f>
        <v>9.32</v>
      </c>
      <c r="K20" s="1770" t="s">
        <v>1532</v>
      </c>
      <c r="L20" s="1708" t="s">
        <v>1533</v>
      </c>
      <c r="M20" s="1754">
        <f>'数据-取费表'!B52</f>
        <v>8</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962</v>
      </c>
      <c r="B21" s="1708" t="s">
        <v>1534</v>
      </c>
      <c r="C21" s="643" t="s">
        <v>124</v>
      </c>
      <c r="D21" s="1751" t="s">
        <v>1535</v>
      </c>
      <c r="E21" s="1708" t="s">
        <v>1536</v>
      </c>
      <c r="F21" s="1748">
        <f>'数据-取费表'!B38</f>
        <v>0.02</v>
      </c>
      <c r="G21" s="1746"/>
      <c r="H21" s="1752"/>
      <c r="I21" s="1870"/>
      <c r="J21" s="1773"/>
      <c r="K21" s="1774"/>
      <c r="L21" s="1708" t="s">
        <v>1537</v>
      </c>
      <c r="M21" s="1709">
        <f ca="1">INDIRECT("'数据-取费表'!r"&amp;$G$1)</f>
        <v>11645.87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965</v>
      </c>
      <c r="B22" s="1708" t="s">
        <v>1538</v>
      </c>
      <c r="C22" s="643"/>
      <c r="D22" s="1750" t="str">
        <f>IF(F23&lt;=1,"单利计息。","复利计息。")&amp;"建造成本、管理费用、销售费用产生的利息。"</f>
        <v>复利计息。建造成本、管理费用、销售费用产生的利息。</v>
      </c>
      <c r="E22" s="645"/>
      <c r="F22" s="1749"/>
      <c r="G22" s="1675"/>
      <c r="H22" s="1739" t="s">
        <v>917</v>
      </c>
      <c r="I22" s="1708" t="s">
        <v>1539</v>
      </c>
      <c r="J22" s="643">
        <f ca="1">ROUND(J14*M22,2)</f>
        <v>86.95</v>
      </c>
      <c r="K22" s="1764" t="s">
        <v>1540</v>
      </c>
      <c r="L22" s="1708" t="s">
        <v>1511</v>
      </c>
      <c r="M22" s="1776">
        <f ca="1">INDIRECT("'数据-取费表'!Ak"&amp;$G$1)</f>
        <v>0.002</v>
      </c>
    </row>
    <row r="23" s="1674" customFormat="1" ht="18" customHeight="1" spans="1:37">
      <c r="A23" s="1739" t="s">
        <v>936</v>
      </c>
      <c r="B23" s="1708" t="s">
        <v>1541</v>
      </c>
      <c r="C23" s="643">
        <f ca="1">IF('数据-取费表'!B22&lt;=1,ROUND(C19*F24*F23/2,0)+ROUND(C20*F24*F23/2,0),ROUND(C19*(POWER((1+F24),F23/2)-1),0)+ROUND(C20*(POWER((1+F24),F23/2)-1),0))</f>
        <v>1101</v>
      </c>
      <c r="D23" s="1753" t="str">
        <f>IF(F23&lt;=1,"(建造成本+管理费用)×利率×(建设周期÷2)","(建造成本+管理费用)×((1+利率)^(建设周期÷2)-1)")</f>
        <v>(建造成本+管理费用)×((1+利率)^(建设周期÷2)-1)</v>
      </c>
      <c r="E23" s="1708" t="s">
        <v>1542</v>
      </c>
      <c r="F23" s="1754">
        <f>'数据-取费表'!B20</f>
        <v>2</v>
      </c>
      <c r="G23" s="1746"/>
      <c r="H23" s="1739" t="s">
        <v>962</v>
      </c>
      <c r="I23" s="1708" t="s">
        <v>1543</v>
      </c>
      <c r="J23" s="643">
        <f ca="1">ROUND(J13*M23,2)</f>
        <v>0</v>
      </c>
      <c r="K23" s="1764" t="s">
        <v>1544</v>
      </c>
      <c r="L23" s="1708" t="s">
        <v>1511</v>
      </c>
      <c r="M23" s="1777">
        <f ca="1">INDIRECT("'数据-取费表'!Al"&amp;$G$1)</f>
        <v>0.001</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940</v>
      </c>
      <c r="B24" s="1708" t="s">
        <v>1545</v>
      </c>
      <c r="C24" s="643">
        <f ca="1">ROUND(IF('数据-取费表'!B22&lt;=1,F21*F24*F23/2,F21*(POWER((1+F24),F23/2)-1)),4)</f>
        <v>0.0006</v>
      </c>
      <c r="D24" s="1753" t="str">
        <f>IF(F23&lt;=1,"销售费用×利率×(建设周期÷2)","销售费用×((1+利率)^(建设周期÷2)-1)")</f>
        <v>销售费用×((1+利率)^(建设周期÷2)-1)</v>
      </c>
      <c r="E24" s="1708" t="s">
        <v>1546</v>
      </c>
      <c r="F24" s="1755">
        <f ca="1">'数据-取费表'!B40</f>
        <v>0.031</v>
      </c>
      <c r="G24" s="1746"/>
      <c r="H24" s="1747" t="s">
        <v>965</v>
      </c>
      <c r="I24" s="1732" t="s">
        <v>1529</v>
      </c>
      <c r="J24" s="1756">
        <f ca="1">ROUND(J5*M24,2)</f>
        <v>0</v>
      </c>
      <c r="K24" s="1757" t="s">
        <v>1547</v>
      </c>
      <c r="L24" s="1732" t="s">
        <v>1511</v>
      </c>
      <c r="M24" s="1733">
        <f ca="1">INDIRECT("'数据-取费表'!Am"&amp;$G$1)</f>
        <v>0.005</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24" customHeight="1" spans="1:13">
      <c r="A25" s="1739" t="s">
        <v>969</v>
      </c>
      <c r="B25" s="1708" t="s">
        <v>1548</v>
      </c>
      <c r="C25" s="643"/>
      <c r="D25" s="1750" t="s">
        <v>1549</v>
      </c>
      <c r="E25" s="645"/>
      <c r="F25" s="1749"/>
      <c r="G25" s="1675"/>
      <c r="H25" s="1734" t="s">
        <v>1550</v>
      </c>
      <c r="I25" s="1778" t="s">
        <v>1551</v>
      </c>
      <c r="J25" s="1736">
        <f ca="1">J5-J16</f>
        <v>-96</v>
      </c>
      <c r="K25" s="1779" t="s">
        <v>1552</v>
      </c>
      <c r="L25" s="1780"/>
      <c r="M25" s="1781"/>
    </row>
    <row r="26" ht="13" spans="1:13">
      <c r="A26" s="1739" t="s">
        <v>936</v>
      </c>
      <c r="B26" s="1708" t="s">
        <v>1553</v>
      </c>
      <c r="C26" s="643">
        <f ca="1">ROUND((C19+C20)*F26,0)</f>
        <v>3552</v>
      </c>
      <c r="D26" s="1751" t="s">
        <v>1554</v>
      </c>
      <c r="E26" s="1721" t="s">
        <v>1555</v>
      </c>
      <c r="F26" s="1718">
        <f ca="1">INDIRECT("'数据-取费表'!q"&amp;$G$1)</f>
        <v>0.1</v>
      </c>
      <c r="G26" s="1675"/>
      <c r="H26" s="1698" t="s">
        <v>1556</v>
      </c>
      <c r="I26" s="1699" t="s">
        <v>1557</v>
      </c>
      <c r="J26" s="1782">
        <f ca="1">IF(J5&lt;&gt;0,ROUND(J25*(1-((1+M28)/(1+M26))^M27)/(M26-M28),0),0)</f>
        <v>0</v>
      </c>
      <c r="K26" s="1770" t="s">
        <v>1558</v>
      </c>
      <c r="L26" s="1708" t="s">
        <v>1559</v>
      </c>
      <c r="M26" s="1718">
        <f ca="1">INDIRECT("'数据-取费表'!I"&amp;$G$1)</f>
        <v>0.055</v>
      </c>
    </row>
    <row r="27" ht="18" customHeight="1" spans="1:13">
      <c r="A27" s="1739" t="s">
        <v>940</v>
      </c>
      <c r="B27" s="1708" t="s">
        <v>1560</v>
      </c>
      <c r="C27" s="643">
        <f ca="1">ROUND(F21*F26,4)</f>
        <v>0.002</v>
      </c>
      <c r="D27" s="1751" t="s">
        <v>1561</v>
      </c>
      <c r="E27" s="1744"/>
      <c r="F27" s="1745"/>
      <c r="G27" s="1675"/>
      <c r="H27" s="1715"/>
      <c r="I27" s="1784"/>
      <c r="J27" s="1716"/>
      <c r="K27" s="1785" t="s">
        <v>1562</v>
      </c>
      <c r="L27" s="1708" t="s">
        <v>1563</v>
      </c>
      <c r="M27" s="1786">
        <f ca="1">INDIRECT("'数据-取费表'!ag"&amp;$G$1)</f>
        <v>0</v>
      </c>
    </row>
    <row r="28" s="1674" customFormat="1" ht="18" customHeight="1" spans="1:37">
      <c r="A28" s="1739" t="s">
        <v>970</v>
      </c>
      <c r="B28" s="1708" t="s">
        <v>1564</v>
      </c>
      <c r="C28" s="643">
        <f>ROUND(F28/(1+'数据-取费表'!C42),4)</f>
        <v>0.0533</v>
      </c>
      <c r="D28" s="1751" t="s">
        <v>1565</v>
      </c>
      <c r="E28" s="1708" t="s">
        <v>1511</v>
      </c>
      <c r="F28" s="1748">
        <f>'数据-取费表'!B41</f>
        <v>0.056</v>
      </c>
      <c r="G28" s="1746"/>
      <c r="H28" s="1723"/>
      <c r="I28" s="1788"/>
      <c r="J28" s="1736"/>
      <c r="K28" s="1774"/>
      <c r="L28" s="1708" t="s">
        <v>1566</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1371</v>
      </c>
      <c r="B29" s="1732" t="s">
        <v>1567</v>
      </c>
      <c r="C29" s="1756">
        <f ca="1">ROUND((C19+C20+C23+C26)/(1-F21-C24-C27-C28),0)</f>
        <v>43474</v>
      </c>
      <c r="D29" s="1757"/>
      <c r="E29" s="1732"/>
      <c r="F29" s="1758"/>
      <c r="G29" s="1746"/>
      <c r="H29" s="1759" t="s">
        <v>1568</v>
      </c>
      <c r="I29" s="1789" t="s">
        <v>1569</v>
      </c>
      <c r="J29" s="1790">
        <f ca="1">ROUND(J26/(1+F40)^F41,0)</f>
        <v>0</v>
      </c>
      <c r="K29" s="1791" t="s">
        <v>1570</v>
      </c>
      <c r="L29" s="1792"/>
      <c r="M29" s="1793">
        <f ca="1">INDIRECT("'数据-取费表'!k"&amp;$G$1)</f>
        <v>66363.26</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1512</v>
      </c>
      <c r="B30" s="1735" t="s">
        <v>1513</v>
      </c>
      <c r="C30" s="1736">
        <f ca="1">ROUND(C31+C36+C37+C38,0)</f>
        <v>617</v>
      </c>
      <c r="D30" s="1760" t="s">
        <v>1514</v>
      </c>
      <c r="E30" s="1761"/>
      <c r="F30" s="1703"/>
      <c r="G30" s="1675"/>
      <c r="H30" s="1762"/>
      <c r="I30" s="1871"/>
      <c r="J30" s="1872"/>
      <c r="K30" s="1873"/>
      <c r="L30" s="1874"/>
      <c r="M30" s="1875"/>
    </row>
    <row r="31" ht="18" customHeight="1" spans="1:13">
      <c r="A31" s="1739" t="s">
        <v>913</v>
      </c>
      <c r="B31" s="1708" t="s">
        <v>1519</v>
      </c>
      <c r="C31" s="1763">
        <f ca="1">ROUND(IF(AND(项目基本情况!B11="自然人",项目基本情况!B10="北京市"),C6*F31/(1+'数据-取费表'!C42),C32+C33+C34),2)</f>
        <v>472.79</v>
      </c>
      <c r="D31" s="1741" t="s">
        <v>1520</v>
      </c>
      <c r="E31" s="1764" t="s">
        <v>1521</v>
      </c>
      <c r="F31" s="1765" t="str">
        <f ca="1">IF(项目基本情况!B11="企业","——",IF(M47="住宅",IF(F6*F7*F8/12/(1+'数据-取费表'!F30)&gt;100000,4%,2.5%),IF(F6*F7*F8/12/(1+'数据-取费表'!F30)&gt;100000,12%,7%)))</f>
        <v>——</v>
      </c>
      <c r="G31" s="1675"/>
      <c r="H31" s="1766" t="s">
        <v>1571</v>
      </c>
      <c r="I31" s="1871"/>
      <c r="J31" s="1872"/>
      <c r="K31" s="1873"/>
      <c r="L31" s="1874"/>
      <c r="M31" s="1875"/>
    </row>
    <row r="32" ht="18" customHeight="1" spans="1:13">
      <c r="A32" s="1739" t="s">
        <v>936</v>
      </c>
      <c r="B32" s="1708" t="s">
        <v>1523</v>
      </c>
      <c r="C32" s="643">
        <f ca="1">IF(项目基本情况!B11="自然人","——",ROUND(C6*F32/(1+'数据-取费表'!C42),2))</f>
        <v>147.47</v>
      </c>
      <c r="D32" s="1764" t="s">
        <v>1524</v>
      </c>
      <c r="E32" s="1708" t="s">
        <v>1511</v>
      </c>
      <c r="F32" s="1755">
        <f>'数据-取费表'!B41</f>
        <v>0.056</v>
      </c>
      <c r="G32" s="1675"/>
      <c r="H32" s="1762"/>
      <c r="I32" s="1871"/>
      <c r="J32" s="1872"/>
      <c r="K32" s="1873"/>
      <c r="L32" s="1874"/>
      <c r="M32" s="1875"/>
    </row>
    <row r="33" ht="18" customHeight="1" spans="1:13">
      <c r="A33" s="1739" t="s">
        <v>940</v>
      </c>
      <c r="B33" s="1708" t="s">
        <v>1527</v>
      </c>
      <c r="C33" s="643">
        <f ca="1">IF(项目基本情况!B11="自然人","——",IF(D33="按租金收入计税",ROUND(C6*F33/(1+'数据-取费表'!C42),2),IF(D33="按房产原值计税",ROUND(C29*F33*0.7,2),INDIRECT("'数据-取费表'!Aj"&amp;$G$1))))</f>
        <v>316</v>
      </c>
      <c r="D33" s="1767" t="s">
        <v>1528</v>
      </c>
      <c r="E33" s="1708" t="s">
        <v>1511</v>
      </c>
      <c r="F33" s="1748">
        <f>IF(D33="按票据","——",IF(D33="按租金收入计税",'数据-取费表'!B51,'数据-取费表'!B50))</f>
        <v>0.12</v>
      </c>
      <c r="G33" s="1675"/>
      <c r="H33" s="1768"/>
      <c r="I33" s="1871"/>
      <c r="J33" s="1872"/>
      <c r="K33" s="1876"/>
      <c r="L33" s="1768"/>
      <c r="M33" s="1768"/>
    </row>
    <row r="34" ht="18" customHeight="1" spans="1:13">
      <c r="A34" s="1704" t="s">
        <v>943</v>
      </c>
      <c r="B34" s="1707" t="s">
        <v>1531</v>
      </c>
      <c r="C34" s="1769">
        <f ca="1">IF(项目基本情况!B11="自然人","——",ROUND(F34*F35/10000,2))</f>
        <v>9.32</v>
      </c>
      <c r="D34" s="1770" t="s">
        <v>1532</v>
      </c>
      <c r="E34" s="1708" t="s">
        <v>1533</v>
      </c>
      <c r="F34" s="1754">
        <f>'数据-取费表'!B52</f>
        <v>8</v>
      </c>
      <c r="G34" s="1675"/>
      <c r="H34" s="1762"/>
      <c r="I34" s="1871"/>
      <c r="J34" s="1872"/>
      <c r="K34" s="1877"/>
      <c r="L34" s="1878"/>
      <c r="M34" s="1878"/>
    </row>
    <row r="35" ht="18" customHeight="1" spans="1:13">
      <c r="A35" s="1771"/>
      <c r="B35" s="1772"/>
      <c r="C35" s="1773"/>
      <c r="D35" s="1774"/>
      <c r="E35" s="1708" t="s">
        <v>1537</v>
      </c>
      <c r="F35" s="1709">
        <f ca="1">INDIRECT("'数据-取费表'!r"&amp;$G$1)</f>
        <v>11645.87</v>
      </c>
      <c r="G35" s="1675"/>
      <c r="H35" s="1762"/>
      <c r="I35" s="1871"/>
      <c r="J35" s="1872"/>
      <c r="K35" s="1876"/>
      <c r="L35" s="1768"/>
      <c r="M35" s="1768"/>
    </row>
    <row r="36" ht="18" customHeight="1" spans="1:13">
      <c r="A36" s="1775" t="s">
        <v>917</v>
      </c>
      <c r="B36" s="1708" t="s">
        <v>1539</v>
      </c>
      <c r="C36" s="643">
        <f ca="1">ROUND(C29*F36,2)</f>
        <v>86.95</v>
      </c>
      <c r="D36" s="1764" t="s">
        <v>1572</v>
      </c>
      <c r="E36" s="1708" t="s">
        <v>1511</v>
      </c>
      <c r="F36" s="1776">
        <f ca="1">INDIRECT("'数据-取费表'!Ak"&amp;$G$1)</f>
        <v>0.002</v>
      </c>
      <c r="G36" s="1675"/>
      <c r="H36" s="1768"/>
      <c r="I36" s="1871"/>
      <c r="J36" s="1872"/>
      <c r="K36" s="1879"/>
      <c r="L36" s="1768"/>
      <c r="M36" s="1768"/>
    </row>
    <row r="37" ht="18" customHeight="1" spans="1:13">
      <c r="A37" s="1739" t="s">
        <v>962</v>
      </c>
      <c r="B37" s="1708" t="s">
        <v>1543</v>
      </c>
      <c r="C37" s="643">
        <f ca="1">ROUND(C13*F37,2)</f>
        <v>43.47</v>
      </c>
      <c r="D37" s="1764" t="s">
        <v>1544</v>
      </c>
      <c r="E37" s="1708" t="s">
        <v>1511</v>
      </c>
      <c r="F37" s="1777">
        <f ca="1">INDIRECT("'数据-取费表'!Al"&amp;$G$1)</f>
        <v>0.001</v>
      </c>
      <c r="G37" s="1675"/>
      <c r="H37" s="1768"/>
      <c r="I37" s="1871"/>
      <c r="J37" s="1872"/>
      <c r="K37" s="1879"/>
      <c r="L37" s="1768"/>
      <c r="M37" s="1768"/>
    </row>
    <row r="38" ht="18" customHeight="1" spans="1:13">
      <c r="A38" s="1747" t="s">
        <v>965</v>
      </c>
      <c r="B38" s="1732" t="s">
        <v>1529</v>
      </c>
      <c r="C38" s="1756">
        <f ca="1">ROUND(C5*F38,2)</f>
        <v>13.84</v>
      </c>
      <c r="D38" s="1757" t="s">
        <v>1547</v>
      </c>
      <c r="E38" s="1732" t="s">
        <v>1511</v>
      </c>
      <c r="F38" s="1733">
        <f ca="1">INDIRECT("'数据-取费表'!Am"&amp;$G$1)</f>
        <v>0.005</v>
      </c>
      <c r="G38" s="1675"/>
      <c r="H38" s="1768"/>
      <c r="I38" s="1871"/>
      <c r="J38" s="1872"/>
      <c r="K38" s="1880"/>
      <c r="L38" s="1768"/>
      <c r="M38" s="1768"/>
    </row>
    <row r="39" ht="24.6" customHeight="1" spans="1:13">
      <c r="A39" s="1734" t="s">
        <v>1550</v>
      </c>
      <c r="B39" s="1778" t="s">
        <v>1551</v>
      </c>
      <c r="C39" s="1736">
        <f ca="1">C5-C30</f>
        <v>2151</v>
      </c>
      <c r="D39" s="1779" t="s">
        <v>1552</v>
      </c>
      <c r="E39" s="1780"/>
      <c r="F39" s="1781"/>
      <c r="G39" s="1675"/>
      <c r="H39" s="1768"/>
      <c r="I39" s="1871"/>
      <c r="J39" s="1872"/>
      <c r="K39" s="1880"/>
      <c r="L39" s="1768"/>
      <c r="M39" s="1768"/>
    </row>
    <row r="40" ht="18" customHeight="1" spans="1:13">
      <c r="A40" s="1698" t="s">
        <v>1556</v>
      </c>
      <c r="B40" s="1699" t="s">
        <v>1573</v>
      </c>
      <c r="C40" s="1782">
        <f ca="1">ROUND(C39*(1-((1+F42)/(1+F40))^F41)/(F40-F42),0)</f>
        <v>35903</v>
      </c>
      <c r="D40" s="1770" t="s">
        <v>1558</v>
      </c>
      <c r="E40" s="1708" t="s">
        <v>1559</v>
      </c>
      <c r="F40" s="1718">
        <f ca="1">INDIRECT("'数据-取费表'!I"&amp;$G$1)</f>
        <v>0.055</v>
      </c>
      <c r="G40" s="1675"/>
      <c r="H40" s="1783"/>
      <c r="I40" s="1871"/>
      <c r="J40" s="1872"/>
      <c r="K40" s="1880"/>
      <c r="L40" s="1783"/>
      <c r="M40" s="1783"/>
    </row>
    <row r="41" ht="18" customHeight="1" spans="1:13">
      <c r="A41" s="1715"/>
      <c r="B41" s="1784"/>
      <c r="C41" s="1716"/>
      <c r="D41" s="1785" t="s">
        <v>1562</v>
      </c>
      <c r="E41" s="1708" t="s">
        <v>1563</v>
      </c>
      <c r="F41" s="1786">
        <f ca="1">IF(INDIRECT("'数据-取费表'!af"&amp;$G$1)=0,INDIRECT("'数据-取费表'!ae"&amp;$G$1),INDIRECT("'数据-取费表'!af"&amp;$G$1))</f>
        <v>26.01</v>
      </c>
      <c r="G41" s="1675"/>
      <c r="H41" s="1787"/>
      <c r="I41" s="1871"/>
      <c r="J41" s="1872"/>
      <c r="K41" s="1879"/>
      <c r="L41" s="1787"/>
      <c r="M41" s="1787"/>
    </row>
    <row r="42" ht="18" customHeight="1" spans="1:13">
      <c r="A42" s="1723"/>
      <c r="B42" s="1788"/>
      <c r="C42" s="1736"/>
      <c r="D42" s="1774"/>
      <c r="E42" s="1708" t="s">
        <v>1566</v>
      </c>
      <c r="F42" s="1718">
        <f ca="1">INDIRECT("'数据-取费表'!v"&amp;$G$1)</f>
        <v>0.02</v>
      </c>
      <c r="G42" s="1675"/>
      <c r="H42" s="1787"/>
      <c r="I42" s="1871"/>
      <c r="J42" s="1872"/>
      <c r="K42" s="1879"/>
      <c r="L42" s="1787"/>
      <c r="M42" s="1787"/>
    </row>
    <row r="43" ht="18" customHeight="1" spans="1:13">
      <c r="A43" s="1759" t="s">
        <v>1568</v>
      </c>
      <c r="B43" s="1789" t="s">
        <v>1574</v>
      </c>
      <c r="C43" s="1790">
        <f ca="1">ROUND(C40*10000/F43,0)</f>
        <v>5410</v>
      </c>
      <c r="D43" s="1791" t="s">
        <v>1575</v>
      </c>
      <c r="E43" s="1792" t="s">
        <v>1576</v>
      </c>
      <c r="F43" s="1793">
        <f ca="1">INDIRECT("'数据-取费表'!k"&amp;$G$1)</f>
        <v>66363.26</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4"/>
      <c r="B45" s="1794"/>
      <c r="C45" s="1795"/>
      <c r="D45" s="1794"/>
      <c r="E45" s="1794"/>
      <c r="F45" s="1794"/>
      <c r="J45" s="678"/>
      <c r="O45" s="1982" t="s">
        <v>1577</v>
      </c>
      <c r="P45" s="1783"/>
      <c r="Q45" s="1783"/>
      <c r="R45" s="1783"/>
    </row>
    <row r="46" s="1675" customFormat="1" ht="13.75" spans="1:18">
      <c r="A46" s="1799" t="s">
        <v>1578</v>
      </c>
      <c r="C46" s="1800">
        <f ca="1">C68-C40</f>
        <v>-37802</v>
      </c>
      <c r="D46" s="1801" t="str">
        <f>C2</f>
        <v>万元</v>
      </c>
      <c r="E46" s="1794"/>
      <c r="F46" s="1794"/>
      <c r="I46" s="1883" t="s">
        <v>1579</v>
      </c>
      <c r="J46" s="1884"/>
      <c r="K46" s="1885"/>
      <c r="L46" s="1886">
        <f ca="1">IF(M47="住宅",0,IF(L48&gt;J51,L60,J60))</f>
        <v>4234</v>
      </c>
      <c r="O46" s="1887" t="s">
        <v>1580</v>
      </c>
      <c r="P46" s="1888" t="s">
        <v>1581</v>
      </c>
      <c r="Q46" s="1935" t="s">
        <v>1582</v>
      </c>
      <c r="R46" s="1935" t="s">
        <v>1583</v>
      </c>
    </row>
    <row r="47" s="1675" customFormat="1" ht="13.75" spans="1:18">
      <c r="A47" s="1802" t="s">
        <v>1483</v>
      </c>
      <c r="B47" s="1803" t="s">
        <v>1484</v>
      </c>
      <c r="C47" s="1977" t="s">
        <v>1485</v>
      </c>
      <c r="D47" s="1803" t="s">
        <v>1486</v>
      </c>
      <c r="E47" s="1804" t="s">
        <v>1487</v>
      </c>
      <c r="F47" s="636"/>
      <c r="G47" s="1805"/>
      <c r="I47" s="1889" t="s">
        <v>1584</v>
      </c>
      <c r="J47" s="1890" t="s">
        <v>1585</v>
      </c>
      <c r="K47" s="1891" t="s">
        <v>1586</v>
      </c>
      <c r="L47" s="1892">
        <f ca="1">INDIRECT("'数据-取费表'!d"&amp;$G$1)</f>
        <v>40</v>
      </c>
      <c r="M47" s="1893" t="str">
        <f>IF(ISNUMBER(FIND("住宅",C1)),"住宅","非住宅")</f>
        <v>非住宅</v>
      </c>
      <c r="O47" s="1894" t="s">
        <v>1019</v>
      </c>
      <c r="P47" s="1895" t="s">
        <v>1587</v>
      </c>
      <c r="Q47" s="1936">
        <f ca="1">C40+J29</f>
        <v>35903</v>
      </c>
      <c r="R47" s="1936" t="s">
        <v>1588</v>
      </c>
    </row>
    <row r="48" s="1675" customFormat="1" ht="42.75" spans="1:18">
      <c r="A48" s="1806" t="s">
        <v>1589</v>
      </c>
      <c r="B48" s="1699" t="s">
        <v>1488</v>
      </c>
      <c r="C48" s="644">
        <f ca="1">C49+C53+C55</f>
        <v>0</v>
      </c>
      <c r="D48" s="1807"/>
      <c r="E48" s="1808"/>
      <c r="F48" s="1809"/>
      <c r="G48" s="1805"/>
      <c r="H48" s="1810"/>
      <c r="I48" s="1896" t="s">
        <v>1590</v>
      </c>
      <c r="J48" s="1897" t="s">
        <v>1591</v>
      </c>
      <c r="K48" s="1898" t="s">
        <v>1592</v>
      </c>
      <c r="L48" s="1899">
        <f ca="1">INDIRECT("'数据-取费表'!f"&amp;$G$1)</f>
        <v>26.03</v>
      </c>
      <c r="O48" s="1894" t="s">
        <v>1022</v>
      </c>
      <c r="P48" s="1895" t="s">
        <v>1593</v>
      </c>
      <c r="Q48" s="1936">
        <f ca="1">J60</f>
        <v>4234</v>
      </c>
      <c r="R48" s="1936" t="s">
        <v>1594</v>
      </c>
    </row>
    <row r="49" s="1675" customFormat="1" ht="13.75" spans="1:18">
      <c r="A49" s="1811" t="s">
        <v>1595</v>
      </c>
      <c r="B49" s="1812" t="s">
        <v>1596</v>
      </c>
      <c r="C49" s="1813">
        <f ca="1">ROUND(F49*F51*F50*(1-F52)/10000,0)</f>
        <v>0</v>
      </c>
      <c r="D49" s="1814" t="s">
        <v>1493</v>
      </c>
      <c r="E49" s="1815" t="s">
        <v>1597</v>
      </c>
      <c r="F49" s="1816"/>
      <c r="G49" s="1817"/>
      <c r="H49" s="1810"/>
      <c r="I49" s="1896" t="s">
        <v>1598</v>
      </c>
      <c r="J49" s="1900">
        <v>2024</v>
      </c>
      <c r="K49" s="1898" t="s">
        <v>1599</v>
      </c>
      <c r="L49" s="1901"/>
      <c r="O49" s="1902" t="s">
        <v>1600</v>
      </c>
      <c r="P49" s="1895" t="s">
        <v>1601</v>
      </c>
      <c r="Q49" s="1936">
        <f ca="1">C29</f>
        <v>43474</v>
      </c>
      <c r="R49" s="1936" t="s">
        <v>1588</v>
      </c>
    </row>
    <row r="50" s="1675" customFormat="1" ht="13.75" spans="1:18">
      <c r="A50" s="1818"/>
      <c r="B50" s="1819"/>
      <c r="C50" s="1978"/>
      <c r="D50" s="1821"/>
      <c r="E50" s="1822" t="s">
        <v>1494</v>
      </c>
      <c r="F50" s="1823">
        <f ca="1">F7</f>
        <v>56121.31</v>
      </c>
      <c r="H50" s="1810"/>
      <c r="I50" s="1896" t="s">
        <v>1602</v>
      </c>
      <c r="J50" s="1903">
        <f>SUMPRODUCT((I63:I65=J47)*(J62:L62=J48)*(J63:L65))</f>
        <v>60</v>
      </c>
      <c r="K50" s="1898" t="s">
        <v>1603</v>
      </c>
      <c r="L50" s="1901"/>
      <c r="M50" s="1904"/>
      <c r="O50" s="1902" t="s">
        <v>1604</v>
      </c>
      <c r="P50" s="1895" t="s">
        <v>1605</v>
      </c>
      <c r="Q50" s="1937">
        <f ca="1">J58</f>
        <v>0.566</v>
      </c>
      <c r="R50" s="1936"/>
    </row>
    <row r="51" s="1675" customFormat="1" ht="13.75" spans="1:18">
      <c r="A51" s="1824"/>
      <c r="B51" s="1819"/>
      <c r="C51" s="1820"/>
      <c r="D51" s="1821"/>
      <c r="E51" s="1825" t="s">
        <v>1495</v>
      </c>
      <c r="F51" s="1709">
        <f ca="1">F8</f>
        <v>365</v>
      </c>
      <c r="I51" s="1905" t="s">
        <v>1606</v>
      </c>
      <c r="J51" s="1906">
        <f>IF(J49="",J50,J49+J50-YEAR('数据-取费表'!B2))</f>
        <v>60</v>
      </c>
      <c r="K51" s="1907" t="s">
        <v>1607</v>
      </c>
      <c r="L51" s="1908">
        <f ca="1">ROUND(-PV(INDIRECT("'数据-取费表'!h"&amp;$G$1),J51,(C39-C13*C76),0),0)</f>
        <v>-16888</v>
      </c>
      <c r="M51" s="1909"/>
      <c r="O51" s="1902" t="s">
        <v>1608</v>
      </c>
      <c r="P51" s="1895" t="s">
        <v>1609</v>
      </c>
      <c r="Q51" s="1937">
        <f>J52</f>
        <v>0.07</v>
      </c>
      <c r="R51" s="1936"/>
    </row>
    <row r="52" s="1675" customFormat="1" ht="13.75" spans="1:18">
      <c r="A52" s="1824"/>
      <c r="B52" s="1819"/>
      <c r="C52" s="1820"/>
      <c r="D52" s="1821"/>
      <c r="E52" s="1825" t="s">
        <v>1496</v>
      </c>
      <c r="F52" s="1826"/>
      <c r="I52" s="1910" t="s">
        <v>1610</v>
      </c>
      <c r="J52" s="1911">
        <v>0.07</v>
      </c>
      <c r="K52" s="1910" t="s">
        <v>1611</v>
      </c>
      <c r="L52" s="1911"/>
      <c r="O52" s="1902" t="s">
        <v>1612</v>
      </c>
      <c r="P52" s="1895" t="s">
        <v>1613</v>
      </c>
      <c r="Q52" s="1936">
        <f ca="1">J53</f>
        <v>26.01</v>
      </c>
      <c r="R52" s="1936" t="s">
        <v>1614</v>
      </c>
    </row>
    <row r="53" s="1675" customFormat="1" ht="26.75" spans="1:18">
      <c r="A53" s="1979" t="s">
        <v>1615</v>
      </c>
      <c r="B53" s="1980" t="s">
        <v>1497</v>
      </c>
      <c r="C53" s="642">
        <f ca="1">ROUND(IF(F53="押一",C49/12*F11,IF(F53="押二",C49/12*2*F11,IF(F53="押三",C49/12*3*F11,C54*F11))),0)</f>
        <v>0</v>
      </c>
      <c r="D53" s="1720" t="s">
        <v>1498</v>
      </c>
      <c r="E53" s="1721" t="s">
        <v>1499</v>
      </c>
      <c r="F53" s="1722"/>
      <c r="I53" s="1912" t="s">
        <v>1616</v>
      </c>
      <c r="J53" s="1913">
        <f ca="1">IF(M47="住宅",IF(D1="——",MAX(J51,L48),MAX(J51,L48-'数据-取费表'!B24)),IF(D1="——",MIN(J51,L48),MIN(J51,L48-'数据-取费表'!B24)))</f>
        <v>26.01</v>
      </c>
      <c r="K53" s="1914" t="s">
        <v>1617</v>
      </c>
      <c r="L53" s="1915"/>
      <c r="O53" s="1894" t="s">
        <v>1339</v>
      </c>
      <c r="P53" s="1895" t="s">
        <v>1618</v>
      </c>
      <c r="Q53" s="1936">
        <f ca="1">Q47+Q48</f>
        <v>40137</v>
      </c>
      <c r="R53" s="1936" t="s">
        <v>1619</v>
      </c>
    </row>
    <row r="54" s="1675" customFormat="1" ht="26.75" spans="1:18">
      <c r="A54" s="1981"/>
      <c r="B54" s="1724" t="s">
        <v>1501</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17"/>
      <c r="O54" s="1882" t="s">
        <v>1620</v>
      </c>
      <c r="P54" s="1918"/>
      <c r="Q54" s="1918"/>
      <c r="R54" s="1918"/>
    </row>
    <row r="55" s="1675" customFormat="1" ht="13.75" spans="1:18">
      <c r="A55" s="1728" t="s">
        <v>962</v>
      </c>
      <c r="B55" s="1729" t="s">
        <v>1503</v>
      </c>
      <c r="C55" s="1730"/>
      <c r="D55" s="1720"/>
      <c r="E55" s="1829"/>
      <c r="F55" s="1830"/>
      <c r="I55" s="1919" t="s">
        <v>1621</v>
      </c>
      <c r="J55" s="1920">
        <f ca="1">ROUND(IF(J47="钢混",J57/J50,1-(1-2%)*(J50-J57)/J50),3)</f>
        <v>0.566</v>
      </c>
      <c r="K55" s="1921" t="s">
        <v>1622</v>
      </c>
      <c r="L55" s="1922"/>
      <c r="O55" s="1887" t="s">
        <v>1580</v>
      </c>
      <c r="P55" s="1888" t="s">
        <v>1581</v>
      </c>
      <c r="Q55" s="1935" t="s">
        <v>1582</v>
      </c>
      <c r="R55" s="1935" t="s">
        <v>1583</v>
      </c>
    </row>
    <row r="56" s="1675" customFormat="1" ht="40.5" spans="1:18">
      <c r="A56" s="1831">
        <v>2</v>
      </c>
      <c r="B56" s="1832" t="s">
        <v>1504</v>
      </c>
      <c r="C56" s="429">
        <f ca="1">C13</f>
        <v>43474</v>
      </c>
      <c r="D56" s="1833"/>
      <c r="E56" s="1834"/>
      <c r="F56" s="1830"/>
      <c r="I56" s="1923" t="s">
        <v>1623</v>
      </c>
      <c r="J56" s="1924" t="s">
        <v>1624</v>
      </c>
      <c r="K56" s="1896" t="s">
        <v>1625</v>
      </c>
      <c r="L56" s="1899" t="str">
        <f ca="1">IF(L48&lt;J51,"——",L48-J53)</f>
        <v>——</v>
      </c>
      <c r="O56" s="1894" t="s">
        <v>1019</v>
      </c>
      <c r="P56" s="1895" t="s">
        <v>1587</v>
      </c>
      <c r="Q56" s="1936">
        <f ca="1">C40+J29</f>
        <v>35903</v>
      </c>
      <c r="R56" s="1936" t="s">
        <v>1588</v>
      </c>
    </row>
    <row r="57" s="1675" customFormat="1" ht="26.75" spans="1:18">
      <c r="A57" s="1835"/>
      <c r="B57" s="1836" t="s">
        <v>1567</v>
      </c>
      <c r="C57" s="439">
        <f ca="1">C29</f>
        <v>43474</v>
      </c>
      <c r="D57" s="1837"/>
      <c r="E57" s="1838"/>
      <c r="F57" s="1839"/>
      <c r="I57" s="1925" t="s">
        <v>1626</v>
      </c>
      <c r="J57" s="1926">
        <f ca="1">IF(OR(M47="住宅",J51&lt;L48,J56="是"),"——",J51-L48)</f>
        <v>33.97</v>
      </c>
      <c r="K57" s="1896" t="s">
        <v>1627</v>
      </c>
      <c r="L57" s="1899" t="str">
        <f ca="1">IF(L48&lt;J51,"——",IF(L55="比较法",L49,IF(L55="基准地价",L50,L51)))</f>
        <v>——</v>
      </c>
      <c r="O57" s="1894" t="s">
        <v>1022</v>
      </c>
      <c r="P57" s="1895" t="s">
        <v>1628</v>
      </c>
      <c r="Q57" s="1936">
        <f ca="1">L60</f>
        <v>0</v>
      </c>
      <c r="R57" s="1936" t="s">
        <v>1629</v>
      </c>
    </row>
    <row r="58" s="1675" customFormat="1" ht="26.75" spans="1:18">
      <c r="A58" s="1840" t="s">
        <v>1512</v>
      </c>
      <c r="B58" s="1832" t="s">
        <v>1513</v>
      </c>
      <c r="C58" s="642">
        <f ca="1">ROUND(C59+C64+C65+C66,0)</f>
        <v>139</v>
      </c>
      <c r="D58" s="1841" t="s">
        <v>1514</v>
      </c>
      <c r="E58" s="1842"/>
      <c r="F58" s="1809"/>
      <c r="I58" s="1925" t="s">
        <v>1630</v>
      </c>
      <c r="J58" s="1927">
        <f ca="1">IF(J55&lt;0.4,0.4,J55)</f>
        <v>0.566</v>
      </c>
      <c r="K58" s="1907" t="s">
        <v>1631</v>
      </c>
      <c r="L58" s="1899" t="e">
        <f ca="1">ROUND(POWER(1+L52,L47-L48)*(POWER(1+L52,L48)-1)/(POWER(1+L52,L47)-1),4)</f>
        <v>#DIV/0!</v>
      </c>
      <c r="O58" s="1902" t="s">
        <v>1600</v>
      </c>
      <c r="P58" s="1895" t="s">
        <v>1632</v>
      </c>
      <c r="Q58" s="1936">
        <f>IF(L55="比较法",L49,IF(L55="基准地价",L50,0))</f>
        <v>0</v>
      </c>
      <c r="R58" s="1936" t="s">
        <v>1588</v>
      </c>
    </row>
    <row r="59" s="1675" customFormat="1" ht="26.75" spans="1:18">
      <c r="A59" s="1739" t="s">
        <v>913</v>
      </c>
      <c r="B59" s="1836" t="s">
        <v>1519</v>
      </c>
      <c r="C59" s="1763">
        <f ca="1">ROUND(IF(AND(项目基本情况!B11="自然人",项目基本情况!B10="北京市"),C49*F59/(1+'数据-取费表'!C42),C60+C61+C62),0)</f>
        <v>9</v>
      </c>
      <c r="D59" s="1843" t="s">
        <v>1520</v>
      </c>
      <c r="E59" s="1844" t="s">
        <v>1521</v>
      </c>
      <c r="F59" s="1765" t="str">
        <f ca="1">IF(项目基本情况!B11="企业","——",IF('数据-取费表'!B10="住宅",IF(F49*F50*F51/12/(1+'数据-取费表'!F30)&gt;100000,4%,2.5%),IF(F49*F50*F51/12/(1+'数据-取费表'!F30)&gt;100000,12%,7%)))</f>
        <v>——</v>
      </c>
      <c r="I59" s="1925" t="s">
        <v>1633</v>
      </c>
      <c r="J59" s="1926">
        <f ca="1">IF(OR(M47="住宅",J51&lt;L48,J56="是"),"——",ROUND(C29*J58,0))</f>
        <v>24606</v>
      </c>
      <c r="K59" s="18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9"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1902" t="s">
        <v>1604</v>
      </c>
      <c r="P59" s="1895" t="s">
        <v>1634</v>
      </c>
      <c r="Q59" s="1937">
        <f>L52</f>
        <v>0</v>
      </c>
      <c r="R59" s="1936"/>
    </row>
    <row r="60" s="1675" customFormat="1" ht="16.75" spans="1:18">
      <c r="A60" s="1739" t="s">
        <v>936</v>
      </c>
      <c r="B60" s="1836" t="s">
        <v>1523</v>
      </c>
      <c r="C60" s="643">
        <f ca="1">IF(项目基本情况!B11="自然人","——",ROUND(C48*F60/(1+'数据-取费表'!C42),2))</f>
        <v>0</v>
      </c>
      <c r="D60" s="1844" t="s">
        <v>1524</v>
      </c>
      <c r="E60" s="1836" t="s">
        <v>1511</v>
      </c>
      <c r="F60" s="1755">
        <f t="shared" ref="F60:F66" si="0">F32</f>
        <v>0.056</v>
      </c>
      <c r="I60" s="1928" t="s">
        <v>1635</v>
      </c>
      <c r="J60" s="1929">
        <f ca="1">IF(OR(M47="住宅",J51&lt;L48,J56="是"),"0",ROUND(J59/(1+J52)^J53,0))</f>
        <v>4234</v>
      </c>
      <c r="K60" s="1930" t="s">
        <v>1636</v>
      </c>
      <c r="L60" s="1929">
        <f ca="1">IF(OR(M47="住宅",L48&lt;J51),0,ROUND(L57*(L58/L59-1),0))</f>
        <v>0</v>
      </c>
      <c r="O60" s="1902" t="s">
        <v>1608</v>
      </c>
      <c r="P60" s="1895" t="s">
        <v>1637</v>
      </c>
      <c r="Q60" s="1936" t="e">
        <f ca="1">L58</f>
        <v>#DIV/0!</v>
      </c>
      <c r="R60" s="1936" t="s">
        <v>1638</v>
      </c>
    </row>
    <row r="61" s="1675" customFormat="1" ht="13.75" spans="1:18">
      <c r="A61" s="1739" t="s">
        <v>940</v>
      </c>
      <c r="B61" s="1836" t="s">
        <v>1527</v>
      </c>
      <c r="C61" s="643">
        <f ca="1">IF(项目基本情况!B11="自然人","——",IF(D61="按租金收入计税",ROUND(C49*F61/(1+'数据-取费表'!C42),2),IF(D61="按房产原值计税",ROUND(C57*F61*0.7,2),INDIRECT("'数据-取费表'!Aj"&amp;$G$1))))</f>
        <v>0</v>
      </c>
      <c r="D61" s="1767" t="s">
        <v>1528</v>
      </c>
      <c r="E61" s="1836" t="s">
        <v>1511</v>
      </c>
      <c r="F61" s="1748">
        <f t="shared" si="0"/>
        <v>0.12</v>
      </c>
      <c r="I61" s="1783"/>
      <c r="J61" s="1783"/>
      <c r="K61" s="1783"/>
      <c r="L61" s="1783"/>
      <c r="O61" s="1902" t="s">
        <v>1612</v>
      </c>
      <c r="P61" s="1895" t="str">
        <f>K59</f>
        <v>续建工期及建筑物耐用年限下的土地年期修正系数Kn</v>
      </c>
      <c r="Q61" s="1936" t="e">
        <f ca="1">L59</f>
        <v>#DIV/0!</v>
      </c>
      <c r="R61" s="1936" t="s">
        <v>1639</v>
      </c>
    </row>
    <row r="62" s="1675" customFormat="1" ht="13.75" spans="1:18">
      <c r="A62" s="1739" t="s">
        <v>943</v>
      </c>
      <c r="B62" s="1845" t="s">
        <v>1531</v>
      </c>
      <c r="C62" s="1769">
        <f ca="1">IF(项目基本情况!B11="自然人","——",ROUND(F62*F63/10000,2))</f>
        <v>9.32</v>
      </c>
      <c r="D62" s="1846" t="s">
        <v>1532</v>
      </c>
      <c r="E62" s="1836" t="s">
        <v>1533</v>
      </c>
      <c r="F62" s="1754">
        <f t="shared" si="0"/>
        <v>8</v>
      </c>
      <c r="I62" s="1931" t="s">
        <v>1640</v>
      </c>
      <c r="J62" s="1932" t="s">
        <v>1641</v>
      </c>
      <c r="K62" s="1932" t="s">
        <v>1642</v>
      </c>
      <c r="L62" s="1932" t="s">
        <v>1643</v>
      </c>
      <c r="M62" s="1933" t="s">
        <v>1644</v>
      </c>
      <c r="O62" s="1894" t="s">
        <v>1339</v>
      </c>
      <c r="P62" s="1895" t="s">
        <v>1618</v>
      </c>
      <c r="Q62" s="1936">
        <f ca="1">Q56+Q57</f>
        <v>35903</v>
      </c>
      <c r="R62" s="1936" t="s">
        <v>1619</v>
      </c>
    </row>
    <row r="63" s="1675" customFormat="1" ht="13.75" spans="1:18">
      <c r="A63" s="1752"/>
      <c r="B63" s="1847"/>
      <c r="C63" s="1773"/>
      <c r="D63" s="1848"/>
      <c r="E63" s="1836" t="s">
        <v>1537</v>
      </c>
      <c r="F63" s="1709">
        <f ca="1" t="shared" si="0"/>
        <v>11645.87</v>
      </c>
      <c r="I63" s="1931" t="s">
        <v>1645</v>
      </c>
      <c r="J63" s="1932">
        <v>70</v>
      </c>
      <c r="K63" s="1932">
        <v>50</v>
      </c>
      <c r="L63" s="1932">
        <v>80</v>
      </c>
      <c r="M63" s="1934">
        <v>0.02</v>
      </c>
      <c r="O63" s="1882" t="s">
        <v>1646</v>
      </c>
      <c r="P63" s="1918"/>
      <c r="Q63" s="1918"/>
      <c r="R63" s="1918"/>
    </row>
    <row r="64" s="1675" customFormat="1" ht="13.75" spans="1:18">
      <c r="A64" s="1739" t="s">
        <v>917</v>
      </c>
      <c r="B64" s="1836" t="s">
        <v>1539</v>
      </c>
      <c r="C64" s="643">
        <f ca="1">ROUND(C57*F64,2)</f>
        <v>86.95</v>
      </c>
      <c r="D64" s="1844" t="s">
        <v>1572</v>
      </c>
      <c r="E64" s="1836" t="s">
        <v>1511</v>
      </c>
      <c r="F64" s="1776">
        <f ca="1" t="shared" si="0"/>
        <v>0.002</v>
      </c>
      <c r="I64" s="1931" t="s">
        <v>1647</v>
      </c>
      <c r="J64" s="1932">
        <v>50</v>
      </c>
      <c r="K64" s="1932">
        <v>35</v>
      </c>
      <c r="L64" s="1932">
        <v>60</v>
      </c>
      <c r="M64" s="1933">
        <v>0</v>
      </c>
      <c r="O64" s="1887" t="s">
        <v>1580</v>
      </c>
      <c r="P64" s="1888" t="s">
        <v>1581</v>
      </c>
      <c r="Q64" s="1935" t="s">
        <v>1582</v>
      </c>
      <c r="R64" s="1935" t="s">
        <v>1583</v>
      </c>
    </row>
    <row r="65" s="1675" customFormat="1" ht="13.75" spans="1:18">
      <c r="A65" s="1739" t="s">
        <v>962</v>
      </c>
      <c r="B65" s="1836" t="s">
        <v>1543</v>
      </c>
      <c r="C65" s="643">
        <f ca="1">ROUND(C56*F65,2)</f>
        <v>43.47</v>
      </c>
      <c r="D65" s="1844" t="s">
        <v>1544</v>
      </c>
      <c r="E65" s="1836" t="s">
        <v>1511</v>
      </c>
      <c r="F65" s="1777">
        <f ca="1" t="shared" si="0"/>
        <v>0.001</v>
      </c>
      <c r="I65" s="1931" t="s">
        <v>1648</v>
      </c>
      <c r="J65" s="1932">
        <v>40</v>
      </c>
      <c r="K65" s="1932">
        <v>30</v>
      </c>
      <c r="L65" s="1932">
        <v>50</v>
      </c>
      <c r="M65" s="1934">
        <v>0.02</v>
      </c>
      <c r="O65" s="1894" t="s">
        <v>1019</v>
      </c>
      <c r="P65" s="1895" t="s">
        <v>1587</v>
      </c>
      <c r="Q65" s="1936">
        <f ca="1">C40+J29</f>
        <v>35903</v>
      </c>
      <c r="R65" s="1936" t="s">
        <v>1588</v>
      </c>
    </row>
    <row r="66" s="1675" customFormat="1" ht="16.75" spans="1:18">
      <c r="A66" s="1739" t="s">
        <v>965</v>
      </c>
      <c r="B66" s="1836" t="s">
        <v>1529</v>
      </c>
      <c r="C66" s="643">
        <f ca="1">ROUND(C48*F66,2)</f>
        <v>0</v>
      </c>
      <c r="D66" s="1844" t="s">
        <v>1547</v>
      </c>
      <c r="E66" s="1836" t="s">
        <v>1511</v>
      </c>
      <c r="F66" s="1718">
        <f ca="1" t="shared" si="0"/>
        <v>0.005</v>
      </c>
      <c r="O66" s="1894" t="s">
        <v>1022</v>
      </c>
      <c r="P66" s="1895" t="s">
        <v>1628</v>
      </c>
      <c r="Q66" s="1936">
        <f ca="1">L60</f>
        <v>0</v>
      </c>
      <c r="R66" s="1936" t="s">
        <v>1629</v>
      </c>
    </row>
    <row r="67" s="1675" customFormat="1" ht="26.75" spans="1:18">
      <c r="A67" s="1831" t="s">
        <v>1550</v>
      </c>
      <c r="B67" s="1938" t="s">
        <v>1551</v>
      </c>
      <c r="C67" s="642">
        <f ca="1">C48-C58</f>
        <v>-139</v>
      </c>
      <c r="D67" s="1843" t="s">
        <v>1552</v>
      </c>
      <c r="E67" s="1939"/>
      <c r="F67" s="1940"/>
      <c r="O67" s="1902" t="s">
        <v>1600</v>
      </c>
      <c r="P67" s="1895" t="s">
        <v>1632</v>
      </c>
      <c r="Q67" s="1961">
        <f ca="1">L51</f>
        <v>-16888</v>
      </c>
      <c r="R67" s="1936" t="s">
        <v>1649</v>
      </c>
    </row>
    <row r="68" s="1675" customFormat="1" ht="16.75" spans="1:18">
      <c r="A68" s="1941" t="s">
        <v>1556</v>
      </c>
      <c r="B68" s="1942" t="s">
        <v>1573</v>
      </c>
      <c r="C68" s="1782">
        <f ca="1">ROUND(C67*(1-((1+F70)/(1+F68))^F69)/(F68-F70),0)</f>
        <v>-1899</v>
      </c>
      <c r="D68" s="1846" t="s">
        <v>1558</v>
      </c>
      <c r="E68" s="1836" t="s">
        <v>1559</v>
      </c>
      <c r="F68" s="1718">
        <f ca="1">F40</f>
        <v>0.055</v>
      </c>
      <c r="O68" s="1902" t="s">
        <v>1604</v>
      </c>
      <c r="P68" s="1960" t="s">
        <v>1650</v>
      </c>
      <c r="Q68" s="1936">
        <f ca="1">ROUND(Q69-Q70*Q71,0)</f>
        <v>-892</v>
      </c>
      <c r="R68" s="1936" t="s">
        <v>1651</v>
      </c>
    </row>
    <row r="69" s="1675" customFormat="1" ht="13.75" spans="1:18">
      <c r="A69" s="1943"/>
      <c r="B69" s="1944"/>
      <c r="C69" s="1716"/>
      <c r="D69" s="1945" t="s">
        <v>1562</v>
      </c>
      <c r="E69" s="1836" t="s">
        <v>1563</v>
      </c>
      <c r="F69" s="1786">
        <f ca="1">F41</f>
        <v>26.01</v>
      </c>
      <c r="O69" s="1902" t="s">
        <v>1652</v>
      </c>
      <c r="P69" s="1960" t="s">
        <v>1653</v>
      </c>
      <c r="Q69" s="1936">
        <f ca="1">C39</f>
        <v>2151</v>
      </c>
      <c r="R69" s="1936" t="s">
        <v>1588</v>
      </c>
    </row>
    <row r="70" s="1675" customFormat="1" ht="13.75" spans="1:18">
      <c r="A70" s="1946"/>
      <c r="B70" s="1947"/>
      <c r="C70" s="1736"/>
      <c r="D70" s="1848"/>
      <c r="E70" s="1836" t="s">
        <v>1566</v>
      </c>
      <c r="F70" s="1826"/>
      <c r="O70" s="1902" t="s">
        <v>1654</v>
      </c>
      <c r="P70" s="1960" t="s">
        <v>1655</v>
      </c>
      <c r="Q70" s="1936">
        <f ca="1">C13</f>
        <v>43474</v>
      </c>
      <c r="R70" s="1936" t="s">
        <v>1588</v>
      </c>
    </row>
    <row r="71" s="1675" customFormat="1" ht="13.75" spans="1:18">
      <c r="A71" s="1948" t="s">
        <v>1568</v>
      </c>
      <c r="B71" s="1949" t="s">
        <v>1574</v>
      </c>
      <c r="C71" s="1790">
        <f ca="1">ROUND(C68*10000/F71,0)</f>
        <v>-286</v>
      </c>
      <c r="D71" s="1950" t="s">
        <v>1575</v>
      </c>
      <c r="E71" s="1951" t="s">
        <v>1576</v>
      </c>
      <c r="F71" s="1793">
        <f ca="1">F43</f>
        <v>66363.26</v>
      </c>
      <c r="O71" s="1902" t="s">
        <v>1656</v>
      </c>
      <c r="P71" s="1960" t="s">
        <v>1657</v>
      </c>
      <c r="Q71" s="1937">
        <f ca="1">C76</f>
        <v>0.07</v>
      </c>
      <c r="R71" s="1936"/>
    </row>
    <row r="72" s="1675" customFormat="1" ht="13.75" spans="2:18">
      <c r="B72" s="678"/>
      <c r="C72" s="678"/>
      <c r="O72" s="1902" t="s">
        <v>1608</v>
      </c>
      <c r="P72" s="1895" t="s">
        <v>1634</v>
      </c>
      <c r="Q72" s="1937">
        <f>L52</f>
        <v>0</v>
      </c>
      <c r="R72" s="1936"/>
    </row>
    <row r="73" ht="16.75" spans="1:18">
      <c r="A73" s="1675"/>
      <c r="B73" s="678"/>
      <c r="C73" s="678"/>
      <c r="D73" s="1675"/>
      <c r="E73" s="1675"/>
      <c r="F73" s="1675"/>
      <c r="O73" s="1902" t="s">
        <v>1612</v>
      </c>
      <c r="P73" s="1895" t="s">
        <v>1637</v>
      </c>
      <c r="Q73" s="1936" t="e">
        <f ca="1">L58</f>
        <v>#DIV/0!</v>
      </c>
      <c r="R73" s="1936" t="s">
        <v>1638</v>
      </c>
    </row>
    <row r="74" ht="13.75" spans="1:18">
      <c r="A74" s="1675"/>
      <c r="B74" s="474" t="s">
        <v>1658</v>
      </c>
      <c r="C74" s="1952"/>
      <c r="D74" s="1675"/>
      <c r="E74" s="1675"/>
      <c r="F74" s="1675"/>
      <c r="O74" s="1902" t="s">
        <v>1659</v>
      </c>
      <c r="P74" s="1895" t="str">
        <f>K59</f>
        <v>续建工期及建筑物耐用年限下的土地年期修正系数Kn</v>
      </c>
      <c r="Q74" s="1936" t="e">
        <f ca="1">L59</f>
        <v>#DIV/0!</v>
      </c>
      <c r="R74" s="1936" t="s">
        <v>1639</v>
      </c>
    </row>
    <row r="75" ht="13.75" spans="1:18">
      <c r="A75" s="1675"/>
      <c r="B75" s="1953" t="s">
        <v>1660</v>
      </c>
      <c r="C75" s="1954">
        <f ca="1">ROUND(C13*C76,0)</f>
        <v>3043</v>
      </c>
      <c r="D75" s="1675"/>
      <c r="E75" s="1675"/>
      <c r="F75" s="1675"/>
      <c r="K75" s="1881"/>
      <c r="L75" s="1675"/>
      <c r="O75" s="1894" t="s">
        <v>1339</v>
      </c>
      <c r="P75" s="1895" t="s">
        <v>1618</v>
      </c>
      <c r="Q75" s="1936">
        <f ca="1">Q65+Q66</f>
        <v>35903</v>
      </c>
      <c r="R75" s="1936" t="s">
        <v>1619</v>
      </c>
    </row>
    <row r="76" ht="13" spans="2:12">
      <c r="B76" s="1955" t="s">
        <v>1661</v>
      </c>
      <c r="C76" s="1956">
        <f ca="1">INDIRECT("'数据-取费表'!j"&amp;$G$1)</f>
        <v>0.07</v>
      </c>
      <c r="I76" s="1675"/>
      <c r="J76" s="1675"/>
      <c r="K76" s="1881"/>
      <c r="L76" s="1675"/>
    </row>
    <row r="77" ht="13" spans="2:12">
      <c r="B77" s="1957" t="s">
        <v>1662</v>
      </c>
      <c r="C77" s="1958"/>
      <c r="I77" s="1675"/>
      <c r="J77" s="1675"/>
      <c r="K77" s="1881"/>
      <c r="L77" s="1675"/>
    </row>
    <row r="78" ht="13" spans="2:3">
      <c r="B78" s="472" t="s">
        <v>1663</v>
      </c>
      <c r="C78" s="1959"/>
    </row>
    <row r="79" ht="13" spans="2:3">
      <c r="B79" s="1953" t="s">
        <v>1664</v>
      </c>
      <c r="C79" s="475">
        <f ca="1">1-C80</f>
        <v>-0.415</v>
      </c>
    </row>
    <row r="80" ht="13" spans="2:3">
      <c r="B80" s="1953" t="s">
        <v>1665</v>
      </c>
      <c r="C80" s="475">
        <f ca="1">ROUND(C75/C39,3)</f>
        <v>1.415</v>
      </c>
    </row>
    <row r="81" ht="13" spans="2:3">
      <c r="B81" s="472" t="s">
        <v>1666</v>
      </c>
      <c r="C81" s="439"/>
    </row>
    <row r="82" ht="13" spans="2:3">
      <c r="B82" s="474" t="s">
        <v>1099</v>
      </c>
      <c r="C82" s="476">
        <f ca="1">1-C83</f>
        <v>-0.211</v>
      </c>
    </row>
    <row r="83" ht="13" spans="2:3">
      <c r="B83" s="474" t="s">
        <v>1100</v>
      </c>
      <c r="C83" s="475">
        <f ca="1">ROUND(C13/C40,3)</f>
        <v>1.211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80" zoomScaleNormal="80" workbookViewId="0">
      <selection activeCell="O6" sqref="O6"/>
    </sheetView>
  </sheetViews>
  <sheetFormatPr defaultColWidth="9.87272727272727" defaultRowHeight="12"/>
  <cols>
    <col min="1" max="1" width="36.1272727272727" style="1962" customWidth="1"/>
    <col min="2" max="2" width="19.2545454545455" style="1962" customWidth="1"/>
    <col min="3" max="3" width="6.75454545454545" style="1962" customWidth="1"/>
    <col min="4" max="4" width="8.5" style="1962" customWidth="1"/>
    <col min="5" max="5" width="18.5" style="1962" customWidth="1"/>
    <col min="6" max="6" width="18.6272727272727" style="1962" customWidth="1"/>
    <col min="7" max="7" width="16.6272727272727" style="1962" customWidth="1"/>
    <col min="8" max="8" width="7.37272727272727" style="1962" customWidth="1"/>
    <col min="9" max="9" width="11.1272727272727" style="1962" customWidth="1"/>
    <col min="10" max="10" width="7.5" style="1962" customWidth="1"/>
    <col min="11" max="11" width="11.1272727272727" style="1962" customWidth="1"/>
    <col min="12" max="12" width="6.87272727272727" style="1962" customWidth="1"/>
    <col min="13" max="13" width="8.62727272727273" style="1962" customWidth="1"/>
    <col min="14" max="14" width="8.12727272727273" style="1962" customWidth="1"/>
    <col min="15" max="15" width="6.37272727272727" style="1962" customWidth="1"/>
    <col min="16" max="16" width="7.5" style="1962" customWidth="1"/>
    <col min="17" max="17" width="21.8727272727273" style="1962" customWidth="1"/>
    <col min="18" max="18" width="14" style="1962"/>
    <col min="19" max="16382" width="9.87272727272727" style="1962"/>
    <col min="16383" max="16384" width="9.87272727272727" style="1966"/>
  </cols>
  <sheetData>
    <row r="1" spans="1:1">
      <c r="A1" s="1967" t="s">
        <v>1667</v>
      </c>
    </row>
    <row r="2" s="1962" customFormat="1" spans="1:16384">
      <c r="A2" s="1968" t="s">
        <v>1668</v>
      </c>
      <c r="B2" s="1968" t="s">
        <v>1669</v>
      </c>
      <c r="C2" s="1968" t="s">
        <v>1670</v>
      </c>
      <c r="D2" s="1968" t="s">
        <v>1671</v>
      </c>
      <c r="E2" s="1968" t="s">
        <v>1672</v>
      </c>
      <c r="F2" s="1968" t="s">
        <v>1673</v>
      </c>
      <c r="G2" s="1968" t="s">
        <v>1674</v>
      </c>
      <c r="H2" s="1968" t="s">
        <v>1675</v>
      </c>
      <c r="I2" s="1968" t="s">
        <v>1676</v>
      </c>
      <c r="J2" s="1968" t="s">
        <v>1677</v>
      </c>
      <c r="K2" s="1968" t="s">
        <v>1678</v>
      </c>
      <c r="L2" s="1968" t="s">
        <v>1679</v>
      </c>
      <c r="M2" s="1968" t="s">
        <v>1680</v>
      </c>
      <c r="N2" s="1968" t="s">
        <v>1681</v>
      </c>
      <c r="O2" s="1968" t="s">
        <v>1682</v>
      </c>
      <c r="P2" s="1968" t="s">
        <v>1683</v>
      </c>
      <c r="XFC2" s="1972"/>
      <c r="XFD2" s="1972"/>
    </row>
    <row r="3" s="1963" customFormat="1" ht="15" spans="1:16384">
      <c r="A3" s="1968" t="s">
        <v>1684</v>
      </c>
      <c r="B3" s="1968" t="s">
        <v>1685</v>
      </c>
      <c r="C3" s="1968">
        <v>15533</v>
      </c>
      <c r="D3" s="1968">
        <v>27959</v>
      </c>
      <c r="E3" s="1968" t="s">
        <v>1686</v>
      </c>
      <c r="F3" s="1968" t="s">
        <v>1687</v>
      </c>
      <c r="G3" s="1968" t="s">
        <v>1688</v>
      </c>
      <c r="H3" s="1968" t="s">
        <v>1689</v>
      </c>
      <c r="I3" s="1968" t="s">
        <v>1690</v>
      </c>
      <c r="J3" s="1968" t="s">
        <v>1691</v>
      </c>
      <c r="K3" s="1968" t="s">
        <v>1692</v>
      </c>
      <c r="L3" s="1968">
        <v>12100</v>
      </c>
      <c r="M3" s="1968">
        <v>7789.86</v>
      </c>
      <c r="N3" s="1968">
        <v>519.32</v>
      </c>
      <c r="O3" s="1968">
        <v>4328</v>
      </c>
      <c r="P3" s="1968">
        <v>49.38</v>
      </c>
      <c r="Q3" s="1962"/>
      <c r="R3" s="1962"/>
      <c r="S3" s="1962"/>
      <c r="T3" s="1962"/>
      <c r="U3" s="1962"/>
      <c r="V3" s="1962"/>
      <c r="W3" s="1962"/>
      <c r="X3" s="1962"/>
      <c r="Y3" s="1962"/>
      <c r="Z3" s="1962"/>
      <c r="AA3" s="1962"/>
      <c r="AB3" s="1962"/>
      <c r="AC3" s="1962"/>
      <c r="AD3" s="1962"/>
      <c r="AE3" s="1962"/>
      <c r="AF3" s="1962"/>
      <c r="AG3" s="1962"/>
      <c r="AH3" s="1962"/>
      <c r="AI3" s="1962"/>
      <c r="AJ3" s="1962"/>
      <c r="AK3" s="1962"/>
      <c r="AL3" s="1962"/>
      <c r="AM3" s="1962"/>
      <c r="AN3" s="1962"/>
      <c r="AO3" s="1962"/>
      <c r="AP3" s="1962"/>
      <c r="AQ3" s="1962"/>
      <c r="AR3" s="1962"/>
      <c r="AS3" s="1962"/>
      <c r="AT3" s="1962"/>
      <c r="AU3" s="1962"/>
      <c r="AV3" s="1962"/>
      <c r="AW3" s="1962"/>
      <c r="AX3" s="1962"/>
      <c r="AY3" s="1962"/>
      <c r="AZ3" s="1962"/>
      <c r="BA3" s="1962"/>
      <c r="BB3" s="1962"/>
      <c r="BC3" s="1962"/>
      <c r="BD3" s="1962"/>
      <c r="BE3" s="1962"/>
      <c r="BF3" s="1962"/>
      <c r="BG3" s="1962"/>
      <c r="BH3" s="1962"/>
      <c r="BI3" s="1962"/>
      <c r="BJ3" s="1962"/>
      <c r="BK3" s="1962"/>
      <c r="BL3" s="1962"/>
      <c r="BM3" s="1962"/>
      <c r="BN3" s="1962"/>
      <c r="BO3" s="1962"/>
      <c r="BP3" s="1962"/>
      <c r="BQ3" s="1962"/>
      <c r="BR3" s="1962"/>
      <c r="BS3" s="1962"/>
      <c r="BT3" s="1962"/>
      <c r="BU3" s="1962"/>
      <c r="BV3" s="1962"/>
      <c r="BW3" s="1962"/>
      <c r="BX3" s="1962"/>
      <c r="BY3" s="1962"/>
      <c r="BZ3" s="1962"/>
      <c r="CA3" s="1962"/>
      <c r="CB3" s="1962"/>
      <c r="CC3" s="1962"/>
      <c r="CD3" s="1962"/>
      <c r="CE3" s="1962"/>
      <c r="CF3" s="1962"/>
      <c r="CG3" s="1962"/>
      <c r="CH3" s="1962"/>
      <c r="CI3" s="1962"/>
      <c r="CJ3" s="1962"/>
      <c r="CK3" s="1962"/>
      <c r="CL3" s="1962"/>
      <c r="CM3" s="1962"/>
      <c r="CN3" s="1962"/>
      <c r="CO3" s="1962"/>
      <c r="CP3" s="1962"/>
      <c r="CQ3" s="1962"/>
      <c r="CR3" s="1962"/>
      <c r="CS3" s="1962"/>
      <c r="CT3" s="1962"/>
      <c r="CU3" s="1962"/>
      <c r="CV3" s="1962"/>
      <c r="CW3" s="1962"/>
      <c r="CX3" s="1962"/>
      <c r="CY3" s="1962"/>
      <c r="CZ3" s="1962"/>
      <c r="DA3" s="1962"/>
      <c r="DB3" s="1962"/>
      <c r="DC3" s="1962"/>
      <c r="DD3" s="1962"/>
      <c r="DE3" s="1962"/>
      <c r="DF3" s="1962"/>
      <c r="DG3" s="1962"/>
      <c r="DH3" s="1962"/>
      <c r="DI3" s="1962"/>
      <c r="DJ3" s="1962"/>
      <c r="DK3" s="1962"/>
      <c r="DL3" s="1962"/>
      <c r="DM3" s="1962"/>
      <c r="DN3" s="1962"/>
      <c r="DO3" s="1962"/>
      <c r="DP3" s="1962"/>
      <c r="DQ3" s="1962"/>
      <c r="DR3" s="1962"/>
      <c r="DS3" s="1962"/>
      <c r="DT3" s="1962"/>
      <c r="DU3" s="1962"/>
      <c r="DV3" s="1962"/>
      <c r="DW3" s="1962"/>
      <c r="DX3" s="1962"/>
      <c r="DY3" s="1962"/>
      <c r="DZ3" s="1962"/>
      <c r="EA3" s="1962"/>
      <c r="EB3" s="1962"/>
      <c r="EC3" s="1962"/>
      <c r="ED3" s="1962"/>
      <c r="EE3" s="1962"/>
      <c r="EF3" s="1962"/>
      <c r="EG3" s="1962"/>
      <c r="EH3" s="1962"/>
      <c r="EI3" s="1962"/>
      <c r="EJ3" s="1962"/>
      <c r="EK3" s="1962"/>
      <c r="EL3" s="1962"/>
      <c r="EM3" s="1962"/>
      <c r="EN3" s="1962"/>
      <c r="EO3" s="1962"/>
      <c r="EP3" s="1962"/>
      <c r="EQ3" s="1962"/>
      <c r="ER3" s="1962"/>
      <c r="ES3" s="1962"/>
      <c r="ET3" s="1962"/>
      <c r="EU3" s="1962"/>
      <c r="EV3" s="1962"/>
      <c r="EW3" s="1962"/>
      <c r="EX3" s="1962"/>
      <c r="EY3" s="1962"/>
      <c r="EZ3" s="1962"/>
      <c r="FA3" s="1962"/>
      <c r="FB3" s="1962"/>
      <c r="FC3" s="1962"/>
      <c r="FD3" s="1962"/>
      <c r="FE3" s="1962"/>
      <c r="FF3" s="1962"/>
      <c r="FG3" s="1962"/>
      <c r="FH3" s="1962"/>
      <c r="FI3" s="1962"/>
      <c r="FJ3" s="1962"/>
      <c r="FK3" s="1962"/>
      <c r="FL3" s="1962"/>
      <c r="FM3" s="1962"/>
      <c r="FN3" s="1962"/>
      <c r="FO3" s="1962"/>
      <c r="FP3" s="1962"/>
      <c r="FQ3" s="1962"/>
      <c r="FR3" s="1962"/>
      <c r="FS3" s="1962"/>
      <c r="FT3" s="1962"/>
      <c r="FU3" s="1962"/>
      <c r="FV3" s="1962"/>
      <c r="FW3" s="1962"/>
      <c r="FX3" s="1962"/>
      <c r="FY3" s="1962"/>
      <c r="FZ3" s="1962"/>
      <c r="GA3" s="1962"/>
      <c r="GB3" s="1962"/>
      <c r="GC3" s="1962"/>
      <c r="GD3" s="1962"/>
      <c r="GE3" s="1962"/>
      <c r="GF3" s="1962"/>
      <c r="GG3" s="1962"/>
      <c r="GH3" s="1962"/>
      <c r="GI3" s="1962"/>
      <c r="GJ3" s="1962"/>
      <c r="GK3" s="1962"/>
      <c r="GL3" s="1962"/>
      <c r="GM3" s="1962"/>
      <c r="GN3" s="1962"/>
      <c r="GO3" s="1962"/>
      <c r="GP3" s="1962"/>
      <c r="GQ3" s="1962"/>
      <c r="GR3" s="1962"/>
      <c r="GS3" s="1962"/>
      <c r="GT3" s="1962"/>
      <c r="GU3" s="1962"/>
      <c r="GV3" s="1962"/>
      <c r="GW3" s="1962"/>
      <c r="GX3" s="1962"/>
      <c r="GY3" s="1962"/>
      <c r="GZ3" s="1962"/>
      <c r="HA3" s="1962"/>
      <c r="HB3" s="1962"/>
      <c r="HC3" s="1962"/>
      <c r="HD3" s="1962"/>
      <c r="HE3" s="1962"/>
      <c r="HF3" s="1962"/>
      <c r="HG3" s="1962"/>
      <c r="HH3" s="1962"/>
      <c r="HI3" s="1962"/>
      <c r="HJ3" s="1962"/>
      <c r="HK3" s="1962"/>
      <c r="HL3" s="1962"/>
      <c r="HM3" s="1962"/>
      <c r="HN3" s="1962"/>
      <c r="HO3" s="1962"/>
      <c r="HP3" s="1962"/>
      <c r="HQ3" s="1962"/>
      <c r="HR3" s="1962"/>
      <c r="HS3" s="1962"/>
      <c r="HT3" s="1962"/>
      <c r="HU3" s="1962"/>
      <c r="HV3" s="1962"/>
      <c r="HW3" s="1962"/>
      <c r="HX3" s="1962"/>
      <c r="HY3" s="1962"/>
      <c r="HZ3" s="1962"/>
      <c r="IA3" s="1962"/>
      <c r="IB3" s="1962"/>
      <c r="IC3" s="1962"/>
      <c r="ID3" s="1962"/>
      <c r="IE3" s="1962"/>
      <c r="IF3" s="1962"/>
      <c r="IG3" s="1962"/>
      <c r="IH3" s="1962"/>
      <c r="II3" s="1962"/>
      <c r="IJ3" s="1962"/>
      <c r="IK3" s="1962"/>
      <c r="IL3" s="1962"/>
      <c r="IM3" s="1962"/>
      <c r="IN3" s="1962"/>
      <c r="IO3" s="1962"/>
      <c r="IP3" s="1962"/>
      <c r="IQ3" s="1962"/>
      <c r="IR3" s="1962"/>
      <c r="IS3" s="1962"/>
      <c r="IT3" s="1962"/>
      <c r="IU3" s="1962"/>
      <c r="IV3" s="1962"/>
      <c r="IW3" s="1962"/>
      <c r="IX3" s="1962"/>
      <c r="IY3" s="1962"/>
      <c r="IZ3" s="1962"/>
      <c r="JA3" s="1962"/>
      <c r="JB3" s="1962"/>
      <c r="JC3" s="1962"/>
      <c r="JD3" s="1962"/>
      <c r="JE3" s="1962"/>
      <c r="JF3" s="1962"/>
      <c r="JG3" s="1962"/>
      <c r="JH3" s="1962"/>
      <c r="JI3" s="1962"/>
      <c r="JJ3" s="1962"/>
      <c r="JK3" s="1962"/>
      <c r="JL3" s="1962"/>
      <c r="JM3" s="1962"/>
      <c r="JN3" s="1962"/>
      <c r="JO3" s="1962"/>
      <c r="JP3" s="1962"/>
      <c r="JQ3" s="1962"/>
      <c r="JR3" s="1962"/>
      <c r="JS3" s="1962"/>
      <c r="JT3" s="1962"/>
      <c r="JU3" s="1962"/>
      <c r="JV3" s="1962"/>
      <c r="JW3" s="1962"/>
      <c r="JX3" s="1962"/>
      <c r="JY3" s="1962"/>
      <c r="JZ3" s="1962"/>
      <c r="KA3" s="1962"/>
      <c r="KB3" s="1962"/>
      <c r="KC3" s="1962"/>
      <c r="KD3" s="1962"/>
      <c r="KE3" s="1962"/>
      <c r="KF3" s="1962"/>
      <c r="KG3" s="1962"/>
      <c r="KH3" s="1962"/>
      <c r="KI3" s="1962"/>
      <c r="KJ3" s="1962"/>
      <c r="KK3" s="1962"/>
      <c r="KL3" s="1962"/>
      <c r="KM3" s="1962"/>
      <c r="KN3" s="1962"/>
      <c r="KO3" s="1962"/>
      <c r="KP3" s="1962"/>
      <c r="KQ3" s="1962"/>
      <c r="KR3" s="1962"/>
      <c r="KS3" s="1962"/>
      <c r="KT3" s="1962"/>
      <c r="KU3" s="1962"/>
      <c r="KV3" s="1962"/>
      <c r="KW3" s="1962"/>
      <c r="KX3" s="1962"/>
      <c r="KY3" s="1962"/>
      <c r="KZ3" s="1962"/>
      <c r="LA3" s="1962"/>
      <c r="LB3" s="1962"/>
      <c r="LC3" s="1962"/>
      <c r="LD3" s="1962"/>
      <c r="LE3" s="1962"/>
      <c r="LF3" s="1962"/>
      <c r="LG3" s="1962"/>
      <c r="LH3" s="1962"/>
      <c r="LI3" s="1962"/>
      <c r="LJ3" s="1962"/>
      <c r="LK3" s="1962"/>
      <c r="LL3" s="1962"/>
      <c r="LM3" s="1962"/>
      <c r="LN3" s="1962"/>
      <c r="LO3" s="1962"/>
      <c r="LP3" s="1962"/>
      <c r="LQ3" s="1962"/>
      <c r="LR3" s="1962"/>
      <c r="LS3" s="1962"/>
      <c r="LT3" s="1962"/>
      <c r="LU3" s="1962"/>
      <c r="LV3" s="1962"/>
      <c r="LW3" s="1962"/>
      <c r="LX3" s="1962"/>
      <c r="LY3" s="1962"/>
      <c r="LZ3" s="1962"/>
      <c r="MA3" s="1962"/>
      <c r="MB3" s="1962"/>
      <c r="MC3" s="1962"/>
      <c r="MD3" s="1962"/>
      <c r="ME3" s="1962"/>
      <c r="MF3" s="1962"/>
      <c r="MG3" s="1962"/>
      <c r="MH3" s="1962"/>
      <c r="MI3" s="1962"/>
      <c r="MJ3" s="1962"/>
      <c r="MK3" s="1962"/>
      <c r="ML3" s="1962"/>
      <c r="MM3" s="1962"/>
      <c r="MN3" s="1962"/>
      <c r="MO3" s="1962"/>
      <c r="MP3" s="1962"/>
      <c r="MQ3" s="1962"/>
      <c r="MR3" s="1962"/>
      <c r="MS3" s="1962"/>
      <c r="MT3" s="1962"/>
      <c r="MU3" s="1962"/>
      <c r="MV3" s="1962"/>
      <c r="MW3" s="1962"/>
      <c r="MX3" s="1962"/>
      <c r="MY3" s="1962"/>
      <c r="MZ3" s="1962"/>
      <c r="NA3" s="1962"/>
      <c r="NB3" s="1962"/>
      <c r="NC3" s="1962"/>
      <c r="ND3" s="1962"/>
      <c r="NE3" s="1962"/>
      <c r="NF3" s="1962"/>
      <c r="NG3" s="1962"/>
      <c r="NH3" s="1962"/>
      <c r="NI3" s="1962"/>
      <c r="NJ3" s="1962"/>
      <c r="NK3" s="1962"/>
      <c r="NL3" s="1962"/>
      <c r="NM3" s="1962"/>
      <c r="NN3" s="1962"/>
      <c r="NO3" s="1962"/>
      <c r="NP3" s="1962"/>
      <c r="NQ3" s="1962"/>
      <c r="NR3" s="1962"/>
      <c r="NS3" s="1962"/>
      <c r="NT3" s="1962"/>
      <c r="NU3" s="1962"/>
      <c r="NV3" s="1962"/>
      <c r="NW3" s="1962"/>
      <c r="NX3" s="1962"/>
      <c r="NY3" s="1962"/>
      <c r="NZ3" s="1962"/>
      <c r="OA3" s="1962"/>
      <c r="OB3" s="1962"/>
      <c r="OC3" s="1962"/>
      <c r="OD3" s="1962"/>
      <c r="OE3" s="1962"/>
      <c r="OF3" s="1962"/>
      <c r="OG3" s="1962"/>
      <c r="OH3" s="1962"/>
      <c r="OI3" s="1962"/>
      <c r="OJ3" s="1962"/>
      <c r="OK3" s="1962"/>
      <c r="OL3" s="1962"/>
      <c r="OM3" s="1962"/>
      <c r="ON3" s="1962"/>
      <c r="OO3" s="1962"/>
      <c r="OP3" s="1962"/>
      <c r="OQ3" s="1962"/>
      <c r="OR3" s="1962"/>
      <c r="OS3" s="1962"/>
      <c r="OT3" s="1962"/>
      <c r="OU3" s="1962"/>
      <c r="OV3" s="1962"/>
      <c r="OW3" s="1962"/>
      <c r="OX3" s="1962"/>
      <c r="OY3" s="1962"/>
      <c r="OZ3" s="1962"/>
      <c r="PA3" s="1962"/>
      <c r="PB3" s="1962"/>
      <c r="PC3" s="1962"/>
      <c r="PD3" s="1962"/>
      <c r="PE3" s="1962"/>
      <c r="PF3" s="1962"/>
      <c r="PG3" s="1962"/>
      <c r="PH3" s="1962"/>
      <c r="PI3" s="1962"/>
      <c r="PJ3" s="1962"/>
      <c r="PK3" s="1962"/>
      <c r="PL3" s="1962"/>
      <c r="PM3" s="1962"/>
      <c r="PN3" s="1962"/>
      <c r="PO3" s="1962"/>
      <c r="PP3" s="1962"/>
      <c r="PQ3" s="1962"/>
      <c r="PR3" s="1962"/>
      <c r="PS3" s="1962"/>
      <c r="PT3" s="1962"/>
      <c r="PU3" s="1962"/>
      <c r="PV3" s="1962"/>
      <c r="PW3" s="1962"/>
      <c r="PX3" s="1962"/>
      <c r="PY3" s="1962"/>
      <c r="PZ3" s="1962"/>
      <c r="QA3" s="1962"/>
      <c r="QB3" s="1962"/>
      <c r="QC3" s="1962"/>
      <c r="QD3" s="1962"/>
      <c r="QE3" s="1962"/>
      <c r="QF3" s="1962"/>
      <c r="QG3" s="1962"/>
      <c r="QH3" s="1962"/>
      <c r="QI3" s="1962"/>
      <c r="QJ3" s="1962"/>
      <c r="QK3" s="1962"/>
      <c r="QL3" s="1962"/>
      <c r="QM3" s="1962"/>
      <c r="QN3" s="1962"/>
      <c r="QO3" s="1962"/>
      <c r="QP3" s="1962"/>
      <c r="QQ3" s="1962"/>
      <c r="QR3" s="1962"/>
      <c r="QS3" s="1962"/>
      <c r="QT3" s="1962"/>
      <c r="QU3" s="1962"/>
      <c r="QV3" s="1962"/>
      <c r="QW3" s="1962"/>
      <c r="QX3" s="1962"/>
      <c r="QY3" s="1962"/>
      <c r="QZ3" s="1962"/>
      <c r="RA3" s="1962"/>
      <c r="RB3" s="1962"/>
      <c r="RC3" s="1962"/>
      <c r="RD3" s="1962"/>
      <c r="RE3" s="1962"/>
      <c r="RF3" s="1962"/>
      <c r="RG3" s="1962"/>
      <c r="RH3" s="1962"/>
      <c r="RI3" s="1962"/>
      <c r="RJ3" s="1962"/>
      <c r="RK3" s="1962"/>
      <c r="RL3" s="1962"/>
      <c r="RM3" s="1962"/>
      <c r="RN3" s="1962"/>
      <c r="RO3" s="1962"/>
      <c r="RP3" s="1962"/>
      <c r="RQ3" s="1962"/>
      <c r="RR3" s="1962"/>
      <c r="RS3" s="1962"/>
      <c r="RT3" s="1962"/>
      <c r="RU3" s="1962"/>
      <c r="RV3" s="1962"/>
      <c r="RW3" s="1962"/>
      <c r="RX3" s="1962"/>
      <c r="RY3" s="1962"/>
      <c r="RZ3" s="1962"/>
      <c r="SA3" s="1962"/>
      <c r="SB3" s="1962"/>
      <c r="SC3" s="1962"/>
      <c r="SD3" s="1962"/>
      <c r="SE3" s="1962"/>
      <c r="SF3" s="1962"/>
      <c r="SG3" s="1962"/>
      <c r="SH3" s="1962"/>
      <c r="SI3" s="1962"/>
      <c r="SJ3" s="1962"/>
      <c r="SK3" s="1962"/>
      <c r="SL3" s="1962"/>
      <c r="SM3" s="1962"/>
      <c r="SN3" s="1962"/>
      <c r="SO3" s="1962"/>
      <c r="SP3" s="1962"/>
      <c r="SQ3" s="1962"/>
      <c r="SR3" s="1962"/>
      <c r="SS3" s="1962"/>
      <c r="ST3" s="1962"/>
      <c r="SU3" s="1962"/>
      <c r="SV3" s="1962"/>
      <c r="SW3" s="1962"/>
      <c r="SX3" s="1962"/>
      <c r="SY3" s="1962"/>
      <c r="SZ3" s="1962"/>
      <c r="TA3" s="1962"/>
      <c r="TB3" s="1962"/>
      <c r="TC3" s="1962"/>
      <c r="TD3" s="1962"/>
      <c r="TE3" s="1962"/>
      <c r="TF3" s="1962"/>
      <c r="TG3" s="1962"/>
      <c r="TH3" s="1962"/>
      <c r="TI3" s="1962"/>
      <c r="TJ3" s="1962"/>
      <c r="TK3" s="1962"/>
      <c r="TL3" s="1962"/>
      <c r="TM3" s="1962"/>
      <c r="TN3" s="1962"/>
      <c r="TO3" s="1962"/>
      <c r="TP3" s="1962"/>
      <c r="TQ3" s="1962"/>
      <c r="TR3" s="1962"/>
      <c r="TS3" s="1962"/>
      <c r="TT3" s="1962"/>
      <c r="TU3" s="1962"/>
      <c r="TV3" s="1962"/>
      <c r="TW3" s="1962"/>
      <c r="TX3" s="1962"/>
      <c r="TY3" s="1962"/>
      <c r="TZ3" s="1962"/>
      <c r="UA3" s="1962"/>
      <c r="UB3" s="1962"/>
      <c r="UC3" s="1962"/>
      <c r="UD3" s="1962"/>
      <c r="UE3" s="1962"/>
      <c r="UF3" s="1962"/>
      <c r="UG3" s="1962"/>
      <c r="UH3" s="1962"/>
      <c r="UI3" s="1962"/>
      <c r="UJ3" s="1962"/>
      <c r="UK3" s="1962"/>
      <c r="UL3" s="1962"/>
      <c r="UM3" s="1962"/>
      <c r="UN3" s="1962"/>
      <c r="UO3" s="1962"/>
      <c r="UP3" s="1962"/>
      <c r="UQ3" s="1962"/>
      <c r="UR3" s="1962"/>
      <c r="US3" s="1962"/>
      <c r="UT3" s="1962"/>
      <c r="UU3" s="1962"/>
      <c r="UV3" s="1962"/>
      <c r="UW3" s="1962"/>
      <c r="UX3" s="1962"/>
      <c r="UY3" s="1962"/>
      <c r="UZ3" s="1962"/>
      <c r="VA3" s="1962"/>
      <c r="VB3" s="1962"/>
      <c r="VC3" s="1962"/>
      <c r="VD3" s="1962"/>
      <c r="VE3" s="1962"/>
      <c r="VF3" s="1962"/>
      <c r="VG3" s="1962"/>
      <c r="VH3" s="1962"/>
      <c r="VI3" s="1962"/>
      <c r="VJ3" s="1962"/>
      <c r="VK3" s="1962"/>
      <c r="VL3" s="1962"/>
      <c r="VM3" s="1962"/>
      <c r="VN3" s="1962"/>
      <c r="VO3" s="1962"/>
      <c r="VP3" s="1962"/>
      <c r="VQ3" s="1962"/>
      <c r="VR3" s="1962"/>
      <c r="VS3" s="1962"/>
      <c r="VT3" s="1962"/>
      <c r="VU3" s="1962"/>
      <c r="VV3" s="1962"/>
      <c r="VW3" s="1962"/>
      <c r="VX3" s="1962"/>
      <c r="VY3" s="1962"/>
      <c r="VZ3" s="1962"/>
      <c r="WA3" s="1962"/>
      <c r="WB3" s="1962"/>
      <c r="WC3" s="1962"/>
      <c r="WD3" s="1962"/>
      <c r="WE3" s="1962"/>
      <c r="WF3" s="1962"/>
      <c r="WG3" s="1962"/>
      <c r="WH3" s="1962"/>
      <c r="WI3" s="1962"/>
      <c r="WJ3" s="1962"/>
      <c r="WK3" s="1962"/>
      <c r="WL3" s="1962"/>
      <c r="WM3" s="1962"/>
      <c r="WN3" s="1962"/>
      <c r="WO3" s="1962"/>
      <c r="WP3" s="1962"/>
      <c r="WQ3" s="1962"/>
      <c r="WR3" s="1962"/>
      <c r="WS3" s="1962"/>
      <c r="WT3" s="1962"/>
      <c r="WU3" s="1962"/>
      <c r="WV3" s="1962"/>
      <c r="WW3" s="1962"/>
      <c r="WX3" s="1962"/>
      <c r="WY3" s="1962"/>
      <c r="WZ3" s="1962"/>
      <c r="XA3" s="1962"/>
      <c r="XB3" s="1962"/>
      <c r="XC3" s="1962"/>
      <c r="XD3" s="1962"/>
      <c r="XE3" s="1962"/>
      <c r="XF3" s="1962"/>
      <c r="XG3" s="1962"/>
      <c r="XH3" s="1962"/>
      <c r="XI3" s="1962"/>
      <c r="XJ3" s="1962"/>
      <c r="XK3" s="1962"/>
      <c r="XL3" s="1962"/>
      <c r="XM3" s="1962"/>
      <c r="XN3" s="1962"/>
      <c r="XO3" s="1962"/>
      <c r="XP3" s="1962"/>
      <c r="XQ3" s="1962"/>
      <c r="XR3" s="1962"/>
      <c r="XS3" s="1962"/>
      <c r="XT3" s="1962"/>
      <c r="XU3" s="1962"/>
      <c r="XV3" s="1962"/>
      <c r="XW3" s="1962"/>
      <c r="XX3" s="1962"/>
      <c r="XY3" s="1962"/>
      <c r="XZ3" s="1962"/>
      <c r="YA3" s="1962"/>
      <c r="YB3" s="1962"/>
      <c r="YC3" s="1962"/>
      <c r="YD3" s="1962"/>
      <c r="YE3" s="1962"/>
      <c r="YF3" s="1962"/>
      <c r="YG3" s="1962"/>
      <c r="YH3" s="1962"/>
      <c r="YI3" s="1962"/>
      <c r="YJ3" s="1962"/>
      <c r="YK3" s="1962"/>
      <c r="YL3" s="1962"/>
      <c r="YM3" s="1962"/>
      <c r="YN3" s="1962"/>
      <c r="YO3" s="1962"/>
      <c r="YP3" s="1962"/>
      <c r="YQ3" s="1962"/>
      <c r="YR3" s="1962"/>
      <c r="YS3" s="1962"/>
      <c r="YT3" s="1962"/>
      <c r="YU3" s="1962"/>
      <c r="YV3" s="1962"/>
      <c r="YW3" s="1962"/>
      <c r="YX3" s="1962"/>
      <c r="YY3" s="1962"/>
      <c r="YZ3" s="1962"/>
      <c r="ZA3" s="1962"/>
      <c r="ZB3" s="1962"/>
      <c r="ZC3" s="1962"/>
      <c r="ZD3" s="1962"/>
      <c r="ZE3" s="1962"/>
      <c r="ZF3" s="1962"/>
      <c r="ZG3" s="1962"/>
      <c r="ZH3" s="1962"/>
      <c r="ZI3" s="1962"/>
      <c r="ZJ3" s="1962"/>
      <c r="ZK3" s="1962"/>
      <c r="ZL3" s="1962"/>
      <c r="ZM3" s="1962"/>
      <c r="ZN3" s="1962"/>
      <c r="ZO3" s="1962"/>
      <c r="ZP3" s="1962"/>
      <c r="ZQ3" s="1962"/>
      <c r="ZR3" s="1962"/>
      <c r="ZS3" s="1962"/>
      <c r="ZT3" s="1962"/>
      <c r="ZU3" s="1962"/>
      <c r="ZV3" s="1962"/>
      <c r="ZW3" s="1962"/>
      <c r="ZX3" s="1962"/>
      <c r="ZY3" s="1962"/>
      <c r="ZZ3" s="1962"/>
      <c r="AAA3" s="1962"/>
      <c r="AAB3" s="1962"/>
      <c r="AAC3" s="1962"/>
      <c r="AAD3" s="1962"/>
      <c r="AAE3" s="1962"/>
      <c r="AAF3" s="1962"/>
      <c r="AAG3" s="1962"/>
      <c r="AAH3" s="1962"/>
      <c r="AAI3" s="1962"/>
      <c r="AAJ3" s="1962"/>
      <c r="AAK3" s="1962"/>
      <c r="AAL3" s="1962"/>
      <c r="AAM3" s="1962"/>
      <c r="AAN3" s="1962"/>
      <c r="AAO3" s="1962"/>
      <c r="AAP3" s="1962"/>
      <c r="AAQ3" s="1962"/>
      <c r="AAR3" s="1962"/>
      <c r="AAS3" s="1962"/>
      <c r="AAT3" s="1962"/>
      <c r="AAU3" s="1962"/>
      <c r="AAV3" s="1962"/>
      <c r="AAW3" s="1962"/>
      <c r="AAX3" s="1962"/>
      <c r="AAY3" s="1962"/>
      <c r="AAZ3" s="1962"/>
      <c r="ABA3" s="1962"/>
      <c r="ABB3" s="1962"/>
      <c r="ABC3" s="1962"/>
      <c r="ABD3" s="1962"/>
      <c r="ABE3" s="1962"/>
      <c r="ABF3" s="1962"/>
      <c r="ABG3" s="1962"/>
      <c r="ABH3" s="1962"/>
      <c r="ABI3" s="1962"/>
      <c r="ABJ3" s="1962"/>
      <c r="ABK3" s="1962"/>
      <c r="ABL3" s="1962"/>
      <c r="ABM3" s="1962"/>
      <c r="ABN3" s="1962"/>
      <c r="ABO3" s="1962"/>
      <c r="ABP3" s="1962"/>
      <c r="ABQ3" s="1962"/>
      <c r="ABR3" s="1962"/>
      <c r="ABS3" s="1962"/>
      <c r="ABT3" s="1962"/>
      <c r="ABU3" s="1962"/>
      <c r="ABV3" s="1962"/>
      <c r="ABW3" s="1962"/>
      <c r="ABX3" s="1962"/>
      <c r="ABY3" s="1962"/>
      <c r="ABZ3" s="1962"/>
      <c r="ACA3" s="1962"/>
      <c r="ACB3" s="1962"/>
      <c r="ACC3" s="1962"/>
      <c r="ACD3" s="1962"/>
      <c r="ACE3" s="1962"/>
      <c r="ACF3" s="1962"/>
      <c r="ACG3" s="1962"/>
      <c r="ACH3" s="1962"/>
      <c r="ACI3" s="1962"/>
      <c r="ACJ3" s="1962"/>
      <c r="ACK3" s="1962"/>
      <c r="ACL3" s="1962"/>
      <c r="ACM3" s="1962"/>
      <c r="ACN3" s="1962"/>
      <c r="ACO3" s="1962"/>
      <c r="ACP3" s="1962"/>
      <c r="ACQ3" s="1962"/>
      <c r="ACR3" s="1962"/>
      <c r="ACS3" s="1962"/>
      <c r="ACT3" s="1962"/>
      <c r="ACU3" s="1962"/>
      <c r="ACV3" s="1962"/>
      <c r="ACW3" s="1962"/>
      <c r="ACX3" s="1962"/>
      <c r="ACY3" s="1962"/>
      <c r="ACZ3" s="1962"/>
      <c r="ADA3" s="1962"/>
      <c r="ADB3" s="1962"/>
      <c r="ADC3" s="1962"/>
      <c r="ADD3" s="1962"/>
      <c r="ADE3" s="1962"/>
      <c r="ADF3" s="1962"/>
      <c r="ADG3" s="1962"/>
      <c r="ADH3" s="1962"/>
      <c r="ADI3" s="1962"/>
      <c r="ADJ3" s="1962"/>
      <c r="ADK3" s="1962"/>
      <c r="ADL3" s="1962"/>
      <c r="ADM3" s="1962"/>
      <c r="ADN3" s="1962"/>
      <c r="ADO3" s="1962"/>
      <c r="ADP3" s="1962"/>
      <c r="ADQ3" s="1962"/>
      <c r="ADR3" s="1962"/>
      <c r="ADS3" s="1962"/>
      <c r="ADT3" s="1962"/>
      <c r="ADU3" s="1962"/>
      <c r="ADV3" s="1962"/>
      <c r="ADW3" s="1962"/>
      <c r="ADX3" s="1962"/>
      <c r="ADY3" s="1962"/>
      <c r="ADZ3" s="1962"/>
      <c r="AEA3" s="1962"/>
      <c r="AEB3" s="1962"/>
      <c r="AEC3" s="1962"/>
      <c r="AED3" s="1962"/>
      <c r="AEE3" s="1962"/>
      <c r="AEF3" s="1962"/>
      <c r="AEG3" s="1962"/>
      <c r="AEH3" s="1962"/>
      <c r="AEI3" s="1962"/>
      <c r="AEJ3" s="1962"/>
      <c r="AEK3" s="1962"/>
      <c r="AEL3" s="1962"/>
      <c r="AEM3" s="1962"/>
      <c r="AEN3" s="1962"/>
      <c r="AEO3" s="1962"/>
      <c r="AEP3" s="1962"/>
      <c r="AEQ3" s="1962"/>
      <c r="AER3" s="1962"/>
      <c r="AES3" s="1962"/>
      <c r="AET3" s="1962"/>
      <c r="AEU3" s="1962"/>
      <c r="AEV3" s="1962"/>
      <c r="AEW3" s="1962"/>
      <c r="AEX3" s="1962"/>
      <c r="AEY3" s="1962"/>
      <c r="AEZ3" s="1962"/>
      <c r="AFA3" s="1962"/>
      <c r="AFB3" s="1962"/>
      <c r="AFC3" s="1962"/>
      <c r="AFD3" s="1962"/>
      <c r="AFE3" s="1962"/>
      <c r="AFF3" s="1962"/>
      <c r="AFG3" s="1962"/>
      <c r="AFH3" s="1962"/>
      <c r="AFI3" s="1962"/>
      <c r="AFJ3" s="1962"/>
      <c r="AFK3" s="1962"/>
      <c r="AFL3" s="1962"/>
      <c r="AFM3" s="1962"/>
      <c r="AFN3" s="1962"/>
      <c r="AFO3" s="1962"/>
      <c r="AFP3" s="1962"/>
      <c r="AFQ3" s="1962"/>
      <c r="AFR3" s="1962"/>
      <c r="AFS3" s="1962"/>
      <c r="AFT3" s="1962"/>
      <c r="AFU3" s="1962"/>
      <c r="AFV3" s="1962"/>
      <c r="AFW3" s="1962"/>
      <c r="AFX3" s="1962"/>
      <c r="AFY3" s="1962"/>
      <c r="AFZ3" s="1962"/>
      <c r="AGA3" s="1962"/>
      <c r="AGB3" s="1962"/>
      <c r="AGC3" s="1962"/>
      <c r="AGD3" s="1962"/>
      <c r="AGE3" s="1962"/>
      <c r="AGF3" s="1962"/>
      <c r="AGG3" s="1962"/>
      <c r="AGH3" s="1962"/>
      <c r="AGI3" s="1962"/>
      <c r="AGJ3" s="1962"/>
      <c r="AGK3" s="1962"/>
      <c r="AGL3" s="1962"/>
      <c r="AGM3" s="1962"/>
      <c r="AGN3" s="1962"/>
      <c r="AGO3" s="1962"/>
      <c r="AGP3" s="1962"/>
      <c r="AGQ3" s="1962"/>
      <c r="AGR3" s="1962"/>
      <c r="AGS3" s="1962"/>
      <c r="AGT3" s="1962"/>
      <c r="AGU3" s="1962"/>
      <c r="AGV3" s="1962"/>
      <c r="AGW3" s="1962"/>
      <c r="AGX3" s="1962"/>
      <c r="AGY3" s="1962"/>
      <c r="AGZ3" s="1962"/>
      <c r="AHA3" s="1962"/>
      <c r="AHB3" s="1962"/>
      <c r="AHC3" s="1962"/>
      <c r="AHD3" s="1962"/>
      <c r="AHE3" s="1962"/>
      <c r="AHF3" s="1962"/>
      <c r="AHG3" s="1962"/>
      <c r="AHH3" s="1962"/>
      <c r="AHI3" s="1962"/>
      <c r="AHJ3" s="1962"/>
      <c r="AHK3" s="1962"/>
      <c r="AHL3" s="1962"/>
      <c r="AHM3" s="1962"/>
      <c r="AHN3" s="1962"/>
      <c r="AHO3" s="1962"/>
      <c r="AHP3" s="1962"/>
      <c r="AHQ3" s="1962"/>
      <c r="AHR3" s="1962"/>
      <c r="AHS3" s="1962"/>
      <c r="AHT3" s="1962"/>
      <c r="AHU3" s="1962"/>
      <c r="AHV3" s="1962"/>
      <c r="AHW3" s="1962"/>
      <c r="AHX3" s="1962"/>
      <c r="AHY3" s="1962"/>
      <c r="AHZ3" s="1962"/>
      <c r="AIA3" s="1962"/>
      <c r="AIB3" s="1962"/>
      <c r="AIC3" s="1962"/>
      <c r="AID3" s="1962"/>
      <c r="AIE3" s="1962"/>
      <c r="AIF3" s="1962"/>
      <c r="AIG3" s="1962"/>
      <c r="AIH3" s="1962"/>
      <c r="AII3" s="1962"/>
      <c r="AIJ3" s="1962"/>
      <c r="AIK3" s="1962"/>
      <c r="AIL3" s="1962"/>
      <c r="AIM3" s="1962"/>
      <c r="AIN3" s="1962"/>
      <c r="AIO3" s="1962"/>
      <c r="AIP3" s="1962"/>
      <c r="AIQ3" s="1962"/>
      <c r="AIR3" s="1962"/>
      <c r="AIS3" s="1962"/>
      <c r="AIT3" s="1962"/>
      <c r="AIU3" s="1962"/>
      <c r="AIV3" s="1962"/>
      <c r="AIW3" s="1962"/>
      <c r="AIX3" s="1962"/>
      <c r="AIY3" s="1962"/>
      <c r="AIZ3" s="1962"/>
      <c r="AJA3" s="1962"/>
      <c r="AJB3" s="1962"/>
      <c r="AJC3" s="1962"/>
      <c r="AJD3" s="1962"/>
      <c r="AJE3" s="1962"/>
      <c r="AJF3" s="1962"/>
      <c r="AJG3" s="1962"/>
      <c r="AJH3" s="1962"/>
      <c r="AJI3" s="1962"/>
      <c r="AJJ3" s="1962"/>
      <c r="AJK3" s="1962"/>
      <c r="AJL3" s="1962"/>
      <c r="AJM3" s="1962"/>
      <c r="AJN3" s="1962"/>
      <c r="AJO3" s="1962"/>
      <c r="AJP3" s="1962"/>
      <c r="AJQ3" s="1962"/>
      <c r="AJR3" s="1962"/>
      <c r="AJS3" s="1962"/>
      <c r="AJT3" s="1962"/>
      <c r="AJU3" s="1962"/>
      <c r="AJV3" s="1962"/>
      <c r="AJW3" s="1962"/>
      <c r="AJX3" s="1962"/>
      <c r="AJY3" s="1962"/>
      <c r="AJZ3" s="1962"/>
      <c r="AKA3" s="1962"/>
      <c r="AKB3" s="1962"/>
      <c r="AKC3" s="1962"/>
      <c r="AKD3" s="1962"/>
      <c r="AKE3" s="1962"/>
      <c r="AKF3" s="1962"/>
      <c r="AKG3" s="1962"/>
      <c r="AKH3" s="1962"/>
      <c r="AKI3" s="1962"/>
      <c r="AKJ3" s="1962"/>
      <c r="AKK3" s="1962"/>
      <c r="AKL3" s="1962"/>
      <c r="AKM3" s="1962"/>
      <c r="AKN3" s="1962"/>
      <c r="AKO3" s="1962"/>
      <c r="AKP3" s="1962"/>
      <c r="AKQ3" s="1962"/>
      <c r="AKR3" s="1962"/>
      <c r="AKS3" s="1962"/>
      <c r="AKT3" s="1962"/>
      <c r="AKU3" s="1962"/>
      <c r="AKV3" s="1962"/>
      <c r="AKW3" s="1962"/>
      <c r="AKX3" s="1962"/>
      <c r="AKY3" s="1962"/>
      <c r="AKZ3" s="1962"/>
      <c r="ALA3" s="1962"/>
      <c r="ALB3" s="1962"/>
      <c r="ALC3" s="1962"/>
      <c r="ALD3" s="1962"/>
      <c r="ALE3" s="1962"/>
      <c r="ALF3" s="1962"/>
      <c r="ALG3" s="1962"/>
      <c r="ALH3" s="1962"/>
      <c r="ALI3" s="1962"/>
      <c r="ALJ3" s="1962"/>
      <c r="ALK3" s="1962"/>
      <c r="ALL3" s="1962"/>
      <c r="ALM3" s="1962"/>
      <c r="ALN3" s="1962"/>
      <c r="ALO3" s="1962"/>
      <c r="ALP3" s="1962"/>
      <c r="ALQ3" s="1962"/>
      <c r="ALR3" s="1962"/>
      <c r="ALS3" s="1962"/>
      <c r="ALT3" s="1962"/>
      <c r="ALU3" s="1962"/>
      <c r="ALV3" s="1962"/>
      <c r="ALW3" s="1962"/>
      <c r="ALX3" s="1962"/>
      <c r="ALY3" s="1962"/>
      <c r="ALZ3" s="1962"/>
      <c r="AMA3" s="1962"/>
      <c r="AMB3" s="1962"/>
      <c r="AMC3" s="1962"/>
      <c r="AMD3" s="1962"/>
      <c r="AME3" s="1962"/>
      <c r="AMF3" s="1962"/>
      <c r="AMG3" s="1962"/>
      <c r="AMH3" s="1962"/>
      <c r="AMI3" s="1962"/>
      <c r="AMJ3" s="1962"/>
      <c r="AMK3" s="1962"/>
      <c r="AML3" s="1962"/>
      <c r="AMM3" s="1962"/>
      <c r="AMN3" s="1962"/>
      <c r="AMO3" s="1962"/>
      <c r="AMP3" s="1962"/>
      <c r="AMQ3" s="1962"/>
      <c r="AMR3" s="1962"/>
      <c r="AMS3" s="1962"/>
      <c r="AMT3" s="1962"/>
      <c r="AMU3" s="1962"/>
      <c r="AMV3" s="1962"/>
      <c r="AMW3" s="1962"/>
      <c r="AMX3" s="1962"/>
      <c r="AMY3" s="1962"/>
      <c r="AMZ3" s="1962"/>
      <c r="ANA3" s="1962"/>
      <c r="ANB3" s="1962"/>
      <c r="ANC3" s="1962"/>
      <c r="AND3" s="1962"/>
      <c r="ANE3" s="1962"/>
      <c r="ANF3" s="1962"/>
      <c r="ANG3" s="1962"/>
      <c r="ANH3" s="1962"/>
      <c r="ANI3" s="1962"/>
      <c r="ANJ3" s="1962"/>
      <c r="ANK3" s="1962"/>
      <c r="ANL3" s="1962"/>
      <c r="ANM3" s="1962"/>
      <c r="ANN3" s="1962"/>
      <c r="ANO3" s="1962"/>
      <c r="ANP3" s="1962"/>
      <c r="ANQ3" s="1962"/>
      <c r="ANR3" s="1962"/>
      <c r="ANS3" s="1962"/>
      <c r="ANT3" s="1962"/>
      <c r="ANU3" s="1962"/>
      <c r="ANV3" s="1962"/>
      <c r="ANW3" s="1962"/>
      <c r="ANX3" s="1962"/>
      <c r="ANY3" s="1962"/>
      <c r="ANZ3" s="1962"/>
      <c r="AOA3" s="1962"/>
      <c r="AOB3" s="1962"/>
      <c r="AOC3" s="1962"/>
      <c r="AOD3" s="1962"/>
      <c r="AOE3" s="1962"/>
      <c r="AOF3" s="1962"/>
      <c r="AOG3" s="1962"/>
      <c r="AOH3" s="1962"/>
      <c r="AOI3" s="1962"/>
      <c r="AOJ3" s="1962"/>
      <c r="AOK3" s="1962"/>
      <c r="AOL3" s="1962"/>
      <c r="AOM3" s="1962"/>
      <c r="AON3" s="1962"/>
      <c r="AOO3" s="1962"/>
      <c r="AOP3" s="1962"/>
      <c r="AOQ3" s="1962"/>
      <c r="AOR3" s="1962"/>
      <c r="AOS3" s="1962"/>
      <c r="AOT3" s="1962"/>
      <c r="AOU3" s="1962"/>
      <c r="AOV3" s="1962"/>
      <c r="AOW3" s="1962"/>
      <c r="AOX3" s="1962"/>
      <c r="AOY3" s="1962"/>
      <c r="AOZ3" s="1962"/>
      <c r="APA3" s="1962"/>
      <c r="APB3" s="1962"/>
      <c r="APC3" s="1962"/>
      <c r="APD3" s="1962"/>
      <c r="APE3" s="1962"/>
      <c r="APF3" s="1962"/>
      <c r="APG3" s="1962"/>
      <c r="APH3" s="1962"/>
      <c r="API3" s="1962"/>
      <c r="APJ3" s="1962"/>
      <c r="APK3" s="1962"/>
      <c r="APL3" s="1962"/>
      <c r="APM3" s="1962"/>
      <c r="APN3" s="1962"/>
      <c r="APO3" s="1962"/>
      <c r="APP3" s="1962"/>
      <c r="APQ3" s="1962"/>
      <c r="APR3" s="1962"/>
      <c r="APS3" s="1962"/>
      <c r="APT3" s="1962"/>
      <c r="APU3" s="1962"/>
      <c r="APV3" s="1962"/>
      <c r="APW3" s="1962"/>
      <c r="APX3" s="1962"/>
      <c r="APY3" s="1962"/>
      <c r="APZ3" s="1962"/>
      <c r="AQA3" s="1962"/>
      <c r="AQB3" s="1962"/>
      <c r="AQC3" s="1962"/>
      <c r="AQD3" s="1962"/>
      <c r="AQE3" s="1962"/>
      <c r="AQF3" s="1962"/>
      <c r="AQG3" s="1962"/>
      <c r="AQH3" s="1962"/>
      <c r="AQI3" s="1962"/>
      <c r="AQJ3" s="1962"/>
      <c r="AQK3" s="1962"/>
      <c r="AQL3" s="1962"/>
      <c r="AQM3" s="1962"/>
      <c r="AQN3" s="1962"/>
      <c r="AQO3" s="1962"/>
      <c r="AQP3" s="1962"/>
      <c r="AQQ3" s="1962"/>
      <c r="AQR3" s="1962"/>
      <c r="AQS3" s="1962"/>
      <c r="AQT3" s="1962"/>
      <c r="AQU3" s="1962"/>
      <c r="AQV3" s="1962"/>
      <c r="AQW3" s="1962"/>
      <c r="AQX3" s="1962"/>
      <c r="AQY3" s="1962"/>
      <c r="AQZ3" s="1962"/>
      <c r="ARA3" s="1962"/>
      <c r="ARB3" s="1962"/>
      <c r="ARC3" s="1962"/>
      <c r="ARD3" s="1962"/>
      <c r="ARE3" s="1962"/>
      <c r="ARF3" s="1962"/>
      <c r="ARG3" s="1962"/>
      <c r="ARH3" s="1962"/>
      <c r="ARI3" s="1962"/>
      <c r="ARJ3" s="1962"/>
      <c r="ARK3" s="1962"/>
      <c r="ARL3" s="1962"/>
      <c r="ARM3" s="1962"/>
      <c r="ARN3" s="1962"/>
      <c r="ARO3" s="1962"/>
      <c r="ARP3" s="1962"/>
      <c r="ARQ3" s="1962"/>
      <c r="ARR3" s="1962"/>
      <c r="ARS3" s="1962"/>
      <c r="ART3" s="1962"/>
      <c r="ARU3" s="1962"/>
      <c r="ARV3" s="1962"/>
      <c r="ARW3" s="1962"/>
      <c r="ARX3" s="1962"/>
      <c r="ARY3" s="1962"/>
      <c r="ARZ3" s="1962"/>
      <c r="ASA3" s="1962"/>
      <c r="ASB3" s="1962"/>
      <c r="ASC3" s="1962"/>
      <c r="ASD3" s="1962"/>
      <c r="ASE3" s="1962"/>
      <c r="ASF3" s="1962"/>
      <c r="ASG3" s="1962"/>
      <c r="ASH3" s="1962"/>
      <c r="ASI3" s="1962"/>
      <c r="ASJ3" s="1962"/>
      <c r="ASK3" s="1962"/>
      <c r="ASL3" s="1962"/>
      <c r="ASM3" s="1962"/>
      <c r="ASN3" s="1962"/>
      <c r="ASO3" s="1962"/>
      <c r="ASP3" s="1962"/>
      <c r="ASQ3" s="1962"/>
      <c r="ASR3" s="1962"/>
      <c r="ASS3" s="1962"/>
      <c r="AST3" s="1962"/>
      <c r="ASU3" s="1962"/>
      <c r="ASV3" s="1962"/>
      <c r="ASW3" s="1962"/>
      <c r="ASX3" s="1962"/>
      <c r="ASY3" s="1962"/>
      <c r="ASZ3" s="1962"/>
      <c r="ATA3" s="1962"/>
      <c r="ATB3" s="1962"/>
      <c r="ATC3" s="1962"/>
      <c r="ATD3" s="1962"/>
      <c r="ATE3" s="1962"/>
      <c r="ATF3" s="1962"/>
      <c r="ATG3" s="1962"/>
      <c r="ATH3" s="1962"/>
      <c r="ATI3" s="1962"/>
      <c r="ATJ3" s="1962"/>
      <c r="ATK3" s="1962"/>
      <c r="ATL3" s="1962"/>
      <c r="ATM3" s="1962"/>
      <c r="ATN3" s="1962"/>
      <c r="ATO3" s="1962"/>
      <c r="ATP3" s="1962"/>
      <c r="ATQ3" s="1962"/>
      <c r="ATR3" s="1962"/>
      <c r="ATS3" s="1962"/>
      <c r="ATT3" s="1962"/>
      <c r="ATU3" s="1962"/>
      <c r="ATV3" s="1962"/>
      <c r="ATW3" s="1962"/>
      <c r="ATX3" s="1962"/>
      <c r="ATY3" s="1962"/>
      <c r="ATZ3" s="1962"/>
      <c r="AUA3" s="1962"/>
      <c r="AUB3" s="1962"/>
      <c r="AUC3" s="1962"/>
      <c r="AUD3" s="1962"/>
      <c r="AUE3" s="1962"/>
      <c r="AUF3" s="1962"/>
      <c r="AUG3" s="1962"/>
      <c r="AUH3" s="1962"/>
      <c r="AUI3" s="1962"/>
      <c r="AUJ3" s="1962"/>
      <c r="AUK3" s="1962"/>
      <c r="AUL3" s="1962"/>
      <c r="AUM3" s="1962"/>
      <c r="AUN3" s="1962"/>
      <c r="AUO3" s="1962"/>
      <c r="AUP3" s="1962"/>
      <c r="AUQ3" s="1962"/>
      <c r="AUR3" s="1962"/>
      <c r="AUS3" s="1962"/>
      <c r="AUT3" s="1962"/>
      <c r="AUU3" s="1962"/>
      <c r="AUV3" s="1962"/>
      <c r="AUW3" s="1962"/>
      <c r="AUX3" s="1962"/>
      <c r="AUY3" s="1962"/>
      <c r="AUZ3" s="1962"/>
      <c r="AVA3" s="1962"/>
      <c r="AVB3" s="1962"/>
      <c r="AVC3" s="1962"/>
      <c r="AVD3" s="1962"/>
      <c r="AVE3" s="1962"/>
      <c r="AVF3" s="1962"/>
      <c r="AVG3" s="1962"/>
      <c r="AVH3" s="1962"/>
      <c r="AVI3" s="1962"/>
      <c r="AVJ3" s="1962"/>
      <c r="AVK3" s="1962"/>
      <c r="AVL3" s="1962"/>
      <c r="AVM3" s="1962"/>
      <c r="AVN3" s="1962"/>
      <c r="AVO3" s="1962"/>
      <c r="AVP3" s="1962"/>
      <c r="AVQ3" s="1962"/>
      <c r="AVR3" s="1962"/>
      <c r="AVS3" s="1962"/>
      <c r="AVT3" s="1962"/>
      <c r="AVU3" s="1962"/>
      <c r="AVV3" s="1962"/>
      <c r="AVW3" s="1962"/>
      <c r="AVX3" s="1962"/>
      <c r="AVY3" s="1962"/>
      <c r="AVZ3" s="1962"/>
      <c r="AWA3" s="1962"/>
      <c r="AWB3" s="1962"/>
      <c r="AWC3" s="1962"/>
      <c r="AWD3" s="1962"/>
      <c r="AWE3" s="1962"/>
      <c r="AWF3" s="1962"/>
      <c r="AWG3" s="1962"/>
      <c r="AWH3" s="1962"/>
      <c r="AWI3" s="1962"/>
      <c r="AWJ3" s="1962"/>
      <c r="AWK3" s="1962"/>
      <c r="AWL3" s="1962"/>
      <c r="AWM3" s="1962"/>
      <c r="AWN3" s="1962"/>
      <c r="AWO3" s="1962"/>
      <c r="AWP3" s="1962"/>
      <c r="AWQ3" s="1962"/>
      <c r="AWR3" s="1962"/>
      <c r="AWS3" s="1962"/>
      <c r="AWT3" s="1962"/>
      <c r="AWU3" s="1962"/>
      <c r="AWV3" s="1962"/>
      <c r="AWW3" s="1962"/>
      <c r="AWX3" s="1962"/>
      <c r="AWY3" s="1962"/>
      <c r="AWZ3" s="1962"/>
      <c r="AXA3" s="1962"/>
      <c r="AXB3" s="1962"/>
      <c r="AXC3" s="1962"/>
      <c r="AXD3" s="1962"/>
      <c r="AXE3" s="1962"/>
      <c r="AXF3" s="1962"/>
      <c r="AXG3" s="1962"/>
      <c r="AXH3" s="1962"/>
      <c r="AXI3" s="1962"/>
      <c r="AXJ3" s="1962"/>
      <c r="AXK3" s="1962"/>
      <c r="AXL3" s="1962"/>
      <c r="AXM3" s="1962"/>
      <c r="AXN3" s="1962"/>
      <c r="AXO3" s="1962"/>
      <c r="AXP3" s="1962"/>
      <c r="AXQ3" s="1962"/>
      <c r="AXR3" s="1962"/>
      <c r="AXS3" s="1962"/>
      <c r="AXT3" s="1962"/>
      <c r="AXU3" s="1962"/>
      <c r="AXV3" s="1962"/>
      <c r="AXW3" s="1962"/>
      <c r="AXX3" s="1962"/>
      <c r="AXY3" s="1962"/>
      <c r="AXZ3" s="1962"/>
      <c r="AYA3" s="1962"/>
      <c r="AYB3" s="1962"/>
      <c r="AYC3" s="1962"/>
      <c r="AYD3" s="1962"/>
      <c r="AYE3" s="1962"/>
      <c r="AYF3" s="1962"/>
      <c r="AYG3" s="1962"/>
      <c r="AYH3" s="1962"/>
      <c r="AYI3" s="1962"/>
      <c r="AYJ3" s="1962"/>
      <c r="AYK3" s="1962"/>
      <c r="AYL3" s="1962"/>
      <c r="AYM3" s="1962"/>
      <c r="AYN3" s="1962"/>
      <c r="AYO3" s="1962"/>
      <c r="AYP3" s="1962"/>
      <c r="AYQ3" s="1962"/>
      <c r="AYR3" s="1962"/>
      <c r="AYS3" s="1962"/>
      <c r="AYT3" s="1962"/>
      <c r="AYU3" s="1962"/>
      <c r="AYV3" s="1962"/>
      <c r="AYW3" s="1962"/>
      <c r="AYX3" s="1962"/>
      <c r="AYY3" s="1962"/>
      <c r="AYZ3" s="1962"/>
      <c r="AZA3" s="1962"/>
      <c r="AZB3" s="1962"/>
      <c r="AZC3" s="1962"/>
      <c r="AZD3" s="1962"/>
      <c r="AZE3" s="1962"/>
      <c r="AZF3" s="1962"/>
      <c r="AZG3" s="1962"/>
      <c r="AZH3" s="1962"/>
      <c r="AZI3" s="1962"/>
      <c r="AZJ3" s="1962"/>
      <c r="AZK3" s="1962"/>
      <c r="AZL3" s="1962"/>
      <c r="AZM3" s="1962"/>
      <c r="AZN3" s="1962"/>
      <c r="AZO3" s="1962"/>
      <c r="AZP3" s="1962"/>
      <c r="AZQ3" s="1962"/>
      <c r="AZR3" s="1962"/>
      <c r="AZS3" s="1962"/>
      <c r="AZT3" s="1962"/>
      <c r="AZU3" s="1962"/>
      <c r="AZV3" s="1962"/>
      <c r="AZW3" s="1962"/>
      <c r="AZX3" s="1962"/>
      <c r="AZY3" s="1962"/>
      <c r="AZZ3" s="1962"/>
      <c r="BAA3" s="1962"/>
      <c r="BAB3" s="1962"/>
      <c r="BAC3" s="1962"/>
      <c r="BAD3" s="1962"/>
      <c r="BAE3" s="1962"/>
      <c r="BAF3" s="1962"/>
      <c r="BAG3" s="1962"/>
      <c r="BAH3" s="1962"/>
      <c r="BAI3" s="1962"/>
      <c r="BAJ3" s="1962"/>
      <c r="BAK3" s="1962"/>
      <c r="BAL3" s="1962"/>
      <c r="BAM3" s="1962"/>
      <c r="BAN3" s="1962"/>
      <c r="BAO3" s="1962"/>
      <c r="BAP3" s="1962"/>
      <c r="BAQ3" s="1962"/>
      <c r="BAR3" s="1962"/>
      <c r="BAS3" s="1962"/>
      <c r="BAT3" s="1962"/>
      <c r="BAU3" s="1962"/>
      <c r="BAV3" s="1962"/>
      <c r="BAW3" s="1962"/>
      <c r="BAX3" s="1962"/>
      <c r="BAY3" s="1962"/>
      <c r="BAZ3" s="1962"/>
      <c r="BBA3" s="1962"/>
      <c r="BBB3" s="1962"/>
      <c r="BBC3" s="1962"/>
      <c r="BBD3" s="1962"/>
      <c r="BBE3" s="1962"/>
      <c r="BBF3" s="1962"/>
      <c r="BBG3" s="1962"/>
      <c r="BBH3" s="1962"/>
      <c r="BBI3" s="1962"/>
      <c r="BBJ3" s="1962"/>
      <c r="BBK3" s="1962"/>
      <c r="BBL3" s="1962"/>
      <c r="BBM3" s="1962"/>
      <c r="BBN3" s="1962"/>
      <c r="BBO3" s="1962"/>
      <c r="BBP3" s="1962"/>
      <c r="BBQ3" s="1962"/>
      <c r="BBR3" s="1962"/>
      <c r="BBS3" s="1962"/>
      <c r="BBT3" s="1962"/>
      <c r="BBU3" s="1962"/>
      <c r="BBV3" s="1962"/>
      <c r="BBW3" s="1962"/>
      <c r="BBX3" s="1962"/>
      <c r="BBY3" s="1962"/>
      <c r="BBZ3" s="1962"/>
      <c r="BCA3" s="1962"/>
      <c r="BCB3" s="1962"/>
      <c r="BCC3" s="1962"/>
      <c r="BCD3" s="1962"/>
      <c r="BCE3" s="1962"/>
      <c r="BCF3" s="1962"/>
      <c r="BCG3" s="1962"/>
      <c r="BCH3" s="1962"/>
      <c r="BCI3" s="1962"/>
      <c r="BCJ3" s="1962"/>
      <c r="BCK3" s="1962"/>
      <c r="BCL3" s="1962"/>
      <c r="BCM3" s="1962"/>
      <c r="BCN3" s="1962"/>
      <c r="BCO3" s="1962"/>
      <c r="BCP3" s="1962"/>
      <c r="BCQ3" s="1962"/>
      <c r="BCR3" s="1962"/>
      <c r="BCS3" s="1962"/>
      <c r="BCT3" s="1962"/>
      <c r="BCU3" s="1962"/>
      <c r="BCV3" s="1962"/>
      <c r="BCW3" s="1962"/>
      <c r="BCX3" s="1962"/>
      <c r="BCY3" s="1962"/>
      <c r="BCZ3" s="1962"/>
      <c r="BDA3" s="1962"/>
      <c r="BDB3" s="1962"/>
      <c r="BDC3" s="1962"/>
      <c r="BDD3" s="1962"/>
      <c r="BDE3" s="1962"/>
      <c r="BDF3" s="1962"/>
      <c r="BDG3" s="1962"/>
      <c r="BDH3" s="1962"/>
      <c r="BDI3" s="1962"/>
      <c r="BDJ3" s="1962"/>
      <c r="BDK3" s="1962"/>
      <c r="BDL3" s="1962"/>
      <c r="BDM3" s="1962"/>
      <c r="BDN3" s="1962"/>
      <c r="BDO3" s="1962"/>
      <c r="BDP3" s="1962"/>
      <c r="BDQ3" s="1962"/>
      <c r="BDR3" s="1962"/>
      <c r="BDS3" s="1962"/>
      <c r="BDT3" s="1962"/>
      <c r="BDU3" s="1962"/>
      <c r="BDV3" s="1962"/>
      <c r="BDW3" s="1962"/>
      <c r="BDX3" s="1962"/>
      <c r="BDY3" s="1962"/>
      <c r="BDZ3" s="1962"/>
      <c r="BEA3" s="1962"/>
      <c r="BEB3" s="1962"/>
      <c r="BEC3" s="1962"/>
      <c r="BED3" s="1962"/>
      <c r="BEE3" s="1962"/>
      <c r="BEF3" s="1962"/>
      <c r="BEG3" s="1962"/>
      <c r="BEH3" s="1962"/>
      <c r="BEI3" s="1962"/>
      <c r="BEJ3" s="1962"/>
      <c r="BEK3" s="1962"/>
      <c r="BEL3" s="1962"/>
      <c r="BEM3" s="1962"/>
      <c r="BEN3" s="1962"/>
      <c r="BEO3" s="1962"/>
      <c r="BEP3" s="1962"/>
      <c r="BEQ3" s="1962"/>
      <c r="BER3" s="1962"/>
      <c r="BES3" s="1962"/>
      <c r="BET3" s="1962"/>
      <c r="BEU3" s="1962"/>
      <c r="BEV3" s="1962"/>
      <c r="BEW3" s="1962"/>
      <c r="BEX3" s="1962"/>
      <c r="BEY3" s="1962"/>
      <c r="BEZ3" s="1962"/>
      <c r="BFA3" s="1962"/>
      <c r="BFB3" s="1962"/>
      <c r="BFC3" s="1962"/>
      <c r="BFD3" s="1962"/>
      <c r="BFE3" s="1962"/>
      <c r="BFF3" s="1962"/>
      <c r="BFG3" s="1962"/>
      <c r="BFH3" s="1962"/>
      <c r="BFI3" s="1962"/>
      <c r="BFJ3" s="1962"/>
      <c r="BFK3" s="1962"/>
      <c r="BFL3" s="1962"/>
      <c r="BFM3" s="1962"/>
      <c r="BFN3" s="1962"/>
      <c r="BFO3" s="1962"/>
      <c r="BFP3" s="1962"/>
      <c r="BFQ3" s="1962"/>
      <c r="BFR3" s="1962"/>
      <c r="BFS3" s="1962"/>
      <c r="BFT3" s="1962"/>
      <c r="BFU3" s="1962"/>
      <c r="BFV3" s="1962"/>
      <c r="BFW3" s="1962"/>
      <c r="BFX3" s="1962"/>
      <c r="BFY3" s="1962"/>
      <c r="BFZ3" s="1962"/>
      <c r="BGA3" s="1962"/>
      <c r="BGB3" s="1962"/>
      <c r="BGC3" s="1962"/>
      <c r="BGD3" s="1962"/>
      <c r="BGE3" s="1962"/>
      <c r="BGF3" s="1962"/>
      <c r="BGG3" s="1962"/>
      <c r="BGH3" s="1962"/>
      <c r="BGI3" s="1962"/>
      <c r="BGJ3" s="1962"/>
      <c r="BGK3" s="1962"/>
      <c r="BGL3" s="1962"/>
      <c r="BGM3" s="1962"/>
      <c r="BGN3" s="1962"/>
      <c r="BGO3" s="1962"/>
      <c r="BGP3" s="1962"/>
      <c r="BGQ3" s="1962"/>
      <c r="BGR3" s="1962"/>
      <c r="BGS3" s="1962"/>
      <c r="BGT3" s="1962"/>
      <c r="BGU3" s="1962"/>
      <c r="BGV3" s="1962"/>
      <c r="BGW3" s="1962"/>
      <c r="BGX3" s="1962"/>
      <c r="BGY3" s="1962"/>
      <c r="BGZ3" s="1962"/>
      <c r="BHA3" s="1962"/>
      <c r="BHB3" s="1962"/>
      <c r="BHC3" s="1962"/>
      <c r="BHD3" s="1962"/>
      <c r="BHE3" s="1962"/>
      <c r="BHF3" s="1962"/>
      <c r="BHG3" s="1962"/>
      <c r="BHH3" s="1962"/>
      <c r="BHI3" s="1962"/>
      <c r="BHJ3" s="1962"/>
      <c r="BHK3" s="1962"/>
      <c r="BHL3" s="1962"/>
      <c r="BHM3" s="1962"/>
      <c r="BHN3" s="1962"/>
      <c r="BHO3" s="1962"/>
      <c r="BHP3" s="1962"/>
      <c r="BHQ3" s="1962"/>
      <c r="BHR3" s="1962"/>
      <c r="BHS3" s="1962"/>
      <c r="BHT3" s="1962"/>
      <c r="BHU3" s="1962"/>
      <c r="BHV3" s="1962"/>
      <c r="BHW3" s="1962"/>
      <c r="BHX3" s="1962"/>
      <c r="BHY3" s="1962"/>
      <c r="BHZ3" s="1962"/>
      <c r="BIA3" s="1962"/>
      <c r="BIB3" s="1962"/>
      <c r="BIC3" s="1962"/>
      <c r="BID3" s="1962"/>
      <c r="BIE3" s="1962"/>
      <c r="BIF3" s="1962"/>
      <c r="BIG3" s="1962"/>
      <c r="BIH3" s="1962"/>
      <c r="BII3" s="1962"/>
      <c r="BIJ3" s="1962"/>
      <c r="BIK3" s="1962"/>
      <c r="BIL3" s="1962"/>
      <c r="BIM3" s="1962"/>
      <c r="BIN3" s="1962"/>
      <c r="BIO3" s="1962"/>
      <c r="BIP3" s="1962"/>
      <c r="BIQ3" s="1962"/>
      <c r="BIR3" s="1962"/>
      <c r="BIS3" s="1962"/>
      <c r="BIT3" s="1962"/>
      <c r="BIU3" s="1962"/>
      <c r="BIV3" s="1962"/>
      <c r="BIW3" s="1962"/>
      <c r="BIX3" s="1962"/>
      <c r="BIY3" s="1962"/>
      <c r="BIZ3" s="1962"/>
      <c r="BJA3" s="1962"/>
      <c r="BJB3" s="1962"/>
      <c r="BJC3" s="1962"/>
      <c r="BJD3" s="1962"/>
      <c r="BJE3" s="1962"/>
      <c r="BJF3" s="1962"/>
      <c r="BJG3" s="1962"/>
      <c r="BJH3" s="1962"/>
      <c r="BJI3" s="1962"/>
      <c r="BJJ3" s="1962"/>
      <c r="BJK3" s="1962"/>
      <c r="BJL3" s="1962"/>
      <c r="BJM3" s="1962"/>
      <c r="BJN3" s="1962"/>
      <c r="BJO3" s="1962"/>
      <c r="BJP3" s="1962"/>
      <c r="BJQ3" s="1962"/>
      <c r="BJR3" s="1962"/>
      <c r="BJS3" s="1962"/>
      <c r="BJT3" s="1962"/>
      <c r="BJU3" s="1962"/>
      <c r="BJV3" s="1962"/>
      <c r="BJW3" s="1962"/>
      <c r="BJX3" s="1962"/>
      <c r="BJY3" s="1962"/>
      <c r="BJZ3" s="1962"/>
      <c r="BKA3" s="1962"/>
      <c r="BKB3" s="1962"/>
      <c r="BKC3" s="1962"/>
      <c r="BKD3" s="1962"/>
      <c r="BKE3" s="1962"/>
      <c r="BKF3" s="1962"/>
      <c r="BKG3" s="1962"/>
      <c r="BKH3" s="1962"/>
      <c r="BKI3" s="1962"/>
      <c r="BKJ3" s="1962"/>
      <c r="BKK3" s="1962"/>
      <c r="BKL3" s="1962"/>
      <c r="BKM3" s="1962"/>
      <c r="BKN3" s="1962"/>
      <c r="BKO3" s="1962"/>
      <c r="BKP3" s="1962"/>
      <c r="BKQ3" s="1962"/>
      <c r="BKR3" s="1962"/>
      <c r="BKS3" s="1962"/>
      <c r="BKT3" s="1962"/>
      <c r="BKU3" s="1962"/>
      <c r="BKV3" s="1962"/>
      <c r="BKW3" s="1962"/>
      <c r="BKX3" s="1962"/>
      <c r="BKY3" s="1962"/>
      <c r="BKZ3" s="1962"/>
      <c r="BLA3" s="1962"/>
      <c r="BLB3" s="1962"/>
      <c r="BLC3" s="1962"/>
      <c r="BLD3" s="1962"/>
      <c r="BLE3" s="1962"/>
      <c r="BLF3" s="1962"/>
      <c r="BLG3" s="1962"/>
      <c r="BLH3" s="1962"/>
      <c r="BLI3" s="1962"/>
      <c r="BLJ3" s="1962"/>
      <c r="BLK3" s="1962"/>
      <c r="BLL3" s="1962"/>
      <c r="BLM3" s="1962"/>
      <c r="BLN3" s="1962"/>
      <c r="BLO3" s="1962"/>
      <c r="BLP3" s="1962"/>
      <c r="BLQ3" s="1962"/>
      <c r="BLR3" s="1962"/>
      <c r="BLS3" s="1962"/>
      <c r="BLT3" s="1962"/>
      <c r="BLU3" s="1962"/>
      <c r="BLV3" s="1962"/>
      <c r="BLW3" s="1962"/>
      <c r="BLX3" s="1962"/>
      <c r="BLY3" s="1962"/>
      <c r="BLZ3" s="1962"/>
      <c r="BMA3" s="1962"/>
      <c r="BMB3" s="1962"/>
      <c r="BMC3" s="1962"/>
      <c r="BMD3" s="1962"/>
      <c r="BME3" s="1962"/>
      <c r="BMF3" s="1962"/>
      <c r="BMG3" s="1962"/>
      <c r="BMH3" s="1962"/>
      <c r="BMI3" s="1962"/>
      <c r="BMJ3" s="1962"/>
      <c r="BMK3" s="1962"/>
      <c r="BML3" s="1962"/>
      <c r="BMM3" s="1962"/>
      <c r="BMN3" s="1962"/>
      <c r="BMO3" s="1962"/>
      <c r="BMP3" s="1962"/>
      <c r="BMQ3" s="1962"/>
      <c r="BMR3" s="1962"/>
      <c r="BMS3" s="1962"/>
      <c r="BMT3" s="1962"/>
      <c r="BMU3" s="1962"/>
      <c r="BMV3" s="1962"/>
      <c r="BMW3" s="1962"/>
      <c r="BMX3" s="1962"/>
      <c r="BMY3" s="1962"/>
      <c r="BMZ3" s="1962"/>
      <c r="BNA3" s="1962"/>
      <c r="BNB3" s="1962"/>
      <c r="BNC3" s="1962"/>
      <c r="BND3" s="1962"/>
      <c r="BNE3" s="1962"/>
      <c r="BNF3" s="1962"/>
      <c r="BNG3" s="1962"/>
      <c r="BNH3" s="1962"/>
      <c r="BNI3" s="1962"/>
      <c r="BNJ3" s="1962"/>
      <c r="BNK3" s="1962"/>
      <c r="BNL3" s="1962"/>
      <c r="BNM3" s="1962"/>
      <c r="BNN3" s="1962"/>
      <c r="BNO3" s="1962"/>
      <c r="BNP3" s="1962"/>
      <c r="BNQ3" s="1962"/>
      <c r="BNR3" s="1962"/>
      <c r="BNS3" s="1962"/>
      <c r="BNT3" s="1962"/>
      <c r="BNU3" s="1962"/>
      <c r="BNV3" s="1962"/>
      <c r="BNW3" s="1962"/>
      <c r="BNX3" s="1962"/>
      <c r="BNY3" s="1962"/>
      <c r="BNZ3" s="1962"/>
      <c r="BOA3" s="1962"/>
      <c r="BOB3" s="1962"/>
      <c r="BOC3" s="1962"/>
      <c r="BOD3" s="1962"/>
      <c r="BOE3" s="1962"/>
      <c r="BOF3" s="1962"/>
      <c r="BOG3" s="1962"/>
      <c r="BOH3" s="1962"/>
      <c r="BOI3" s="1962"/>
      <c r="BOJ3" s="1962"/>
      <c r="BOK3" s="1962"/>
      <c r="BOL3" s="1962"/>
      <c r="BOM3" s="1962"/>
      <c r="BON3" s="1962"/>
      <c r="BOO3" s="1962"/>
      <c r="BOP3" s="1962"/>
      <c r="BOQ3" s="1962"/>
      <c r="BOR3" s="1962"/>
      <c r="BOS3" s="1962"/>
      <c r="BOT3" s="1962"/>
      <c r="BOU3" s="1962"/>
      <c r="BOV3" s="1962"/>
      <c r="BOW3" s="1962"/>
      <c r="BOX3" s="1962"/>
      <c r="BOY3" s="1962"/>
      <c r="BOZ3" s="1962"/>
      <c r="BPA3" s="1962"/>
      <c r="BPB3" s="1962"/>
      <c r="BPC3" s="1962"/>
      <c r="BPD3" s="1962"/>
      <c r="BPE3" s="1962"/>
      <c r="BPF3" s="1962"/>
      <c r="BPG3" s="1962"/>
      <c r="BPH3" s="1962"/>
      <c r="BPI3" s="1962"/>
      <c r="BPJ3" s="1962"/>
      <c r="BPK3" s="1962"/>
      <c r="BPL3" s="1962"/>
      <c r="BPM3" s="1962"/>
      <c r="BPN3" s="1962"/>
      <c r="BPO3" s="1962"/>
      <c r="BPP3" s="1962"/>
      <c r="BPQ3" s="1962"/>
      <c r="BPR3" s="1962"/>
      <c r="BPS3" s="1962"/>
      <c r="BPT3" s="1962"/>
      <c r="BPU3" s="1962"/>
      <c r="BPV3" s="1962"/>
      <c r="BPW3" s="1962"/>
      <c r="BPX3" s="1962"/>
      <c r="BPY3" s="1962"/>
      <c r="BPZ3" s="1962"/>
      <c r="BQA3" s="1962"/>
      <c r="BQB3" s="1962"/>
      <c r="BQC3" s="1962"/>
      <c r="BQD3" s="1962"/>
      <c r="BQE3" s="1962"/>
      <c r="BQF3" s="1962"/>
      <c r="BQG3" s="1962"/>
      <c r="BQH3" s="1962"/>
      <c r="BQI3" s="1962"/>
      <c r="BQJ3" s="1962"/>
      <c r="BQK3" s="1962"/>
      <c r="BQL3" s="1962"/>
      <c r="BQM3" s="1962"/>
      <c r="BQN3" s="1962"/>
      <c r="BQO3" s="1962"/>
      <c r="BQP3" s="1962"/>
      <c r="BQQ3" s="1962"/>
      <c r="BQR3" s="1962"/>
      <c r="BQS3" s="1962"/>
      <c r="BQT3" s="1962"/>
      <c r="BQU3" s="1962"/>
      <c r="BQV3" s="1962"/>
      <c r="BQW3" s="1962"/>
      <c r="BQX3" s="1962"/>
      <c r="BQY3" s="1962"/>
      <c r="BQZ3" s="1962"/>
      <c r="BRA3" s="1962"/>
      <c r="BRB3" s="1962"/>
      <c r="BRC3" s="1962"/>
      <c r="BRD3" s="1962"/>
      <c r="BRE3" s="1962"/>
      <c r="BRF3" s="1962"/>
      <c r="BRG3" s="1962"/>
      <c r="BRH3" s="1962"/>
      <c r="BRI3" s="1962"/>
      <c r="BRJ3" s="1962"/>
      <c r="BRK3" s="1962"/>
      <c r="BRL3" s="1962"/>
      <c r="BRM3" s="1962"/>
      <c r="BRN3" s="1962"/>
      <c r="BRO3" s="1962"/>
      <c r="BRP3" s="1962"/>
      <c r="BRQ3" s="1962"/>
      <c r="BRR3" s="1962"/>
      <c r="BRS3" s="1962"/>
      <c r="BRT3" s="1962"/>
      <c r="BRU3" s="1962"/>
      <c r="BRV3" s="1962"/>
      <c r="BRW3" s="1962"/>
      <c r="BRX3" s="1962"/>
      <c r="BRY3" s="1962"/>
      <c r="BRZ3" s="1962"/>
      <c r="BSA3" s="1962"/>
      <c r="BSB3" s="1962"/>
      <c r="BSC3" s="1962"/>
      <c r="BSD3" s="1962"/>
      <c r="BSE3" s="1962"/>
      <c r="BSF3" s="1962"/>
      <c r="BSG3" s="1962"/>
      <c r="BSH3" s="1962"/>
      <c r="BSI3" s="1962"/>
      <c r="BSJ3" s="1962"/>
      <c r="BSK3" s="1962"/>
      <c r="BSL3" s="1962"/>
      <c r="BSM3" s="1962"/>
      <c r="BSN3" s="1962"/>
      <c r="BSO3" s="1962"/>
      <c r="BSP3" s="1962"/>
      <c r="BSQ3" s="1962"/>
      <c r="BSR3" s="1962"/>
      <c r="BSS3" s="1962"/>
      <c r="BST3" s="1962"/>
      <c r="BSU3" s="1962"/>
      <c r="BSV3" s="1962"/>
      <c r="BSW3" s="1962"/>
      <c r="BSX3" s="1962"/>
      <c r="BSY3" s="1962"/>
      <c r="BSZ3" s="1962"/>
      <c r="BTA3" s="1962"/>
      <c r="BTB3" s="1962"/>
      <c r="BTC3" s="1962"/>
      <c r="BTD3" s="1962"/>
      <c r="BTE3" s="1962"/>
      <c r="BTF3" s="1962"/>
      <c r="BTG3" s="1962"/>
      <c r="BTH3" s="1962"/>
      <c r="BTI3" s="1962"/>
      <c r="BTJ3" s="1962"/>
      <c r="BTK3" s="1962"/>
      <c r="BTL3" s="1962"/>
      <c r="BTM3" s="1962"/>
      <c r="BTN3" s="1962"/>
      <c r="BTO3" s="1962"/>
      <c r="BTP3" s="1962"/>
      <c r="BTQ3" s="1962"/>
      <c r="BTR3" s="1962"/>
      <c r="BTS3" s="1962"/>
      <c r="BTT3" s="1962"/>
      <c r="BTU3" s="1962"/>
      <c r="BTV3" s="1962"/>
      <c r="BTW3" s="1962"/>
      <c r="BTX3" s="1962"/>
      <c r="BTY3" s="1962"/>
      <c r="BTZ3" s="1962"/>
      <c r="BUA3" s="1962"/>
      <c r="BUB3" s="1962"/>
      <c r="BUC3" s="1962"/>
      <c r="BUD3" s="1962"/>
      <c r="BUE3" s="1962"/>
      <c r="BUF3" s="1962"/>
      <c r="BUG3" s="1962"/>
      <c r="BUH3" s="1962"/>
      <c r="BUI3" s="1962"/>
      <c r="BUJ3" s="1962"/>
      <c r="BUK3" s="1962"/>
      <c r="BUL3" s="1962"/>
      <c r="BUM3" s="1962"/>
      <c r="BUN3" s="1962"/>
      <c r="BUO3" s="1962"/>
      <c r="BUP3" s="1962"/>
      <c r="BUQ3" s="1962"/>
      <c r="BUR3" s="1962"/>
      <c r="BUS3" s="1962"/>
      <c r="BUT3" s="1962"/>
      <c r="BUU3" s="1962"/>
      <c r="BUV3" s="1962"/>
      <c r="BUW3" s="1962"/>
      <c r="BUX3" s="1962"/>
      <c r="BUY3" s="1962"/>
      <c r="BUZ3" s="1962"/>
      <c r="BVA3" s="1962"/>
      <c r="BVB3" s="1962"/>
      <c r="BVC3" s="1962"/>
      <c r="BVD3" s="1962"/>
      <c r="BVE3" s="1962"/>
      <c r="BVF3" s="1962"/>
      <c r="BVG3" s="1962"/>
      <c r="BVH3" s="1962"/>
      <c r="BVI3" s="1962"/>
      <c r="BVJ3" s="1962"/>
      <c r="BVK3" s="1962"/>
      <c r="BVL3" s="1962"/>
      <c r="BVM3" s="1962"/>
      <c r="BVN3" s="1962"/>
      <c r="BVO3" s="1962"/>
      <c r="BVP3" s="1962"/>
      <c r="BVQ3" s="1962"/>
      <c r="BVR3" s="1962"/>
      <c r="BVS3" s="1962"/>
      <c r="BVT3" s="1962"/>
      <c r="BVU3" s="1962"/>
      <c r="BVV3" s="1962"/>
      <c r="BVW3" s="1962"/>
      <c r="BVX3" s="1962"/>
      <c r="BVY3" s="1962"/>
      <c r="BVZ3" s="1962"/>
      <c r="BWA3" s="1962"/>
      <c r="BWB3" s="1962"/>
      <c r="BWC3" s="1962"/>
      <c r="BWD3" s="1962"/>
      <c r="BWE3" s="1962"/>
      <c r="BWF3" s="1962"/>
      <c r="BWG3" s="1962"/>
      <c r="BWH3" s="1962"/>
      <c r="BWI3" s="1962"/>
      <c r="BWJ3" s="1962"/>
      <c r="BWK3" s="1962"/>
      <c r="BWL3" s="1962"/>
      <c r="BWM3" s="1962"/>
      <c r="BWN3" s="1962"/>
      <c r="BWO3" s="1962"/>
      <c r="BWP3" s="1962"/>
      <c r="BWQ3" s="1962"/>
      <c r="BWR3" s="1962"/>
      <c r="BWS3" s="1962"/>
      <c r="BWT3" s="1962"/>
      <c r="BWU3" s="1962"/>
      <c r="BWV3" s="1962"/>
      <c r="BWW3" s="1962"/>
      <c r="BWX3" s="1962"/>
      <c r="BWY3" s="1962"/>
      <c r="BWZ3" s="1962"/>
      <c r="BXA3" s="1962"/>
      <c r="BXB3" s="1962"/>
      <c r="BXC3" s="1962"/>
      <c r="BXD3" s="1962"/>
      <c r="BXE3" s="1962"/>
      <c r="BXF3" s="1962"/>
      <c r="BXG3" s="1962"/>
      <c r="BXH3" s="1962"/>
      <c r="BXI3" s="1962"/>
      <c r="BXJ3" s="1962"/>
      <c r="BXK3" s="1962"/>
      <c r="BXL3" s="1962"/>
      <c r="BXM3" s="1962"/>
      <c r="BXN3" s="1962"/>
      <c r="BXO3" s="1962"/>
      <c r="BXP3" s="1962"/>
      <c r="BXQ3" s="1962"/>
      <c r="BXR3" s="1962"/>
      <c r="BXS3" s="1962"/>
      <c r="BXT3" s="1962"/>
      <c r="BXU3" s="1962"/>
      <c r="BXV3" s="1962"/>
      <c r="BXW3" s="1962"/>
      <c r="BXX3" s="1962"/>
      <c r="BXY3" s="1962"/>
      <c r="BXZ3" s="1962"/>
      <c r="BYA3" s="1962"/>
      <c r="BYB3" s="1962"/>
      <c r="BYC3" s="1962"/>
      <c r="BYD3" s="1962"/>
      <c r="BYE3" s="1962"/>
      <c r="BYF3" s="1962"/>
      <c r="BYG3" s="1962"/>
      <c r="BYH3" s="1962"/>
      <c r="BYI3" s="1962"/>
      <c r="BYJ3" s="1962"/>
      <c r="BYK3" s="1962"/>
      <c r="BYL3" s="1962"/>
      <c r="BYM3" s="1962"/>
      <c r="BYN3" s="1962"/>
      <c r="BYO3" s="1962"/>
      <c r="BYP3" s="1962"/>
      <c r="BYQ3" s="1962"/>
      <c r="BYR3" s="1962"/>
      <c r="BYS3" s="1962"/>
      <c r="BYT3" s="1962"/>
      <c r="BYU3" s="1962"/>
      <c r="BYV3" s="1962"/>
      <c r="BYW3" s="1962"/>
      <c r="BYX3" s="1962"/>
      <c r="BYY3" s="1962"/>
      <c r="BYZ3" s="1962"/>
      <c r="BZA3" s="1962"/>
      <c r="BZB3" s="1962"/>
      <c r="BZC3" s="1962"/>
      <c r="BZD3" s="1962"/>
      <c r="BZE3" s="1962"/>
      <c r="BZF3" s="1962"/>
      <c r="BZG3" s="1962"/>
      <c r="BZH3" s="1962"/>
      <c r="BZI3" s="1962"/>
      <c r="BZJ3" s="1962"/>
      <c r="BZK3" s="1962"/>
      <c r="BZL3" s="1962"/>
      <c r="BZM3" s="1962"/>
      <c r="BZN3" s="1962"/>
      <c r="BZO3" s="1962"/>
      <c r="BZP3" s="1962"/>
      <c r="BZQ3" s="1962"/>
      <c r="BZR3" s="1962"/>
      <c r="BZS3" s="1962"/>
      <c r="BZT3" s="1962"/>
      <c r="BZU3" s="1962"/>
      <c r="BZV3" s="1962"/>
      <c r="BZW3" s="1962"/>
      <c r="BZX3" s="1962"/>
      <c r="BZY3" s="1962"/>
      <c r="BZZ3" s="1962"/>
      <c r="CAA3" s="1962"/>
      <c r="CAB3" s="1962"/>
      <c r="CAC3" s="1962"/>
      <c r="CAD3" s="1962"/>
      <c r="CAE3" s="1962"/>
      <c r="CAF3" s="1962"/>
      <c r="CAG3" s="1962"/>
      <c r="CAH3" s="1962"/>
      <c r="CAI3" s="1962"/>
      <c r="CAJ3" s="1962"/>
      <c r="CAK3" s="1962"/>
      <c r="CAL3" s="1962"/>
      <c r="CAM3" s="1962"/>
      <c r="CAN3" s="1962"/>
      <c r="CAO3" s="1962"/>
      <c r="CAP3" s="1962"/>
      <c r="CAQ3" s="1962"/>
      <c r="CAR3" s="1962"/>
      <c r="CAS3" s="1962"/>
      <c r="CAT3" s="1962"/>
      <c r="CAU3" s="1962"/>
      <c r="CAV3" s="1962"/>
      <c r="CAW3" s="1962"/>
      <c r="CAX3" s="1962"/>
      <c r="CAY3" s="1962"/>
      <c r="CAZ3" s="1962"/>
      <c r="CBA3" s="1962"/>
      <c r="CBB3" s="1962"/>
      <c r="CBC3" s="1962"/>
      <c r="CBD3" s="1962"/>
      <c r="CBE3" s="1962"/>
      <c r="CBF3" s="1962"/>
      <c r="CBG3" s="1962"/>
      <c r="CBH3" s="1962"/>
      <c r="CBI3" s="1962"/>
      <c r="CBJ3" s="1962"/>
      <c r="CBK3" s="1962"/>
      <c r="CBL3" s="1962"/>
      <c r="CBM3" s="1962"/>
      <c r="CBN3" s="1962"/>
      <c r="CBO3" s="1962"/>
      <c r="CBP3" s="1962"/>
      <c r="CBQ3" s="1962"/>
      <c r="CBR3" s="1962"/>
      <c r="CBS3" s="1962"/>
      <c r="CBT3" s="1962"/>
      <c r="CBU3" s="1962"/>
      <c r="CBV3" s="1962"/>
      <c r="CBW3" s="1962"/>
      <c r="CBX3" s="1962"/>
      <c r="CBY3" s="1962"/>
      <c r="CBZ3" s="1962"/>
      <c r="CCA3" s="1962"/>
      <c r="CCB3" s="1962"/>
      <c r="CCC3" s="1962"/>
      <c r="CCD3" s="1962"/>
      <c r="CCE3" s="1962"/>
      <c r="CCF3" s="1962"/>
      <c r="CCG3" s="1962"/>
      <c r="CCH3" s="1962"/>
      <c r="CCI3" s="1962"/>
      <c r="CCJ3" s="1962"/>
      <c r="CCK3" s="1962"/>
      <c r="CCL3" s="1962"/>
      <c r="CCM3" s="1962"/>
      <c r="CCN3" s="1962"/>
      <c r="CCO3" s="1962"/>
      <c r="CCP3" s="1962"/>
      <c r="CCQ3" s="1962"/>
      <c r="CCR3" s="1962"/>
      <c r="CCS3" s="1962"/>
      <c r="CCT3" s="1962"/>
      <c r="CCU3" s="1962"/>
      <c r="CCV3" s="1962"/>
      <c r="CCW3" s="1962"/>
      <c r="CCX3" s="1962"/>
      <c r="CCY3" s="1962"/>
      <c r="CCZ3" s="1962"/>
      <c r="CDA3" s="1962"/>
      <c r="CDB3" s="1962"/>
      <c r="CDC3" s="1962"/>
      <c r="CDD3" s="1962"/>
      <c r="CDE3" s="1962"/>
      <c r="CDF3" s="1962"/>
      <c r="CDG3" s="1962"/>
      <c r="CDH3" s="1962"/>
      <c r="CDI3" s="1962"/>
      <c r="CDJ3" s="1962"/>
      <c r="CDK3" s="1962"/>
      <c r="CDL3" s="1962"/>
      <c r="CDM3" s="1962"/>
      <c r="CDN3" s="1962"/>
      <c r="CDO3" s="1962"/>
      <c r="CDP3" s="1962"/>
      <c r="CDQ3" s="1962"/>
      <c r="CDR3" s="1962"/>
      <c r="CDS3" s="1962"/>
      <c r="CDT3" s="1962"/>
      <c r="CDU3" s="1962"/>
      <c r="CDV3" s="1962"/>
      <c r="CDW3" s="1962"/>
      <c r="CDX3" s="1962"/>
      <c r="CDY3" s="1962"/>
      <c r="CDZ3" s="1962"/>
      <c r="CEA3" s="1962"/>
      <c r="CEB3" s="1962"/>
      <c r="CEC3" s="1962"/>
      <c r="CED3" s="1962"/>
      <c r="CEE3" s="1962"/>
      <c r="CEF3" s="1962"/>
      <c r="CEG3" s="1962"/>
      <c r="CEH3" s="1962"/>
      <c r="CEI3" s="1962"/>
      <c r="CEJ3" s="1962"/>
      <c r="CEK3" s="1962"/>
      <c r="CEL3" s="1962"/>
      <c r="CEM3" s="1962"/>
      <c r="CEN3" s="1962"/>
      <c r="CEO3" s="1962"/>
      <c r="CEP3" s="1962"/>
      <c r="CEQ3" s="1962"/>
      <c r="CER3" s="1962"/>
      <c r="CES3" s="1962"/>
      <c r="CET3" s="1962"/>
      <c r="CEU3" s="1962"/>
      <c r="CEV3" s="1962"/>
      <c r="CEW3" s="1962"/>
      <c r="CEX3" s="1962"/>
      <c r="CEY3" s="1962"/>
      <c r="CEZ3" s="1962"/>
      <c r="CFA3" s="1962"/>
      <c r="CFB3" s="1962"/>
      <c r="CFC3" s="1962"/>
      <c r="CFD3" s="1962"/>
      <c r="CFE3" s="1962"/>
      <c r="CFF3" s="1962"/>
      <c r="CFG3" s="1962"/>
      <c r="CFH3" s="1962"/>
      <c r="CFI3" s="1962"/>
      <c r="CFJ3" s="1962"/>
      <c r="CFK3" s="1962"/>
      <c r="CFL3" s="1962"/>
      <c r="CFM3" s="1962"/>
      <c r="CFN3" s="1962"/>
      <c r="CFO3" s="1962"/>
      <c r="CFP3" s="1962"/>
      <c r="CFQ3" s="1962"/>
      <c r="CFR3" s="1962"/>
      <c r="CFS3" s="1962"/>
      <c r="CFT3" s="1962"/>
      <c r="CFU3" s="1962"/>
      <c r="CFV3" s="1962"/>
      <c r="CFW3" s="1962"/>
      <c r="CFX3" s="1962"/>
      <c r="CFY3" s="1962"/>
      <c r="CFZ3" s="1962"/>
      <c r="CGA3" s="1962"/>
      <c r="CGB3" s="1962"/>
      <c r="CGC3" s="1962"/>
      <c r="CGD3" s="1962"/>
      <c r="CGE3" s="1962"/>
      <c r="CGF3" s="1962"/>
      <c r="CGG3" s="1962"/>
      <c r="CGH3" s="1962"/>
      <c r="CGI3" s="1962"/>
      <c r="CGJ3" s="1962"/>
      <c r="CGK3" s="1962"/>
      <c r="CGL3" s="1962"/>
      <c r="CGM3" s="1962"/>
      <c r="CGN3" s="1962"/>
      <c r="CGO3" s="1962"/>
      <c r="CGP3" s="1962"/>
      <c r="CGQ3" s="1962"/>
      <c r="CGR3" s="1962"/>
      <c r="CGS3" s="1962"/>
      <c r="CGT3" s="1962"/>
      <c r="CGU3" s="1962"/>
      <c r="CGV3" s="1962"/>
      <c r="CGW3" s="1962"/>
      <c r="CGX3" s="1962"/>
      <c r="CGY3" s="1962"/>
      <c r="CGZ3" s="1962"/>
      <c r="CHA3" s="1962"/>
      <c r="CHB3" s="1962"/>
      <c r="CHC3" s="1962"/>
      <c r="CHD3" s="1962"/>
      <c r="CHE3" s="1962"/>
      <c r="CHF3" s="1962"/>
      <c r="CHG3" s="1962"/>
      <c r="CHH3" s="1962"/>
      <c r="CHI3" s="1962"/>
      <c r="CHJ3" s="1962"/>
      <c r="CHK3" s="1962"/>
      <c r="CHL3" s="1962"/>
      <c r="CHM3" s="1962"/>
      <c r="CHN3" s="1962"/>
      <c r="CHO3" s="1962"/>
      <c r="CHP3" s="1962"/>
      <c r="CHQ3" s="1962"/>
      <c r="CHR3" s="1962"/>
      <c r="CHS3" s="1962"/>
      <c r="CHT3" s="1962"/>
      <c r="CHU3" s="1962"/>
      <c r="CHV3" s="1962"/>
      <c r="CHW3" s="1962"/>
      <c r="CHX3" s="1962"/>
      <c r="CHY3" s="1962"/>
      <c r="CHZ3" s="1962"/>
      <c r="CIA3" s="1962"/>
      <c r="CIB3" s="1962"/>
      <c r="CIC3" s="1962"/>
      <c r="CID3" s="1962"/>
      <c r="CIE3" s="1962"/>
      <c r="CIF3" s="1962"/>
      <c r="CIG3" s="1962"/>
      <c r="CIH3" s="1962"/>
      <c r="CII3" s="1962"/>
      <c r="CIJ3" s="1962"/>
      <c r="CIK3" s="1962"/>
      <c r="CIL3" s="1962"/>
      <c r="CIM3" s="1962"/>
      <c r="CIN3" s="1962"/>
      <c r="CIO3" s="1962"/>
      <c r="CIP3" s="1962"/>
      <c r="CIQ3" s="1962"/>
      <c r="CIR3" s="1962"/>
      <c r="CIS3" s="1962"/>
      <c r="CIT3" s="1962"/>
      <c r="CIU3" s="1962"/>
      <c r="CIV3" s="1962"/>
      <c r="CIW3" s="1962"/>
      <c r="CIX3" s="1962"/>
      <c r="CIY3" s="1962"/>
      <c r="CIZ3" s="1962"/>
      <c r="CJA3" s="1962"/>
      <c r="CJB3" s="1962"/>
      <c r="CJC3" s="1962"/>
      <c r="CJD3" s="1962"/>
      <c r="CJE3" s="1962"/>
      <c r="CJF3" s="1962"/>
      <c r="CJG3" s="1962"/>
      <c r="CJH3" s="1962"/>
      <c r="CJI3" s="1962"/>
      <c r="CJJ3" s="1962"/>
      <c r="CJK3" s="1962"/>
      <c r="CJL3" s="1962"/>
      <c r="CJM3" s="1962"/>
      <c r="CJN3" s="1962"/>
      <c r="CJO3" s="1962"/>
      <c r="CJP3" s="1962"/>
      <c r="CJQ3" s="1962"/>
      <c r="CJR3" s="1962"/>
      <c r="CJS3" s="1962"/>
      <c r="CJT3" s="1962"/>
      <c r="CJU3" s="1962"/>
      <c r="CJV3" s="1962"/>
      <c r="CJW3" s="1962"/>
      <c r="CJX3" s="1962"/>
      <c r="CJY3" s="1962"/>
      <c r="CJZ3" s="1962"/>
      <c r="CKA3" s="1962"/>
      <c r="CKB3" s="1962"/>
      <c r="CKC3" s="1962"/>
      <c r="CKD3" s="1962"/>
      <c r="CKE3" s="1962"/>
      <c r="CKF3" s="1962"/>
      <c r="CKG3" s="1962"/>
      <c r="CKH3" s="1962"/>
      <c r="CKI3" s="1962"/>
      <c r="CKJ3" s="1962"/>
      <c r="CKK3" s="1962"/>
      <c r="CKL3" s="1962"/>
      <c r="CKM3" s="1962"/>
      <c r="CKN3" s="1962"/>
      <c r="CKO3" s="1962"/>
      <c r="CKP3" s="1962"/>
      <c r="CKQ3" s="1962"/>
      <c r="CKR3" s="1962"/>
      <c r="CKS3" s="1962"/>
      <c r="CKT3" s="1962"/>
      <c r="CKU3" s="1962"/>
      <c r="CKV3" s="1962"/>
      <c r="CKW3" s="1962"/>
      <c r="CKX3" s="1962"/>
      <c r="CKY3" s="1962"/>
      <c r="CKZ3" s="1962"/>
      <c r="CLA3" s="1962"/>
      <c r="CLB3" s="1962"/>
      <c r="CLC3" s="1962"/>
      <c r="CLD3" s="1962"/>
      <c r="CLE3" s="1962"/>
      <c r="CLF3" s="1962"/>
      <c r="CLG3" s="1962"/>
      <c r="CLH3" s="1962"/>
      <c r="CLI3" s="1962"/>
      <c r="CLJ3" s="1962"/>
      <c r="CLK3" s="1962"/>
      <c r="CLL3" s="1962"/>
      <c r="CLM3" s="1962"/>
      <c r="CLN3" s="1962"/>
      <c r="CLO3" s="1962"/>
      <c r="CLP3" s="1962"/>
      <c r="CLQ3" s="1962"/>
      <c r="CLR3" s="1962"/>
      <c r="CLS3" s="1962"/>
      <c r="CLT3" s="1962"/>
      <c r="CLU3" s="1962"/>
      <c r="CLV3" s="1962"/>
      <c r="CLW3" s="1962"/>
      <c r="CLX3" s="1962"/>
      <c r="CLY3" s="1962"/>
      <c r="CLZ3" s="1962"/>
      <c r="CMA3" s="1962"/>
      <c r="CMB3" s="1962"/>
      <c r="CMC3" s="1962"/>
      <c r="CMD3" s="1962"/>
      <c r="CME3" s="1962"/>
      <c r="CMF3" s="1962"/>
      <c r="CMG3" s="1962"/>
      <c r="CMH3" s="1962"/>
      <c r="CMI3" s="1962"/>
      <c r="CMJ3" s="1962"/>
      <c r="CMK3" s="1962"/>
      <c r="CML3" s="1962"/>
      <c r="CMM3" s="1962"/>
      <c r="CMN3" s="1962"/>
      <c r="CMO3" s="1962"/>
      <c r="CMP3" s="1962"/>
      <c r="CMQ3" s="1962"/>
      <c r="CMR3" s="1962"/>
      <c r="CMS3" s="1962"/>
      <c r="CMT3" s="1962"/>
      <c r="CMU3" s="1962"/>
      <c r="CMV3" s="1962"/>
      <c r="CMW3" s="1962"/>
      <c r="CMX3" s="1962"/>
      <c r="CMY3" s="1962"/>
      <c r="CMZ3" s="1962"/>
      <c r="CNA3" s="1962"/>
      <c r="CNB3" s="1962"/>
      <c r="CNC3" s="1962"/>
      <c r="CND3" s="1962"/>
      <c r="CNE3" s="1962"/>
      <c r="CNF3" s="1962"/>
      <c r="CNG3" s="1962"/>
      <c r="CNH3" s="1962"/>
      <c r="CNI3" s="1962"/>
      <c r="CNJ3" s="1962"/>
      <c r="CNK3" s="1962"/>
      <c r="CNL3" s="1962"/>
      <c r="CNM3" s="1962"/>
      <c r="CNN3" s="1962"/>
      <c r="CNO3" s="1962"/>
      <c r="CNP3" s="1962"/>
      <c r="CNQ3" s="1962"/>
      <c r="CNR3" s="1962"/>
      <c r="CNS3" s="1962"/>
      <c r="CNT3" s="1962"/>
      <c r="CNU3" s="1962"/>
      <c r="CNV3" s="1962"/>
      <c r="CNW3" s="1962"/>
      <c r="CNX3" s="1962"/>
      <c r="CNY3" s="1962"/>
      <c r="CNZ3" s="1962"/>
      <c r="COA3" s="1962"/>
      <c r="COB3" s="1962"/>
      <c r="COC3" s="1962"/>
      <c r="COD3" s="1962"/>
      <c r="COE3" s="1962"/>
      <c r="COF3" s="1962"/>
      <c r="COG3" s="1962"/>
      <c r="COH3" s="1962"/>
      <c r="COI3" s="1962"/>
      <c r="COJ3" s="1962"/>
      <c r="COK3" s="1962"/>
      <c r="COL3" s="1962"/>
      <c r="COM3" s="1962"/>
      <c r="CON3" s="1962"/>
      <c r="COO3" s="1962"/>
      <c r="COP3" s="1962"/>
      <c r="COQ3" s="1962"/>
      <c r="COR3" s="1962"/>
      <c r="COS3" s="1962"/>
      <c r="COT3" s="1962"/>
      <c r="COU3" s="1962"/>
      <c r="COV3" s="1962"/>
      <c r="COW3" s="1962"/>
      <c r="COX3" s="1962"/>
      <c r="COY3" s="1962"/>
      <c r="COZ3" s="1962"/>
      <c r="CPA3" s="1962"/>
      <c r="CPB3" s="1962"/>
      <c r="CPC3" s="1962"/>
      <c r="CPD3" s="1962"/>
      <c r="CPE3" s="1962"/>
      <c r="CPF3" s="1962"/>
      <c r="CPG3" s="1962"/>
      <c r="CPH3" s="1962"/>
      <c r="CPI3" s="1962"/>
      <c r="CPJ3" s="1962"/>
      <c r="CPK3" s="1962"/>
      <c r="CPL3" s="1962"/>
      <c r="CPM3" s="1962"/>
      <c r="CPN3" s="1962"/>
      <c r="CPO3" s="1962"/>
      <c r="CPP3" s="1962"/>
      <c r="CPQ3" s="1962"/>
      <c r="CPR3" s="1962"/>
      <c r="CPS3" s="1962"/>
      <c r="CPT3" s="1962"/>
      <c r="CPU3" s="1962"/>
      <c r="CPV3" s="1962"/>
      <c r="CPW3" s="1962"/>
      <c r="CPX3" s="1962"/>
      <c r="CPY3" s="1962"/>
      <c r="CPZ3" s="1962"/>
      <c r="CQA3" s="1962"/>
      <c r="CQB3" s="1962"/>
      <c r="CQC3" s="1962"/>
      <c r="CQD3" s="1962"/>
      <c r="CQE3" s="1962"/>
      <c r="CQF3" s="1962"/>
      <c r="CQG3" s="1962"/>
      <c r="CQH3" s="1962"/>
      <c r="CQI3" s="1962"/>
      <c r="CQJ3" s="1962"/>
      <c r="CQK3" s="1962"/>
      <c r="CQL3" s="1962"/>
      <c r="CQM3" s="1962"/>
      <c r="CQN3" s="1962"/>
      <c r="CQO3" s="1962"/>
      <c r="CQP3" s="1962"/>
      <c r="CQQ3" s="1962"/>
      <c r="CQR3" s="1962"/>
      <c r="CQS3" s="1962"/>
      <c r="CQT3" s="1962"/>
      <c r="CQU3" s="1962"/>
      <c r="CQV3" s="1962"/>
      <c r="CQW3" s="1962"/>
      <c r="CQX3" s="1962"/>
      <c r="CQY3" s="1962"/>
      <c r="CQZ3" s="1962"/>
      <c r="CRA3" s="1962"/>
      <c r="CRB3" s="1962"/>
      <c r="CRC3" s="1962"/>
      <c r="CRD3" s="1962"/>
      <c r="CRE3" s="1962"/>
      <c r="CRF3" s="1962"/>
      <c r="CRG3" s="1962"/>
      <c r="CRH3" s="1962"/>
      <c r="CRI3" s="1962"/>
      <c r="CRJ3" s="1962"/>
      <c r="CRK3" s="1962"/>
      <c r="CRL3" s="1962"/>
      <c r="CRM3" s="1962"/>
      <c r="CRN3" s="1962"/>
      <c r="CRO3" s="1962"/>
      <c r="CRP3" s="1962"/>
      <c r="CRQ3" s="1962"/>
      <c r="CRR3" s="1962"/>
      <c r="CRS3" s="1962"/>
      <c r="CRT3" s="1962"/>
      <c r="CRU3" s="1962"/>
      <c r="CRV3" s="1962"/>
      <c r="CRW3" s="1962"/>
      <c r="CRX3" s="1962"/>
      <c r="CRY3" s="1962"/>
      <c r="CRZ3" s="1962"/>
      <c r="CSA3" s="1962"/>
      <c r="CSB3" s="1962"/>
      <c r="CSC3" s="1962"/>
      <c r="CSD3" s="1962"/>
      <c r="CSE3" s="1962"/>
      <c r="CSF3" s="1962"/>
      <c r="CSG3" s="1962"/>
      <c r="CSH3" s="1962"/>
      <c r="CSI3" s="1962"/>
      <c r="CSJ3" s="1962"/>
      <c r="CSK3" s="1962"/>
      <c r="CSL3" s="1962"/>
      <c r="CSM3" s="1962"/>
      <c r="CSN3" s="1962"/>
      <c r="CSO3" s="1962"/>
      <c r="CSP3" s="1962"/>
      <c r="CSQ3" s="1962"/>
      <c r="CSR3" s="1962"/>
      <c r="CSS3" s="1962"/>
      <c r="CST3" s="1962"/>
      <c r="CSU3" s="1962"/>
      <c r="CSV3" s="1962"/>
      <c r="CSW3" s="1962"/>
      <c r="CSX3" s="1962"/>
      <c r="CSY3" s="1962"/>
      <c r="CSZ3" s="1962"/>
      <c r="CTA3" s="1962"/>
      <c r="CTB3" s="1962"/>
      <c r="CTC3" s="1962"/>
      <c r="CTD3" s="1962"/>
      <c r="CTE3" s="1962"/>
      <c r="CTF3" s="1962"/>
      <c r="CTG3" s="1962"/>
      <c r="CTH3" s="1962"/>
      <c r="CTI3" s="1962"/>
      <c r="CTJ3" s="1962"/>
      <c r="CTK3" s="1962"/>
      <c r="CTL3" s="1962"/>
      <c r="CTM3" s="1962"/>
      <c r="CTN3" s="1962"/>
      <c r="CTO3" s="1962"/>
      <c r="CTP3" s="1962"/>
      <c r="CTQ3" s="1962"/>
      <c r="CTR3" s="1962"/>
      <c r="CTS3" s="1962"/>
      <c r="CTT3" s="1962"/>
      <c r="CTU3" s="1962"/>
      <c r="CTV3" s="1962"/>
      <c r="CTW3" s="1962"/>
      <c r="CTX3" s="1962"/>
      <c r="CTY3" s="1962"/>
      <c r="CTZ3" s="1962"/>
      <c r="CUA3" s="1962"/>
      <c r="CUB3" s="1962"/>
      <c r="CUC3" s="1962"/>
      <c r="CUD3" s="1962"/>
      <c r="CUE3" s="1962"/>
      <c r="CUF3" s="1962"/>
      <c r="CUG3" s="1962"/>
      <c r="CUH3" s="1962"/>
      <c r="CUI3" s="1962"/>
      <c r="CUJ3" s="1962"/>
      <c r="CUK3" s="1962"/>
      <c r="CUL3" s="1962"/>
      <c r="CUM3" s="1962"/>
      <c r="CUN3" s="1962"/>
      <c r="CUO3" s="1962"/>
      <c r="CUP3" s="1962"/>
      <c r="CUQ3" s="1962"/>
      <c r="CUR3" s="1962"/>
      <c r="CUS3" s="1962"/>
      <c r="CUT3" s="1962"/>
      <c r="CUU3" s="1962"/>
      <c r="CUV3" s="1962"/>
      <c r="CUW3" s="1962"/>
      <c r="CUX3" s="1962"/>
      <c r="CUY3" s="1962"/>
      <c r="CUZ3" s="1962"/>
      <c r="CVA3" s="1962"/>
      <c r="CVB3" s="1962"/>
      <c r="CVC3" s="1962"/>
      <c r="CVD3" s="1962"/>
      <c r="CVE3" s="1962"/>
      <c r="CVF3" s="1962"/>
      <c r="CVG3" s="1962"/>
      <c r="CVH3" s="1962"/>
      <c r="CVI3" s="1962"/>
      <c r="CVJ3" s="1962"/>
      <c r="CVK3" s="1962"/>
      <c r="CVL3" s="1962"/>
      <c r="CVM3" s="1962"/>
      <c r="CVN3" s="1962"/>
      <c r="CVO3" s="1962"/>
      <c r="CVP3" s="1962"/>
      <c r="CVQ3" s="1962"/>
      <c r="CVR3" s="1962"/>
      <c r="CVS3" s="1962"/>
      <c r="CVT3" s="1962"/>
      <c r="CVU3" s="1962"/>
      <c r="CVV3" s="1962"/>
      <c r="CVW3" s="1962"/>
      <c r="CVX3" s="1962"/>
      <c r="CVY3" s="1962"/>
      <c r="CVZ3" s="1962"/>
      <c r="CWA3" s="1962"/>
      <c r="CWB3" s="1962"/>
      <c r="CWC3" s="1962"/>
      <c r="CWD3" s="1962"/>
      <c r="CWE3" s="1962"/>
      <c r="CWF3" s="1962"/>
      <c r="CWG3" s="1962"/>
      <c r="CWH3" s="1962"/>
      <c r="CWI3" s="1962"/>
      <c r="CWJ3" s="1962"/>
      <c r="CWK3" s="1962"/>
      <c r="CWL3" s="1962"/>
      <c r="CWM3" s="1962"/>
      <c r="CWN3" s="1962"/>
      <c r="CWO3" s="1962"/>
      <c r="CWP3" s="1962"/>
      <c r="CWQ3" s="1962"/>
      <c r="CWR3" s="1962"/>
      <c r="CWS3" s="1962"/>
      <c r="CWT3" s="1962"/>
      <c r="CWU3" s="1962"/>
      <c r="CWV3" s="1962"/>
      <c r="CWW3" s="1962"/>
      <c r="CWX3" s="1962"/>
      <c r="CWY3" s="1962"/>
      <c r="CWZ3" s="1962"/>
      <c r="CXA3" s="1962"/>
      <c r="CXB3" s="1962"/>
      <c r="CXC3" s="1962"/>
      <c r="CXD3" s="1962"/>
      <c r="CXE3" s="1962"/>
      <c r="CXF3" s="1962"/>
      <c r="CXG3" s="1962"/>
      <c r="CXH3" s="1962"/>
      <c r="CXI3" s="1962"/>
      <c r="CXJ3" s="1962"/>
      <c r="CXK3" s="1962"/>
      <c r="CXL3" s="1962"/>
      <c r="CXM3" s="1962"/>
      <c r="CXN3" s="1962"/>
      <c r="CXO3" s="1962"/>
      <c r="CXP3" s="1962"/>
      <c r="CXQ3" s="1962"/>
      <c r="CXR3" s="1962"/>
      <c r="CXS3" s="1962"/>
      <c r="CXT3" s="1962"/>
      <c r="CXU3" s="1962"/>
      <c r="CXV3" s="1962"/>
      <c r="CXW3" s="1962"/>
      <c r="CXX3" s="1962"/>
      <c r="CXY3" s="1962"/>
      <c r="CXZ3" s="1962"/>
      <c r="CYA3" s="1962"/>
      <c r="CYB3" s="1962"/>
      <c r="CYC3" s="1962"/>
      <c r="CYD3" s="1962"/>
      <c r="CYE3" s="1962"/>
      <c r="CYF3" s="1962"/>
      <c r="CYG3" s="1962"/>
      <c r="CYH3" s="1962"/>
      <c r="CYI3" s="1962"/>
      <c r="CYJ3" s="1962"/>
      <c r="CYK3" s="1962"/>
      <c r="CYL3" s="1962"/>
      <c r="CYM3" s="1962"/>
      <c r="CYN3" s="1962"/>
      <c r="CYO3" s="1962"/>
      <c r="CYP3" s="1962"/>
      <c r="CYQ3" s="1962"/>
      <c r="CYR3" s="1962"/>
      <c r="CYS3" s="1962"/>
      <c r="CYT3" s="1962"/>
      <c r="CYU3" s="1962"/>
      <c r="CYV3" s="1962"/>
      <c r="CYW3" s="1962"/>
      <c r="CYX3" s="1962"/>
      <c r="CYY3" s="1962"/>
      <c r="CYZ3" s="1962"/>
      <c r="CZA3" s="1962"/>
      <c r="CZB3" s="1962"/>
      <c r="CZC3" s="1962"/>
      <c r="CZD3" s="1962"/>
      <c r="CZE3" s="1962"/>
      <c r="CZF3" s="1962"/>
      <c r="CZG3" s="1962"/>
      <c r="CZH3" s="1962"/>
      <c r="CZI3" s="1962"/>
      <c r="CZJ3" s="1962"/>
      <c r="CZK3" s="1962"/>
      <c r="CZL3" s="1962"/>
      <c r="CZM3" s="1962"/>
      <c r="CZN3" s="1962"/>
      <c r="CZO3" s="1962"/>
      <c r="CZP3" s="1962"/>
      <c r="CZQ3" s="1962"/>
      <c r="CZR3" s="1962"/>
      <c r="CZS3" s="1962"/>
      <c r="CZT3" s="1962"/>
      <c r="CZU3" s="1962"/>
      <c r="CZV3" s="1962"/>
      <c r="CZW3" s="1962"/>
      <c r="CZX3" s="1962"/>
      <c r="CZY3" s="1962"/>
      <c r="CZZ3" s="1962"/>
      <c r="DAA3" s="1962"/>
      <c r="DAB3" s="1962"/>
      <c r="DAC3" s="1962"/>
      <c r="DAD3" s="1962"/>
      <c r="DAE3" s="1962"/>
      <c r="DAF3" s="1962"/>
      <c r="DAG3" s="1962"/>
      <c r="DAH3" s="1962"/>
      <c r="DAI3" s="1962"/>
      <c r="DAJ3" s="1962"/>
      <c r="DAK3" s="1962"/>
      <c r="DAL3" s="1962"/>
      <c r="DAM3" s="1962"/>
      <c r="DAN3" s="1962"/>
      <c r="DAO3" s="1962"/>
      <c r="DAP3" s="1962"/>
      <c r="DAQ3" s="1962"/>
      <c r="DAR3" s="1962"/>
      <c r="DAS3" s="1962"/>
      <c r="DAT3" s="1962"/>
      <c r="DAU3" s="1962"/>
      <c r="DAV3" s="1962"/>
      <c r="DAW3" s="1962"/>
      <c r="DAX3" s="1962"/>
      <c r="DAY3" s="1962"/>
      <c r="DAZ3" s="1962"/>
      <c r="DBA3" s="1962"/>
      <c r="DBB3" s="1962"/>
      <c r="DBC3" s="1962"/>
      <c r="DBD3" s="1962"/>
      <c r="DBE3" s="1962"/>
      <c r="DBF3" s="1962"/>
      <c r="DBG3" s="1962"/>
      <c r="DBH3" s="1962"/>
      <c r="DBI3" s="1962"/>
      <c r="DBJ3" s="1962"/>
      <c r="DBK3" s="1962"/>
      <c r="DBL3" s="1962"/>
      <c r="DBM3" s="1962"/>
      <c r="DBN3" s="1962"/>
      <c r="DBO3" s="1962"/>
      <c r="DBP3" s="1962"/>
      <c r="DBQ3" s="1962"/>
      <c r="DBR3" s="1962"/>
      <c r="DBS3" s="1962"/>
      <c r="DBT3" s="1962"/>
      <c r="DBU3" s="1962"/>
      <c r="DBV3" s="1962"/>
      <c r="DBW3" s="1962"/>
      <c r="DBX3" s="1962"/>
      <c r="DBY3" s="1962"/>
      <c r="DBZ3" s="1962"/>
      <c r="DCA3" s="1962"/>
      <c r="DCB3" s="1962"/>
      <c r="DCC3" s="1962"/>
      <c r="DCD3" s="1962"/>
      <c r="DCE3" s="1962"/>
      <c r="DCF3" s="1962"/>
      <c r="DCG3" s="1962"/>
      <c r="DCH3" s="1962"/>
      <c r="DCI3" s="1962"/>
      <c r="DCJ3" s="1962"/>
      <c r="DCK3" s="1962"/>
      <c r="DCL3" s="1962"/>
      <c r="DCM3" s="1962"/>
      <c r="DCN3" s="1962"/>
      <c r="DCO3" s="1962"/>
      <c r="DCP3" s="1962"/>
      <c r="DCQ3" s="1962"/>
      <c r="DCR3" s="1962"/>
      <c r="DCS3" s="1962"/>
      <c r="DCT3" s="1962"/>
      <c r="DCU3" s="1962"/>
      <c r="DCV3" s="1962"/>
      <c r="DCW3" s="1962"/>
      <c r="DCX3" s="1962"/>
      <c r="DCY3" s="1962"/>
      <c r="DCZ3" s="1962"/>
      <c r="DDA3" s="1962"/>
      <c r="DDB3" s="1962"/>
      <c r="DDC3" s="1962"/>
      <c r="DDD3" s="1962"/>
      <c r="DDE3" s="1962"/>
      <c r="DDF3" s="1962"/>
      <c r="DDG3" s="1962"/>
      <c r="DDH3" s="1962"/>
      <c r="DDI3" s="1962"/>
      <c r="DDJ3" s="1962"/>
      <c r="DDK3" s="1962"/>
      <c r="DDL3" s="1962"/>
      <c r="DDM3" s="1962"/>
      <c r="DDN3" s="1962"/>
      <c r="DDO3" s="1962"/>
      <c r="DDP3" s="1962"/>
      <c r="DDQ3" s="1962"/>
      <c r="DDR3" s="1962"/>
      <c r="DDS3" s="1962"/>
      <c r="DDT3" s="1962"/>
      <c r="DDU3" s="1962"/>
      <c r="DDV3" s="1962"/>
      <c r="DDW3" s="1962"/>
      <c r="DDX3" s="1962"/>
      <c r="DDY3" s="1962"/>
      <c r="DDZ3" s="1962"/>
      <c r="DEA3" s="1962"/>
      <c r="DEB3" s="1962"/>
      <c r="DEC3" s="1962"/>
      <c r="DED3" s="1962"/>
      <c r="DEE3" s="1962"/>
      <c r="DEF3" s="1962"/>
      <c r="DEG3" s="1962"/>
      <c r="DEH3" s="1962"/>
      <c r="DEI3" s="1962"/>
      <c r="DEJ3" s="1962"/>
      <c r="DEK3" s="1962"/>
      <c r="DEL3" s="1962"/>
      <c r="DEM3" s="1962"/>
      <c r="DEN3" s="1962"/>
      <c r="DEO3" s="1962"/>
      <c r="DEP3" s="1962"/>
      <c r="DEQ3" s="1962"/>
      <c r="DER3" s="1962"/>
      <c r="DES3" s="1962"/>
      <c r="DET3" s="1962"/>
      <c r="DEU3" s="1962"/>
      <c r="DEV3" s="1962"/>
      <c r="DEW3" s="1962"/>
      <c r="DEX3" s="1962"/>
      <c r="DEY3" s="1962"/>
      <c r="DEZ3" s="1962"/>
      <c r="DFA3" s="1962"/>
      <c r="DFB3" s="1962"/>
      <c r="DFC3" s="1962"/>
      <c r="DFD3" s="1962"/>
      <c r="DFE3" s="1962"/>
      <c r="DFF3" s="1962"/>
      <c r="DFG3" s="1962"/>
      <c r="DFH3" s="1962"/>
      <c r="DFI3" s="1962"/>
      <c r="DFJ3" s="1962"/>
      <c r="DFK3" s="1962"/>
      <c r="DFL3" s="1962"/>
      <c r="DFM3" s="1962"/>
      <c r="DFN3" s="1962"/>
      <c r="DFO3" s="1962"/>
      <c r="DFP3" s="1962"/>
      <c r="DFQ3" s="1962"/>
      <c r="DFR3" s="1962"/>
      <c r="DFS3" s="1962"/>
      <c r="DFT3" s="1962"/>
      <c r="DFU3" s="1962"/>
      <c r="DFV3" s="1962"/>
      <c r="DFW3" s="1962"/>
      <c r="DFX3" s="1962"/>
      <c r="DFY3" s="1962"/>
      <c r="DFZ3" s="1962"/>
      <c r="DGA3" s="1962"/>
      <c r="DGB3" s="1962"/>
      <c r="DGC3" s="1962"/>
      <c r="DGD3" s="1962"/>
      <c r="DGE3" s="1962"/>
      <c r="DGF3" s="1962"/>
      <c r="DGG3" s="1962"/>
      <c r="DGH3" s="1962"/>
      <c r="DGI3" s="1962"/>
      <c r="DGJ3" s="1962"/>
      <c r="DGK3" s="1962"/>
      <c r="DGL3" s="1962"/>
      <c r="DGM3" s="1962"/>
      <c r="DGN3" s="1962"/>
      <c r="DGO3" s="1962"/>
      <c r="DGP3" s="1962"/>
      <c r="DGQ3" s="1962"/>
      <c r="DGR3" s="1962"/>
      <c r="DGS3" s="1962"/>
      <c r="DGT3" s="1962"/>
      <c r="DGU3" s="1962"/>
      <c r="DGV3" s="1962"/>
      <c r="DGW3" s="1962"/>
      <c r="DGX3" s="1962"/>
      <c r="DGY3" s="1962"/>
      <c r="DGZ3" s="1962"/>
      <c r="DHA3" s="1962"/>
      <c r="DHB3" s="1962"/>
      <c r="DHC3" s="1962"/>
      <c r="DHD3" s="1962"/>
      <c r="DHE3" s="1962"/>
      <c r="DHF3" s="1962"/>
      <c r="DHG3" s="1962"/>
      <c r="DHH3" s="1962"/>
      <c r="DHI3" s="1962"/>
      <c r="DHJ3" s="1962"/>
      <c r="DHK3" s="1962"/>
      <c r="DHL3" s="1962"/>
      <c r="DHM3" s="1962"/>
      <c r="DHN3" s="1962"/>
      <c r="DHO3" s="1962"/>
      <c r="DHP3" s="1962"/>
      <c r="DHQ3" s="1962"/>
      <c r="DHR3" s="1962"/>
      <c r="DHS3" s="1962"/>
      <c r="DHT3" s="1962"/>
      <c r="DHU3" s="1962"/>
      <c r="DHV3" s="1962"/>
      <c r="DHW3" s="1962"/>
      <c r="DHX3" s="1962"/>
      <c r="DHY3" s="1962"/>
      <c r="DHZ3" s="1962"/>
      <c r="DIA3" s="1962"/>
      <c r="DIB3" s="1962"/>
      <c r="DIC3" s="1962"/>
      <c r="DID3" s="1962"/>
      <c r="DIE3" s="1962"/>
      <c r="DIF3" s="1962"/>
      <c r="DIG3" s="1962"/>
      <c r="DIH3" s="1962"/>
      <c r="DII3" s="1962"/>
      <c r="DIJ3" s="1962"/>
      <c r="DIK3" s="1962"/>
      <c r="DIL3" s="1962"/>
      <c r="DIM3" s="1962"/>
      <c r="DIN3" s="1962"/>
      <c r="DIO3" s="1962"/>
      <c r="DIP3" s="1962"/>
      <c r="DIQ3" s="1962"/>
      <c r="DIR3" s="1962"/>
      <c r="DIS3" s="1962"/>
      <c r="DIT3" s="1962"/>
      <c r="DIU3" s="1962"/>
      <c r="DIV3" s="1962"/>
      <c r="DIW3" s="1962"/>
      <c r="DIX3" s="1962"/>
      <c r="DIY3" s="1962"/>
      <c r="DIZ3" s="1962"/>
      <c r="DJA3" s="1962"/>
      <c r="DJB3" s="1962"/>
      <c r="DJC3" s="1962"/>
      <c r="DJD3" s="1962"/>
      <c r="DJE3" s="1962"/>
      <c r="DJF3" s="1962"/>
      <c r="DJG3" s="1962"/>
      <c r="DJH3" s="1962"/>
      <c r="DJI3" s="1962"/>
      <c r="DJJ3" s="1962"/>
      <c r="DJK3" s="1962"/>
      <c r="DJL3" s="1962"/>
      <c r="DJM3" s="1962"/>
      <c r="DJN3" s="1962"/>
      <c r="DJO3" s="1962"/>
      <c r="DJP3" s="1962"/>
      <c r="DJQ3" s="1962"/>
      <c r="DJR3" s="1962"/>
      <c r="DJS3" s="1962"/>
      <c r="DJT3" s="1962"/>
      <c r="DJU3" s="1962"/>
      <c r="DJV3" s="1962"/>
      <c r="DJW3" s="1962"/>
      <c r="DJX3" s="1962"/>
      <c r="DJY3" s="1962"/>
      <c r="DJZ3" s="1962"/>
      <c r="DKA3" s="1962"/>
      <c r="DKB3" s="1962"/>
      <c r="DKC3" s="1962"/>
      <c r="DKD3" s="1962"/>
      <c r="DKE3" s="1962"/>
      <c r="DKF3" s="1962"/>
      <c r="DKG3" s="1962"/>
      <c r="DKH3" s="1962"/>
      <c r="DKI3" s="1962"/>
      <c r="DKJ3" s="1962"/>
      <c r="DKK3" s="1962"/>
      <c r="DKL3" s="1962"/>
      <c r="DKM3" s="1962"/>
      <c r="DKN3" s="1962"/>
      <c r="DKO3" s="1962"/>
      <c r="DKP3" s="1962"/>
      <c r="DKQ3" s="1962"/>
      <c r="DKR3" s="1962"/>
      <c r="DKS3" s="1962"/>
      <c r="DKT3" s="1962"/>
      <c r="DKU3" s="1962"/>
      <c r="DKV3" s="1962"/>
      <c r="DKW3" s="1962"/>
      <c r="DKX3" s="1962"/>
      <c r="DKY3" s="1962"/>
      <c r="DKZ3" s="1962"/>
      <c r="DLA3" s="1962"/>
      <c r="DLB3" s="1962"/>
      <c r="DLC3" s="1962"/>
      <c r="DLD3" s="1962"/>
      <c r="DLE3" s="1962"/>
      <c r="DLF3" s="1962"/>
      <c r="DLG3" s="1962"/>
      <c r="DLH3" s="1962"/>
      <c r="DLI3" s="1962"/>
      <c r="DLJ3" s="1962"/>
      <c r="DLK3" s="1962"/>
      <c r="DLL3" s="1962"/>
      <c r="DLM3" s="1962"/>
      <c r="DLN3" s="1962"/>
      <c r="DLO3" s="1962"/>
      <c r="DLP3" s="1962"/>
      <c r="DLQ3" s="1962"/>
      <c r="DLR3" s="1962"/>
      <c r="DLS3" s="1962"/>
      <c r="DLT3" s="1962"/>
      <c r="DLU3" s="1962"/>
      <c r="DLV3" s="1962"/>
      <c r="DLW3" s="1962"/>
      <c r="DLX3" s="1962"/>
      <c r="DLY3" s="1962"/>
      <c r="DLZ3" s="1962"/>
      <c r="DMA3" s="1962"/>
      <c r="DMB3" s="1962"/>
      <c r="DMC3" s="1962"/>
      <c r="DMD3" s="1962"/>
      <c r="DME3" s="1962"/>
      <c r="DMF3" s="1962"/>
      <c r="DMG3" s="1962"/>
      <c r="DMH3" s="1962"/>
      <c r="DMI3" s="1962"/>
      <c r="DMJ3" s="1962"/>
      <c r="DMK3" s="1962"/>
      <c r="DML3" s="1962"/>
      <c r="DMM3" s="1962"/>
      <c r="DMN3" s="1962"/>
      <c r="DMO3" s="1962"/>
      <c r="DMP3" s="1962"/>
      <c r="DMQ3" s="1962"/>
      <c r="DMR3" s="1962"/>
      <c r="DMS3" s="1962"/>
      <c r="DMT3" s="1962"/>
      <c r="DMU3" s="1962"/>
      <c r="DMV3" s="1962"/>
      <c r="DMW3" s="1962"/>
      <c r="DMX3" s="1962"/>
      <c r="DMY3" s="1962"/>
      <c r="DMZ3" s="1962"/>
      <c r="DNA3" s="1962"/>
      <c r="DNB3" s="1962"/>
      <c r="DNC3" s="1962"/>
      <c r="DND3" s="1962"/>
      <c r="DNE3" s="1962"/>
      <c r="DNF3" s="1962"/>
      <c r="DNG3" s="1962"/>
      <c r="DNH3" s="1962"/>
      <c r="DNI3" s="1962"/>
      <c r="DNJ3" s="1962"/>
      <c r="DNK3" s="1962"/>
      <c r="DNL3" s="1962"/>
      <c r="DNM3" s="1962"/>
      <c r="DNN3" s="1962"/>
      <c r="DNO3" s="1962"/>
      <c r="DNP3" s="1962"/>
      <c r="DNQ3" s="1962"/>
      <c r="DNR3" s="1962"/>
      <c r="DNS3" s="1962"/>
      <c r="DNT3" s="1962"/>
      <c r="DNU3" s="1962"/>
      <c r="DNV3" s="1962"/>
      <c r="DNW3" s="1962"/>
      <c r="DNX3" s="1962"/>
      <c r="DNY3" s="1962"/>
      <c r="DNZ3" s="1962"/>
      <c r="DOA3" s="1962"/>
      <c r="DOB3" s="1962"/>
      <c r="DOC3" s="1962"/>
      <c r="DOD3" s="1962"/>
      <c r="DOE3" s="1962"/>
      <c r="DOF3" s="1962"/>
      <c r="DOG3" s="1962"/>
      <c r="DOH3" s="1962"/>
      <c r="DOI3" s="1962"/>
      <c r="DOJ3" s="1962"/>
      <c r="DOK3" s="1962"/>
      <c r="DOL3" s="1962"/>
      <c r="DOM3" s="1962"/>
      <c r="DON3" s="1962"/>
      <c r="DOO3" s="1962"/>
      <c r="DOP3" s="1962"/>
      <c r="DOQ3" s="1962"/>
      <c r="DOR3" s="1962"/>
      <c r="DOS3" s="1962"/>
      <c r="DOT3" s="1962"/>
      <c r="DOU3" s="1962"/>
      <c r="DOV3" s="1962"/>
      <c r="DOW3" s="1962"/>
      <c r="DOX3" s="1962"/>
      <c r="DOY3" s="1962"/>
      <c r="DOZ3" s="1962"/>
      <c r="DPA3" s="1962"/>
      <c r="DPB3" s="1962"/>
      <c r="DPC3" s="1962"/>
      <c r="DPD3" s="1962"/>
      <c r="DPE3" s="1962"/>
      <c r="DPF3" s="1962"/>
      <c r="DPG3" s="1962"/>
      <c r="DPH3" s="1962"/>
      <c r="DPI3" s="1962"/>
      <c r="DPJ3" s="1962"/>
      <c r="DPK3" s="1962"/>
      <c r="DPL3" s="1962"/>
      <c r="DPM3" s="1962"/>
      <c r="DPN3" s="1962"/>
      <c r="DPO3" s="1962"/>
      <c r="DPP3" s="1962"/>
      <c r="DPQ3" s="1962"/>
      <c r="DPR3" s="1962"/>
      <c r="DPS3" s="1962"/>
      <c r="DPT3" s="1962"/>
      <c r="DPU3" s="1962"/>
      <c r="DPV3" s="1962"/>
      <c r="DPW3" s="1962"/>
      <c r="DPX3" s="1962"/>
      <c r="DPY3" s="1962"/>
      <c r="DPZ3" s="1962"/>
      <c r="DQA3" s="1962"/>
      <c r="DQB3" s="1962"/>
      <c r="DQC3" s="1962"/>
      <c r="DQD3" s="1962"/>
      <c r="DQE3" s="1962"/>
      <c r="DQF3" s="1962"/>
      <c r="DQG3" s="1962"/>
      <c r="DQH3" s="1962"/>
      <c r="DQI3" s="1962"/>
      <c r="DQJ3" s="1962"/>
      <c r="DQK3" s="1962"/>
      <c r="DQL3" s="1962"/>
      <c r="DQM3" s="1962"/>
      <c r="DQN3" s="1962"/>
      <c r="DQO3" s="1962"/>
      <c r="DQP3" s="1962"/>
      <c r="DQQ3" s="1962"/>
      <c r="DQR3" s="1962"/>
      <c r="DQS3" s="1962"/>
      <c r="DQT3" s="1962"/>
      <c r="DQU3" s="1962"/>
      <c r="DQV3" s="1962"/>
      <c r="DQW3" s="1962"/>
      <c r="DQX3" s="1962"/>
      <c r="DQY3" s="1962"/>
      <c r="DQZ3" s="1962"/>
      <c r="DRA3" s="1962"/>
      <c r="DRB3" s="1962"/>
      <c r="DRC3" s="1962"/>
      <c r="DRD3" s="1962"/>
      <c r="DRE3" s="1962"/>
      <c r="DRF3" s="1962"/>
      <c r="DRG3" s="1962"/>
      <c r="DRH3" s="1962"/>
      <c r="DRI3" s="1962"/>
      <c r="DRJ3" s="1962"/>
      <c r="DRK3" s="1962"/>
      <c r="DRL3" s="1962"/>
      <c r="DRM3" s="1962"/>
      <c r="DRN3" s="1962"/>
      <c r="DRO3" s="1962"/>
      <c r="DRP3" s="1962"/>
      <c r="DRQ3" s="1962"/>
      <c r="DRR3" s="1962"/>
      <c r="DRS3" s="1962"/>
      <c r="DRT3" s="1962"/>
      <c r="DRU3" s="1962"/>
      <c r="DRV3" s="1962"/>
      <c r="DRW3" s="1962"/>
      <c r="DRX3" s="1962"/>
      <c r="DRY3" s="1962"/>
      <c r="DRZ3" s="1962"/>
      <c r="DSA3" s="1962"/>
      <c r="DSB3" s="1962"/>
      <c r="DSC3" s="1962"/>
      <c r="DSD3" s="1962"/>
      <c r="DSE3" s="1962"/>
      <c r="DSF3" s="1962"/>
      <c r="DSG3" s="1962"/>
      <c r="DSH3" s="1962"/>
      <c r="DSI3" s="1962"/>
      <c r="DSJ3" s="1962"/>
      <c r="DSK3" s="1962"/>
      <c r="DSL3" s="1962"/>
      <c r="DSM3" s="1962"/>
      <c r="DSN3" s="1962"/>
      <c r="DSO3" s="1962"/>
      <c r="DSP3" s="1962"/>
      <c r="DSQ3" s="1962"/>
      <c r="DSR3" s="1962"/>
      <c r="DSS3" s="1962"/>
      <c r="DST3" s="1962"/>
      <c r="DSU3" s="1962"/>
      <c r="DSV3" s="1962"/>
      <c r="DSW3" s="1962"/>
      <c r="DSX3" s="1962"/>
      <c r="DSY3" s="1962"/>
      <c r="DSZ3" s="1962"/>
      <c r="DTA3" s="1962"/>
      <c r="DTB3" s="1962"/>
      <c r="DTC3" s="1962"/>
      <c r="DTD3" s="1962"/>
      <c r="DTE3" s="1962"/>
      <c r="DTF3" s="1962"/>
      <c r="DTG3" s="1962"/>
      <c r="DTH3" s="1962"/>
      <c r="DTI3" s="1962"/>
      <c r="DTJ3" s="1962"/>
      <c r="DTK3" s="1962"/>
      <c r="DTL3" s="1962"/>
      <c r="DTM3" s="1962"/>
      <c r="DTN3" s="1962"/>
      <c r="DTO3" s="1962"/>
      <c r="DTP3" s="1962"/>
      <c r="DTQ3" s="1962"/>
      <c r="DTR3" s="1962"/>
      <c r="DTS3" s="1962"/>
      <c r="DTT3" s="1962"/>
      <c r="DTU3" s="1962"/>
      <c r="DTV3" s="1962"/>
      <c r="DTW3" s="1962"/>
      <c r="DTX3" s="1962"/>
      <c r="DTY3" s="1962"/>
      <c r="DTZ3" s="1962"/>
      <c r="DUA3" s="1962"/>
      <c r="DUB3" s="1962"/>
      <c r="DUC3" s="1962"/>
      <c r="DUD3" s="1962"/>
      <c r="DUE3" s="1962"/>
      <c r="DUF3" s="1962"/>
      <c r="DUG3" s="1962"/>
      <c r="DUH3" s="1962"/>
      <c r="DUI3" s="1962"/>
      <c r="DUJ3" s="1962"/>
      <c r="DUK3" s="1962"/>
      <c r="DUL3" s="1962"/>
      <c r="DUM3" s="1962"/>
      <c r="DUN3" s="1962"/>
      <c r="DUO3" s="1962"/>
      <c r="DUP3" s="1962"/>
      <c r="DUQ3" s="1962"/>
      <c r="DUR3" s="1962"/>
      <c r="DUS3" s="1962"/>
      <c r="DUT3" s="1962"/>
      <c r="DUU3" s="1962"/>
      <c r="DUV3" s="1962"/>
      <c r="DUW3" s="1962"/>
      <c r="DUX3" s="1962"/>
      <c r="DUY3" s="1962"/>
      <c r="DUZ3" s="1962"/>
      <c r="DVA3" s="1962"/>
      <c r="DVB3" s="1962"/>
      <c r="DVC3" s="1962"/>
      <c r="DVD3" s="1962"/>
      <c r="DVE3" s="1962"/>
      <c r="DVF3" s="1962"/>
      <c r="DVG3" s="1962"/>
      <c r="DVH3" s="1962"/>
      <c r="DVI3" s="1962"/>
      <c r="DVJ3" s="1962"/>
      <c r="DVK3" s="1962"/>
      <c r="DVL3" s="1962"/>
      <c r="DVM3" s="1962"/>
      <c r="DVN3" s="1962"/>
      <c r="DVO3" s="1962"/>
      <c r="DVP3" s="1962"/>
      <c r="DVQ3" s="1962"/>
      <c r="DVR3" s="1962"/>
      <c r="DVS3" s="1962"/>
      <c r="DVT3" s="1962"/>
      <c r="DVU3" s="1962"/>
      <c r="DVV3" s="1962"/>
      <c r="DVW3" s="1962"/>
      <c r="DVX3" s="1962"/>
      <c r="DVY3" s="1962"/>
      <c r="DVZ3" s="1962"/>
      <c r="DWA3" s="1962"/>
      <c r="DWB3" s="1962"/>
      <c r="DWC3" s="1962"/>
      <c r="DWD3" s="1962"/>
      <c r="DWE3" s="1962"/>
      <c r="DWF3" s="1962"/>
      <c r="DWG3" s="1962"/>
      <c r="DWH3" s="1962"/>
      <c r="DWI3" s="1962"/>
      <c r="DWJ3" s="1962"/>
      <c r="DWK3" s="1962"/>
      <c r="DWL3" s="1962"/>
      <c r="DWM3" s="1962"/>
      <c r="DWN3" s="1962"/>
      <c r="DWO3" s="1962"/>
      <c r="DWP3" s="1962"/>
      <c r="DWQ3" s="1962"/>
      <c r="DWR3" s="1962"/>
      <c r="DWS3" s="1962"/>
      <c r="DWT3" s="1962"/>
      <c r="DWU3" s="1962"/>
      <c r="DWV3" s="1962"/>
      <c r="DWW3" s="1962"/>
      <c r="DWX3" s="1962"/>
      <c r="DWY3" s="1962"/>
      <c r="DWZ3" s="1962"/>
      <c r="DXA3" s="1962"/>
      <c r="DXB3" s="1962"/>
      <c r="DXC3" s="1962"/>
      <c r="DXD3" s="1962"/>
      <c r="DXE3" s="1962"/>
      <c r="DXF3" s="1962"/>
      <c r="DXG3" s="1962"/>
      <c r="DXH3" s="1962"/>
      <c r="DXI3" s="1962"/>
      <c r="DXJ3" s="1962"/>
      <c r="DXK3" s="1962"/>
      <c r="DXL3" s="1962"/>
      <c r="DXM3" s="1962"/>
      <c r="DXN3" s="1962"/>
      <c r="DXO3" s="1962"/>
      <c r="DXP3" s="1962"/>
      <c r="DXQ3" s="1962"/>
      <c r="DXR3" s="1962"/>
      <c r="DXS3" s="1962"/>
      <c r="DXT3" s="1962"/>
      <c r="DXU3" s="1962"/>
      <c r="DXV3" s="1962"/>
      <c r="DXW3" s="1962"/>
      <c r="DXX3" s="1962"/>
      <c r="DXY3" s="1962"/>
      <c r="DXZ3" s="1962"/>
      <c r="DYA3" s="1962"/>
      <c r="DYB3" s="1962"/>
      <c r="DYC3" s="1962"/>
      <c r="DYD3" s="1962"/>
      <c r="DYE3" s="1962"/>
      <c r="DYF3" s="1962"/>
      <c r="DYG3" s="1962"/>
      <c r="DYH3" s="1962"/>
      <c r="DYI3" s="1962"/>
      <c r="DYJ3" s="1962"/>
      <c r="DYK3" s="1962"/>
      <c r="DYL3" s="1962"/>
      <c r="DYM3" s="1962"/>
      <c r="DYN3" s="1962"/>
      <c r="DYO3" s="1962"/>
      <c r="DYP3" s="1962"/>
      <c r="DYQ3" s="1962"/>
      <c r="DYR3" s="1962"/>
      <c r="DYS3" s="1962"/>
      <c r="DYT3" s="1962"/>
      <c r="DYU3" s="1962"/>
      <c r="DYV3" s="1962"/>
      <c r="DYW3" s="1962"/>
      <c r="DYX3" s="1962"/>
      <c r="DYY3" s="1962"/>
      <c r="DYZ3" s="1962"/>
      <c r="DZA3" s="1962"/>
      <c r="DZB3" s="1962"/>
      <c r="DZC3" s="1962"/>
      <c r="DZD3" s="1962"/>
      <c r="DZE3" s="1962"/>
      <c r="DZF3" s="1962"/>
      <c r="DZG3" s="1962"/>
      <c r="DZH3" s="1962"/>
      <c r="DZI3" s="1962"/>
      <c r="DZJ3" s="1962"/>
      <c r="DZK3" s="1962"/>
      <c r="DZL3" s="1962"/>
      <c r="DZM3" s="1962"/>
      <c r="DZN3" s="1962"/>
      <c r="DZO3" s="1962"/>
      <c r="DZP3" s="1962"/>
      <c r="DZQ3" s="1962"/>
      <c r="DZR3" s="1962"/>
      <c r="DZS3" s="1962"/>
      <c r="DZT3" s="1962"/>
      <c r="DZU3" s="1962"/>
      <c r="DZV3" s="1962"/>
      <c r="DZW3" s="1962"/>
      <c r="DZX3" s="1962"/>
      <c r="DZY3" s="1962"/>
      <c r="DZZ3" s="1962"/>
      <c r="EAA3" s="1962"/>
      <c r="EAB3" s="1962"/>
      <c r="EAC3" s="1962"/>
      <c r="EAD3" s="1962"/>
      <c r="EAE3" s="1962"/>
      <c r="EAF3" s="1962"/>
      <c r="EAG3" s="1962"/>
      <c r="EAH3" s="1962"/>
      <c r="EAI3" s="1962"/>
      <c r="EAJ3" s="1962"/>
      <c r="EAK3" s="1962"/>
      <c r="EAL3" s="1962"/>
      <c r="EAM3" s="1962"/>
      <c r="EAN3" s="1962"/>
      <c r="EAO3" s="1962"/>
      <c r="EAP3" s="1962"/>
      <c r="EAQ3" s="1962"/>
      <c r="EAR3" s="1962"/>
      <c r="EAS3" s="1962"/>
      <c r="EAT3" s="1962"/>
      <c r="EAU3" s="1962"/>
      <c r="EAV3" s="1962"/>
      <c r="EAW3" s="1962"/>
      <c r="EAX3" s="1962"/>
      <c r="EAY3" s="1962"/>
      <c r="EAZ3" s="1962"/>
      <c r="EBA3" s="1962"/>
      <c r="EBB3" s="1962"/>
      <c r="EBC3" s="1962"/>
      <c r="EBD3" s="1962"/>
      <c r="EBE3" s="1962"/>
      <c r="EBF3" s="1962"/>
      <c r="EBG3" s="1962"/>
      <c r="EBH3" s="1962"/>
      <c r="EBI3" s="1962"/>
      <c r="EBJ3" s="1962"/>
      <c r="EBK3" s="1962"/>
      <c r="EBL3" s="1962"/>
      <c r="EBM3" s="1962"/>
      <c r="EBN3" s="1962"/>
      <c r="EBO3" s="1962"/>
      <c r="EBP3" s="1962"/>
      <c r="EBQ3" s="1962"/>
      <c r="EBR3" s="1962"/>
      <c r="EBS3" s="1962"/>
      <c r="EBT3" s="1962"/>
      <c r="EBU3" s="1962"/>
      <c r="EBV3" s="1962"/>
      <c r="EBW3" s="1962"/>
      <c r="EBX3" s="1962"/>
      <c r="EBY3" s="1962"/>
      <c r="EBZ3" s="1962"/>
      <c r="ECA3" s="1962"/>
      <c r="ECB3" s="1962"/>
      <c r="ECC3" s="1962"/>
      <c r="ECD3" s="1962"/>
      <c r="ECE3" s="1962"/>
      <c r="ECF3" s="1962"/>
      <c r="ECG3" s="1962"/>
      <c r="ECH3" s="1962"/>
      <c r="ECI3" s="1962"/>
      <c r="ECJ3" s="1962"/>
      <c r="ECK3" s="1962"/>
      <c r="ECL3" s="1962"/>
      <c r="ECM3" s="1962"/>
      <c r="ECN3" s="1962"/>
      <c r="ECO3" s="1962"/>
      <c r="ECP3" s="1962"/>
      <c r="ECQ3" s="1962"/>
      <c r="ECR3" s="1962"/>
      <c r="ECS3" s="1962"/>
      <c r="ECT3" s="1962"/>
      <c r="ECU3" s="1962"/>
      <c r="ECV3" s="1962"/>
      <c r="ECW3" s="1962"/>
      <c r="ECX3" s="1962"/>
      <c r="ECY3" s="1962"/>
      <c r="ECZ3" s="1962"/>
      <c r="EDA3" s="1962"/>
      <c r="EDB3" s="1962"/>
      <c r="EDC3" s="1962"/>
      <c r="EDD3" s="1962"/>
      <c r="EDE3" s="1962"/>
      <c r="EDF3" s="1962"/>
      <c r="EDG3" s="1962"/>
      <c r="EDH3" s="1962"/>
      <c r="EDI3" s="1962"/>
      <c r="EDJ3" s="1962"/>
      <c r="EDK3" s="1962"/>
      <c r="EDL3" s="1962"/>
      <c r="EDM3" s="1962"/>
      <c r="EDN3" s="1962"/>
      <c r="EDO3" s="1962"/>
      <c r="EDP3" s="1962"/>
      <c r="EDQ3" s="1962"/>
      <c r="EDR3" s="1962"/>
      <c r="EDS3" s="1962"/>
      <c r="EDT3" s="1962"/>
      <c r="EDU3" s="1962"/>
      <c r="EDV3" s="1962"/>
      <c r="EDW3" s="1962"/>
      <c r="EDX3" s="1962"/>
      <c r="EDY3" s="1962"/>
      <c r="EDZ3" s="1962"/>
      <c r="EEA3" s="1962"/>
      <c r="EEB3" s="1962"/>
      <c r="EEC3" s="1962"/>
      <c r="EED3" s="1962"/>
      <c r="EEE3" s="1962"/>
      <c r="EEF3" s="1962"/>
      <c r="EEG3" s="1962"/>
      <c r="EEH3" s="1962"/>
      <c r="EEI3" s="1962"/>
      <c r="EEJ3" s="1962"/>
      <c r="EEK3" s="1962"/>
      <c r="EEL3" s="1962"/>
      <c r="EEM3" s="1962"/>
      <c r="EEN3" s="1962"/>
      <c r="EEO3" s="1962"/>
      <c r="EEP3" s="1962"/>
      <c r="EEQ3" s="1962"/>
      <c r="EER3" s="1962"/>
      <c r="EES3" s="1962"/>
      <c r="EET3" s="1962"/>
      <c r="EEU3" s="1962"/>
      <c r="EEV3" s="1962"/>
      <c r="EEW3" s="1962"/>
      <c r="EEX3" s="1962"/>
      <c r="EEY3" s="1962"/>
      <c r="EEZ3" s="1962"/>
      <c r="EFA3" s="1962"/>
      <c r="EFB3" s="1962"/>
      <c r="EFC3" s="1962"/>
      <c r="EFD3" s="1962"/>
      <c r="EFE3" s="1962"/>
      <c r="EFF3" s="1962"/>
      <c r="EFG3" s="1962"/>
      <c r="EFH3" s="1962"/>
      <c r="EFI3" s="1962"/>
      <c r="EFJ3" s="1962"/>
      <c r="EFK3" s="1962"/>
      <c r="EFL3" s="1962"/>
      <c r="EFM3" s="1962"/>
      <c r="EFN3" s="1962"/>
      <c r="EFO3" s="1962"/>
      <c r="EFP3" s="1962"/>
      <c r="EFQ3" s="1962"/>
      <c r="EFR3" s="1962"/>
      <c r="EFS3" s="1962"/>
      <c r="EFT3" s="1962"/>
      <c r="EFU3" s="1962"/>
      <c r="EFV3" s="1962"/>
      <c r="EFW3" s="1962"/>
      <c r="EFX3" s="1962"/>
      <c r="EFY3" s="1962"/>
      <c r="EFZ3" s="1962"/>
      <c r="EGA3" s="1962"/>
      <c r="EGB3" s="1962"/>
      <c r="EGC3" s="1962"/>
      <c r="EGD3" s="1962"/>
      <c r="EGE3" s="1962"/>
      <c r="EGF3" s="1962"/>
      <c r="EGG3" s="1962"/>
      <c r="EGH3" s="1962"/>
      <c r="EGI3" s="1962"/>
      <c r="EGJ3" s="1962"/>
      <c r="EGK3" s="1962"/>
      <c r="EGL3" s="1962"/>
      <c r="EGM3" s="1962"/>
      <c r="EGN3" s="1962"/>
      <c r="EGO3" s="1962"/>
      <c r="EGP3" s="1962"/>
      <c r="EGQ3" s="1962"/>
      <c r="EGR3" s="1962"/>
      <c r="EGS3" s="1962"/>
      <c r="EGT3" s="1962"/>
      <c r="EGU3" s="1962"/>
      <c r="EGV3" s="1962"/>
      <c r="EGW3" s="1962"/>
      <c r="EGX3" s="1962"/>
      <c r="EGY3" s="1962"/>
      <c r="EGZ3" s="1962"/>
      <c r="EHA3" s="1962"/>
      <c r="EHB3" s="1962"/>
      <c r="EHC3" s="1962"/>
      <c r="EHD3" s="1962"/>
      <c r="EHE3" s="1962"/>
      <c r="EHF3" s="1962"/>
      <c r="EHG3" s="1962"/>
      <c r="EHH3" s="1962"/>
      <c r="EHI3" s="1962"/>
      <c r="EHJ3" s="1962"/>
      <c r="EHK3" s="1962"/>
      <c r="EHL3" s="1962"/>
      <c r="EHM3" s="1962"/>
      <c r="EHN3" s="1962"/>
      <c r="EHO3" s="1962"/>
      <c r="EHP3" s="1962"/>
      <c r="EHQ3" s="1962"/>
      <c r="EHR3" s="1962"/>
      <c r="EHS3" s="1962"/>
      <c r="EHT3" s="1962"/>
      <c r="EHU3" s="1962"/>
      <c r="EHV3" s="1962"/>
      <c r="EHW3" s="1962"/>
      <c r="EHX3" s="1962"/>
      <c r="EHY3" s="1962"/>
      <c r="EHZ3" s="1962"/>
      <c r="EIA3" s="1962"/>
      <c r="EIB3" s="1962"/>
      <c r="EIC3" s="1962"/>
      <c r="EID3" s="1962"/>
      <c r="EIE3" s="1962"/>
      <c r="EIF3" s="1962"/>
      <c r="EIG3" s="1962"/>
      <c r="EIH3" s="1962"/>
      <c r="EII3" s="1962"/>
      <c r="EIJ3" s="1962"/>
      <c r="EIK3" s="1962"/>
      <c r="EIL3" s="1962"/>
      <c r="EIM3" s="1962"/>
      <c r="EIN3" s="1962"/>
      <c r="EIO3" s="1962"/>
      <c r="EIP3" s="1962"/>
      <c r="EIQ3" s="1962"/>
      <c r="EIR3" s="1962"/>
      <c r="EIS3" s="1962"/>
      <c r="EIT3" s="1962"/>
      <c r="EIU3" s="1962"/>
      <c r="EIV3" s="1962"/>
      <c r="EIW3" s="1962"/>
      <c r="EIX3" s="1962"/>
      <c r="EIY3" s="1962"/>
      <c r="EIZ3" s="1962"/>
      <c r="EJA3" s="1962"/>
      <c r="EJB3" s="1962"/>
      <c r="EJC3" s="1962"/>
      <c r="EJD3" s="1962"/>
      <c r="EJE3" s="1962"/>
      <c r="EJF3" s="1962"/>
      <c r="EJG3" s="1962"/>
      <c r="EJH3" s="1962"/>
      <c r="EJI3" s="1962"/>
      <c r="EJJ3" s="1962"/>
      <c r="EJK3" s="1962"/>
      <c r="EJL3" s="1962"/>
      <c r="EJM3" s="1962"/>
      <c r="EJN3" s="1962"/>
      <c r="EJO3" s="1962"/>
      <c r="EJP3" s="1962"/>
      <c r="EJQ3" s="1962"/>
      <c r="EJR3" s="1962"/>
      <c r="EJS3" s="1962"/>
      <c r="EJT3" s="1962"/>
      <c r="EJU3" s="1962"/>
      <c r="EJV3" s="1962"/>
      <c r="EJW3" s="1962"/>
      <c r="EJX3" s="1962"/>
      <c r="EJY3" s="1962"/>
      <c r="EJZ3" s="1962"/>
      <c r="EKA3" s="1962"/>
      <c r="EKB3" s="1962"/>
      <c r="EKC3" s="1962"/>
      <c r="EKD3" s="1962"/>
      <c r="EKE3" s="1962"/>
      <c r="EKF3" s="1962"/>
      <c r="EKG3" s="1962"/>
      <c r="EKH3" s="1962"/>
      <c r="EKI3" s="1962"/>
      <c r="EKJ3" s="1962"/>
      <c r="EKK3" s="1962"/>
      <c r="EKL3" s="1962"/>
      <c r="EKM3" s="1962"/>
      <c r="EKN3" s="1962"/>
      <c r="EKO3" s="1962"/>
      <c r="EKP3" s="1962"/>
      <c r="EKQ3" s="1962"/>
      <c r="EKR3" s="1962"/>
      <c r="EKS3" s="1962"/>
      <c r="EKT3" s="1962"/>
      <c r="EKU3" s="1962"/>
      <c r="EKV3" s="1962"/>
      <c r="EKW3" s="1962"/>
      <c r="EKX3" s="1962"/>
      <c r="EKY3" s="1962"/>
      <c r="EKZ3" s="1962"/>
      <c r="ELA3" s="1962"/>
      <c r="ELB3" s="1962"/>
      <c r="ELC3" s="1962"/>
      <c r="ELD3" s="1962"/>
      <c r="ELE3" s="1962"/>
      <c r="ELF3" s="1962"/>
      <c r="ELG3" s="1962"/>
      <c r="ELH3" s="1962"/>
      <c r="ELI3" s="1962"/>
      <c r="ELJ3" s="1962"/>
      <c r="ELK3" s="1962"/>
      <c r="ELL3" s="1962"/>
      <c r="ELM3" s="1962"/>
      <c r="ELN3" s="1962"/>
      <c r="ELO3" s="1962"/>
      <c r="ELP3" s="1962"/>
      <c r="ELQ3" s="1962"/>
      <c r="ELR3" s="1962"/>
      <c r="ELS3" s="1962"/>
      <c r="ELT3" s="1962"/>
      <c r="ELU3" s="1962"/>
      <c r="ELV3" s="1962"/>
      <c r="ELW3" s="1962"/>
      <c r="ELX3" s="1962"/>
      <c r="ELY3" s="1962"/>
      <c r="ELZ3" s="1962"/>
      <c r="EMA3" s="1962"/>
      <c r="EMB3" s="1962"/>
      <c r="EMC3" s="1962"/>
      <c r="EMD3" s="1962"/>
      <c r="EME3" s="1962"/>
      <c r="EMF3" s="1962"/>
      <c r="EMG3" s="1962"/>
      <c r="EMH3" s="1962"/>
      <c r="EMI3" s="1962"/>
      <c r="EMJ3" s="1962"/>
      <c r="EMK3" s="1962"/>
      <c r="EML3" s="1962"/>
      <c r="EMM3" s="1962"/>
      <c r="EMN3" s="1962"/>
      <c r="EMO3" s="1962"/>
      <c r="EMP3" s="1962"/>
      <c r="EMQ3" s="1962"/>
      <c r="EMR3" s="1962"/>
      <c r="EMS3" s="1962"/>
      <c r="EMT3" s="1962"/>
      <c r="EMU3" s="1962"/>
      <c r="EMV3" s="1962"/>
      <c r="EMW3" s="1962"/>
      <c r="EMX3" s="1962"/>
      <c r="EMY3" s="1962"/>
      <c r="EMZ3" s="1962"/>
      <c r="ENA3" s="1962"/>
      <c r="ENB3" s="1962"/>
      <c r="ENC3" s="1962"/>
      <c r="END3" s="1962"/>
      <c r="ENE3" s="1962"/>
      <c r="ENF3" s="1962"/>
      <c r="ENG3" s="1962"/>
      <c r="ENH3" s="1962"/>
      <c r="ENI3" s="1962"/>
      <c r="ENJ3" s="1962"/>
      <c r="ENK3" s="1962"/>
      <c r="ENL3" s="1962"/>
      <c r="ENM3" s="1962"/>
      <c r="ENN3" s="1962"/>
      <c r="ENO3" s="1962"/>
      <c r="ENP3" s="1962"/>
      <c r="ENQ3" s="1962"/>
      <c r="ENR3" s="1962"/>
      <c r="ENS3" s="1962"/>
      <c r="ENT3" s="1962"/>
      <c r="ENU3" s="1962"/>
      <c r="ENV3" s="1962"/>
      <c r="ENW3" s="1962"/>
      <c r="ENX3" s="1962"/>
      <c r="ENY3" s="1962"/>
      <c r="ENZ3" s="1962"/>
      <c r="EOA3" s="1962"/>
      <c r="EOB3" s="1962"/>
      <c r="EOC3" s="1962"/>
      <c r="EOD3" s="1962"/>
      <c r="EOE3" s="1962"/>
      <c r="EOF3" s="1962"/>
      <c r="EOG3" s="1962"/>
      <c r="EOH3" s="1962"/>
      <c r="EOI3" s="1962"/>
      <c r="EOJ3" s="1962"/>
      <c r="EOK3" s="1962"/>
      <c r="EOL3" s="1962"/>
      <c r="EOM3" s="1962"/>
      <c r="EON3" s="1962"/>
      <c r="EOO3" s="1962"/>
      <c r="EOP3" s="1962"/>
      <c r="EOQ3" s="1962"/>
      <c r="EOR3" s="1962"/>
      <c r="EOS3" s="1962"/>
      <c r="EOT3" s="1962"/>
      <c r="EOU3" s="1962"/>
      <c r="EOV3" s="1962"/>
      <c r="EOW3" s="1962"/>
      <c r="EOX3" s="1962"/>
      <c r="EOY3" s="1962"/>
      <c r="EOZ3" s="1962"/>
      <c r="EPA3" s="1962"/>
      <c r="EPB3" s="1962"/>
      <c r="EPC3" s="1962"/>
      <c r="EPD3" s="1962"/>
      <c r="EPE3" s="1962"/>
      <c r="EPF3" s="1962"/>
      <c r="EPG3" s="1962"/>
      <c r="EPH3" s="1962"/>
      <c r="EPI3" s="1962"/>
      <c r="EPJ3" s="1962"/>
      <c r="EPK3" s="1962"/>
      <c r="EPL3" s="1962"/>
      <c r="EPM3" s="1962"/>
      <c r="EPN3" s="1962"/>
      <c r="EPO3" s="1962"/>
      <c r="EPP3" s="1962"/>
      <c r="EPQ3" s="1962"/>
      <c r="EPR3" s="1962"/>
      <c r="EPS3" s="1962"/>
      <c r="EPT3" s="1962"/>
      <c r="EPU3" s="1962"/>
      <c r="EPV3" s="1962"/>
      <c r="EPW3" s="1962"/>
      <c r="EPX3" s="1962"/>
      <c r="EPY3" s="1962"/>
      <c r="EPZ3" s="1962"/>
      <c r="EQA3" s="1962"/>
      <c r="EQB3" s="1962"/>
      <c r="EQC3" s="1962"/>
      <c r="EQD3" s="1962"/>
      <c r="EQE3" s="1962"/>
      <c r="EQF3" s="1962"/>
      <c r="EQG3" s="1962"/>
      <c r="EQH3" s="1962"/>
      <c r="EQI3" s="1962"/>
      <c r="EQJ3" s="1962"/>
      <c r="EQK3" s="1962"/>
      <c r="EQL3" s="1962"/>
      <c r="EQM3" s="1962"/>
      <c r="EQN3" s="1962"/>
      <c r="EQO3" s="1962"/>
      <c r="EQP3" s="1962"/>
      <c r="EQQ3" s="1962"/>
      <c r="EQR3" s="1962"/>
      <c r="EQS3" s="1962"/>
      <c r="EQT3" s="1962"/>
      <c r="EQU3" s="1962"/>
      <c r="EQV3" s="1962"/>
      <c r="EQW3" s="1962"/>
      <c r="EQX3" s="1962"/>
      <c r="EQY3" s="1962"/>
      <c r="EQZ3" s="1962"/>
      <c r="ERA3" s="1962"/>
      <c r="ERB3" s="1962"/>
      <c r="ERC3" s="1962"/>
      <c r="ERD3" s="1962"/>
      <c r="ERE3" s="1962"/>
      <c r="ERF3" s="1962"/>
      <c r="ERG3" s="1962"/>
      <c r="ERH3" s="1962"/>
      <c r="ERI3" s="1962"/>
      <c r="ERJ3" s="1962"/>
      <c r="ERK3" s="1962"/>
      <c r="ERL3" s="1962"/>
      <c r="ERM3" s="1962"/>
      <c r="ERN3" s="1962"/>
      <c r="ERO3" s="1962"/>
      <c r="ERP3" s="1962"/>
      <c r="ERQ3" s="1962"/>
      <c r="ERR3" s="1962"/>
      <c r="ERS3" s="1962"/>
      <c r="ERT3" s="1962"/>
      <c r="ERU3" s="1962"/>
      <c r="ERV3" s="1962"/>
      <c r="ERW3" s="1962"/>
      <c r="ERX3" s="1962"/>
      <c r="ERY3" s="1962"/>
      <c r="ERZ3" s="1962"/>
      <c r="ESA3" s="1962"/>
      <c r="ESB3" s="1962"/>
      <c r="ESC3" s="1962"/>
      <c r="ESD3" s="1962"/>
      <c r="ESE3" s="1962"/>
      <c r="ESF3" s="1962"/>
      <c r="ESG3" s="1962"/>
      <c r="ESH3" s="1962"/>
      <c r="ESI3" s="1962"/>
      <c r="ESJ3" s="1962"/>
      <c r="ESK3" s="1962"/>
      <c r="ESL3" s="1962"/>
      <c r="ESM3" s="1962"/>
      <c r="ESN3" s="1962"/>
      <c r="ESO3" s="1962"/>
      <c r="ESP3" s="1962"/>
      <c r="ESQ3" s="1962"/>
      <c r="ESR3" s="1962"/>
      <c r="ESS3" s="1962"/>
      <c r="EST3" s="1962"/>
      <c r="ESU3" s="1962"/>
      <c r="ESV3" s="1962"/>
      <c r="ESW3" s="1962"/>
      <c r="ESX3" s="1962"/>
      <c r="ESY3" s="1962"/>
      <c r="ESZ3" s="1962"/>
      <c r="ETA3" s="1962"/>
      <c r="ETB3" s="1962"/>
      <c r="ETC3" s="1962"/>
      <c r="ETD3" s="1962"/>
      <c r="ETE3" s="1962"/>
      <c r="ETF3" s="1962"/>
      <c r="ETG3" s="1962"/>
      <c r="ETH3" s="1962"/>
      <c r="ETI3" s="1962"/>
      <c r="ETJ3" s="1962"/>
      <c r="ETK3" s="1962"/>
      <c r="ETL3" s="1962"/>
      <c r="ETM3" s="1962"/>
      <c r="ETN3" s="1962"/>
      <c r="ETO3" s="1962"/>
      <c r="ETP3" s="1962"/>
      <c r="ETQ3" s="1962"/>
      <c r="ETR3" s="1962"/>
      <c r="ETS3" s="1962"/>
      <c r="ETT3" s="1962"/>
      <c r="ETU3" s="1962"/>
      <c r="ETV3" s="1962"/>
      <c r="ETW3" s="1962"/>
      <c r="ETX3" s="1962"/>
      <c r="ETY3" s="1962"/>
      <c r="ETZ3" s="1962"/>
      <c r="EUA3" s="1962"/>
      <c r="EUB3" s="1962"/>
      <c r="EUC3" s="1962"/>
      <c r="EUD3" s="1962"/>
      <c r="EUE3" s="1962"/>
      <c r="EUF3" s="1962"/>
      <c r="EUG3" s="1962"/>
      <c r="EUH3" s="1962"/>
      <c r="EUI3" s="1962"/>
      <c r="EUJ3" s="1962"/>
      <c r="EUK3" s="1962"/>
      <c r="EUL3" s="1962"/>
      <c r="EUM3" s="1962"/>
      <c r="EUN3" s="1962"/>
      <c r="EUO3" s="1962"/>
      <c r="EUP3" s="1962"/>
      <c r="EUQ3" s="1962"/>
      <c r="EUR3" s="1962"/>
      <c r="EUS3" s="1962"/>
      <c r="EUT3" s="1962"/>
      <c r="EUU3" s="1962"/>
      <c r="EUV3" s="1962"/>
      <c r="EUW3" s="1962"/>
      <c r="EUX3" s="1962"/>
      <c r="EUY3" s="1962"/>
      <c r="EUZ3" s="1962"/>
      <c r="EVA3" s="1962"/>
      <c r="EVB3" s="1962"/>
      <c r="EVC3" s="1962"/>
      <c r="EVD3" s="1962"/>
      <c r="EVE3" s="1962"/>
      <c r="EVF3" s="1962"/>
      <c r="EVG3" s="1962"/>
      <c r="EVH3" s="1962"/>
      <c r="EVI3" s="1962"/>
      <c r="EVJ3" s="1962"/>
      <c r="EVK3" s="1962"/>
      <c r="EVL3" s="1962"/>
      <c r="EVM3" s="1962"/>
      <c r="EVN3" s="1962"/>
      <c r="EVO3" s="1962"/>
      <c r="EVP3" s="1962"/>
      <c r="EVQ3" s="1962"/>
      <c r="EVR3" s="1962"/>
      <c r="EVS3" s="1962"/>
      <c r="EVT3" s="1962"/>
      <c r="EVU3" s="1962"/>
      <c r="EVV3" s="1962"/>
      <c r="EVW3" s="1962"/>
      <c r="EVX3" s="1962"/>
      <c r="EVY3" s="1962"/>
      <c r="EVZ3" s="1962"/>
      <c r="EWA3" s="1962"/>
      <c r="EWB3" s="1962"/>
      <c r="EWC3" s="1962"/>
      <c r="EWD3" s="1962"/>
      <c r="EWE3" s="1962"/>
      <c r="EWF3" s="1962"/>
      <c r="EWG3" s="1962"/>
      <c r="EWH3" s="1962"/>
      <c r="EWI3" s="1962"/>
      <c r="EWJ3" s="1962"/>
      <c r="EWK3" s="1962"/>
      <c r="EWL3" s="1962"/>
      <c r="EWM3" s="1962"/>
      <c r="EWN3" s="1962"/>
      <c r="EWO3" s="1962"/>
      <c r="EWP3" s="1962"/>
      <c r="EWQ3" s="1962"/>
      <c r="EWR3" s="1962"/>
      <c r="EWS3" s="1962"/>
      <c r="EWT3" s="1962"/>
      <c r="EWU3" s="1962"/>
      <c r="EWV3" s="1962"/>
      <c r="EWW3" s="1962"/>
      <c r="EWX3" s="1962"/>
      <c r="EWY3" s="1962"/>
      <c r="EWZ3" s="1962"/>
      <c r="EXA3" s="1962"/>
      <c r="EXB3" s="1962"/>
      <c r="EXC3" s="1962"/>
      <c r="EXD3" s="1962"/>
      <c r="EXE3" s="1962"/>
      <c r="EXF3" s="1962"/>
      <c r="EXG3" s="1962"/>
      <c r="EXH3" s="1962"/>
      <c r="EXI3" s="1962"/>
      <c r="EXJ3" s="1962"/>
      <c r="EXK3" s="1962"/>
      <c r="EXL3" s="1962"/>
      <c r="EXM3" s="1962"/>
      <c r="EXN3" s="1962"/>
      <c r="EXO3" s="1962"/>
      <c r="EXP3" s="1962"/>
      <c r="EXQ3" s="1962"/>
      <c r="EXR3" s="1962"/>
      <c r="EXS3" s="1962"/>
      <c r="EXT3" s="1962"/>
      <c r="EXU3" s="1962"/>
      <c r="EXV3" s="1962"/>
      <c r="EXW3" s="1962"/>
      <c r="EXX3" s="1962"/>
      <c r="EXY3" s="1962"/>
      <c r="EXZ3" s="1962"/>
      <c r="EYA3" s="1962"/>
      <c r="EYB3" s="1962"/>
      <c r="EYC3" s="1962"/>
      <c r="EYD3" s="1962"/>
      <c r="EYE3" s="1962"/>
      <c r="EYF3" s="1962"/>
      <c r="EYG3" s="1962"/>
      <c r="EYH3" s="1962"/>
      <c r="EYI3" s="1962"/>
      <c r="EYJ3" s="1962"/>
      <c r="EYK3" s="1962"/>
      <c r="EYL3" s="1962"/>
      <c r="EYM3" s="1962"/>
      <c r="EYN3" s="1962"/>
      <c r="EYO3" s="1962"/>
      <c r="EYP3" s="1962"/>
      <c r="EYQ3" s="1962"/>
      <c r="EYR3" s="1962"/>
      <c r="EYS3" s="1962"/>
      <c r="EYT3" s="1962"/>
      <c r="EYU3" s="1962"/>
      <c r="EYV3" s="1962"/>
      <c r="EYW3" s="1962"/>
      <c r="EYX3" s="1962"/>
      <c r="EYY3" s="1962"/>
      <c r="EYZ3" s="1962"/>
      <c r="EZA3" s="1962"/>
      <c r="EZB3" s="1962"/>
      <c r="EZC3" s="1962"/>
      <c r="EZD3" s="1962"/>
      <c r="EZE3" s="1962"/>
      <c r="EZF3" s="1962"/>
      <c r="EZG3" s="1962"/>
      <c r="EZH3" s="1962"/>
      <c r="EZI3" s="1962"/>
      <c r="EZJ3" s="1962"/>
      <c r="EZK3" s="1962"/>
      <c r="EZL3" s="1962"/>
      <c r="EZM3" s="1962"/>
      <c r="EZN3" s="1962"/>
      <c r="EZO3" s="1962"/>
      <c r="EZP3" s="1962"/>
      <c r="EZQ3" s="1962"/>
      <c r="EZR3" s="1962"/>
      <c r="EZS3" s="1962"/>
      <c r="EZT3" s="1962"/>
      <c r="EZU3" s="1962"/>
      <c r="EZV3" s="1962"/>
      <c r="EZW3" s="1962"/>
      <c r="EZX3" s="1962"/>
      <c r="EZY3" s="1962"/>
      <c r="EZZ3" s="1962"/>
      <c r="FAA3" s="1962"/>
      <c r="FAB3" s="1962"/>
      <c r="FAC3" s="1962"/>
      <c r="FAD3" s="1962"/>
      <c r="FAE3" s="1962"/>
      <c r="FAF3" s="1962"/>
      <c r="FAG3" s="1962"/>
      <c r="FAH3" s="1962"/>
      <c r="FAI3" s="1962"/>
      <c r="FAJ3" s="1962"/>
      <c r="FAK3" s="1962"/>
      <c r="FAL3" s="1962"/>
      <c r="FAM3" s="1962"/>
      <c r="FAN3" s="1962"/>
      <c r="FAO3" s="1962"/>
      <c r="FAP3" s="1962"/>
      <c r="FAQ3" s="1962"/>
      <c r="FAR3" s="1962"/>
      <c r="FAS3" s="1962"/>
      <c r="FAT3" s="1962"/>
      <c r="FAU3" s="1962"/>
      <c r="FAV3" s="1962"/>
      <c r="FAW3" s="1962"/>
      <c r="FAX3" s="1962"/>
      <c r="FAY3" s="1962"/>
      <c r="FAZ3" s="1962"/>
      <c r="FBA3" s="1962"/>
      <c r="FBB3" s="1962"/>
      <c r="FBC3" s="1962"/>
      <c r="FBD3" s="1962"/>
      <c r="FBE3" s="1962"/>
      <c r="FBF3" s="1962"/>
      <c r="FBG3" s="1962"/>
      <c r="FBH3" s="1962"/>
      <c r="FBI3" s="1962"/>
      <c r="FBJ3" s="1962"/>
      <c r="FBK3" s="1962"/>
      <c r="FBL3" s="1962"/>
      <c r="FBM3" s="1962"/>
      <c r="FBN3" s="1962"/>
      <c r="FBO3" s="1962"/>
      <c r="FBP3" s="1962"/>
      <c r="FBQ3" s="1962"/>
      <c r="FBR3" s="1962"/>
      <c r="FBS3" s="1962"/>
      <c r="FBT3" s="1962"/>
      <c r="FBU3" s="1962"/>
      <c r="FBV3" s="1962"/>
      <c r="FBW3" s="1962"/>
      <c r="FBX3" s="1962"/>
      <c r="FBY3" s="1962"/>
      <c r="FBZ3" s="1962"/>
      <c r="FCA3" s="1962"/>
      <c r="FCB3" s="1962"/>
      <c r="FCC3" s="1962"/>
      <c r="FCD3" s="1962"/>
      <c r="FCE3" s="1962"/>
      <c r="FCF3" s="1962"/>
      <c r="FCG3" s="1962"/>
      <c r="FCH3" s="1962"/>
      <c r="FCI3" s="1962"/>
      <c r="FCJ3" s="1962"/>
      <c r="FCK3" s="1962"/>
      <c r="FCL3" s="1962"/>
      <c r="FCM3" s="1962"/>
      <c r="FCN3" s="1962"/>
      <c r="FCO3" s="1962"/>
      <c r="FCP3" s="1962"/>
      <c r="FCQ3" s="1962"/>
      <c r="FCR3" s="1962"/>
      <c r="FCS3" s="1962"/>
      <c r="FCT3" s="1962"/>
      <c r="FCU3" s="1962"/>
      <c r="FCV3" s="1962"/>
      <c r="FCW3" s="1962"/>
      <c r="FCX3" s="1962"/>
      <c r="FCY3" s="1962"/>
      <c r="FCZ3" s="1962"/>
      <c r="FDA3" s="1962"/>
      <c r="FDB3" s="1962"/>
      <c r="FDC3" s="1962"/>
      <c r="FDD3" s="1962"/>
      <c r="FDE3" s="1962"/>
      <c r="FDF3" s="1962"/>
      <c r="FDG3" s="1962"/>
      <c r="FDH3" s="1962"/>
      <c r="FDI3" s="1962"/>
      <c r="FDJ3" s="1962"/>
      <c r="FDK3" s="1962"/>
      <c r="FDL3" s="1962"/>
      <c r="FDM3" s="1962"/>
      <c r="FDN3" s="1962"/>
      <c r="FDO3" s="1962"/>
      <c r="FDP3" s="1962"/>
      <c r="FDQ3" s="1962"/>
      <c r="FDR3" s="1962"/>
      <c r="FDS3" s="1962"/>
      <c r="FDT3" s="1962"/>
      <c r="FDU3" s="1962"/>
      <c r="FDV3" s="1962"/>
      <c r="FDW3" s="1962"/>
      <c r="FDX3" s="1962"/>
      <c r="FDY3" s="1962"/>
      <c r="FDZ3" s="1962"/>
      <c r="FEA3" s="1962"/>
      <c r="FEB3" s="1962"/>
      <c r="FEC3" s="1962"/>
      <c r="FED3" s="1962"/>
      <c r="FEE3" s="1962"/>
      <c r="FEF3" s="1962"/>
      <c r="FEG3" s="1962"/>
      <c r="FEH3" s="1962"/>
      <c r="FEI3" s="1962"/>
      <c r="FEJ3" s="1962"/>
      <c r="FEK3" s="1962"/>
      <c r="FEL3" s="1962"/>
      <c r="FEM3" s="1962"/>
      <c r="FEN3" s="1962"/>
      <c r="FEO3" s="1962"/>
      <c r="FEP3" s="1962"/>
      <c r="FEQ3" s="1962"/>
      <c r="FER3" s="1962"/>
      <c r="FES3" s="1962"/>
      <c r="FET3" s="1962"/>
      <c r="FEU3" s="1962"/>
      <c r="FEV3" s="1962"/>
      <c r="FEW3" s="1962"/>
      <c r="FEX3" s="1962"/>
      <c r="FEY3" s="1962"/>
      <c r="FEZ3" s="1962"/>
      <c r="FFA3" s="1962"/>
      <c r="FFB3" s="1962"/>
      <c r="FFC3" s="1962"/>
      <c r="FFD3" s="1962"/>
      <c r="FFE3" s="1962"/>
      <c r="FFF3" s="1962"/>
      <c r="FFG3" s="1962"/>
      <c r="FFH3" s="1962"/>
      <c r="FFI3" s="1962"/>
      <c r="FFJ3" s="1962"/>
      <c r="FFK3" s="1962"/>
      <c r="FFL3" s="1962"/>
      <c r="FFM3" s="1962"/>
      <c r="FFN3" s="1962"/>
      <c r="FFO3" s="1962"/>
      <c r="FFP3" s="1962"/>
      <c r="FFQ3" s="1962"/>
      <c r="FFR3" s="1962"/>
      <c r="FFS3" s="1962"/>
      <c r="FFT3" s="1962"/>
      <c r="FFU3" s="1962"/>
      <c r="FFV3" s="1962"/>
      <c r="FFW3" s="1962"/>
      <c r="FFX3" s="1962"/>
      <c r="FFY3" s="1962"/>
      <c r="FFZ3" s="1962"/>
      <c r="FGA3" s="1962"/>
      <c r="FGB3" s="1962"/>
      <c r="FGC3" s="1962"/>
      <c r="FGD3" s="1962"/>
      <c r="FGE3" s="1962"/>
      <c r="FGF3" s="1962"/>
      <c r="FGG3" s="1962"/>
      <c r="FGH3" s="1962"/>
      <c r="FGI3" s="1962"/>
      <c r="FGJ3" s="1962"/>
      <c r="FGK3" s="1962"/>
      <c r="FGL3" s="1962"/>
      <c r="FGM3" s="1962"/>
      <c r="FGN3" s="1962"/>
      <c r="FGO3" s="1962"/>
      <c r="FGP3" s="1962"/>
      <c r="FGQ3" s="1962"/>
      <c r="FGR3" s="1962"/>
      <c r="FGS3" s="1962"/>
      <c r="FGT3" s="1962"/>
      <c r="FGU3" s="1962"/>
      <c r="FGV3" s="1962"/>
      <c r="FGW3" s="1962"/>
      <c r="FGX3" s="1962"/>
      <c r="FGY3" s="1962"/>
      <c r="FGZ3" s="1962"/>
      <c r="FHA3" s="1962"/>
      <c r="FHB3" s="1962"/>
      <c r="FHC3" s="1962"/>
      <c r="FHD3" s="1962"/>
      <c r="FHE3" s="1962"/>
      <c r="FHF3" s="1962"/>
      <c r="FHG3" s="1962"/>
      <c r="FHH3" s="1962"/>
      <c r="FHI3" s="1962"/>
      <c r="FHJ3" s="1962"/>
      <c r="FHK3" s="1962"/>
      <c r="FHL3" s="1962"/>
      <c r="FHM3" s="1962"/>
      <c r="FHN3" s="1962"/>
      <c r="FHO3" s="1962"/>
      <c r="FHP3" s="1962"/>
      <c r="FHQ3" s="1962"/>
      <c r="FHR3" s="1962"/>
      <c r="FHS3" s="1962"/>
      <c r="FHT3" s="1962"/>
      <c r="FHU3" s="1962"/>
      <c r="FHV3" s="1962"/>
      <c r="FHW3" s="1962"/>
      <c r="FHX3" s="1962"/>
      <c r="FHY3" s="1962"/>
      <c r="FHZ3" s="1962"/>
      <c r="FIA3" s="1962"/>
      <c r="FIB3" s="1962"/>
      <c r="FIC3" s="1962"/>
      <c r="FID3" s="1962"/>
      <c r="FIE3" s="1962"/>
      <c r="FIF3" s="1962"/>
      <c r="FIG3" s="1962"/>
      <c r="FIH3" s="1962"/>
      <c r="FII3" s="1962"/>
      <c r="FIJ3" s="1962"/>
      <c r="FIK3" s="1962"/>
      <c r="FIL3" s="1962"/>
      <c r="FIM3" s="1962"/>
      <c r="FIN3" s="1962"/>
      <c r="FIO3" s="1962"/>
      <c r="FIP3" s="1962"/>
      <c r="FIQ3" s="1962"/>
      <c r="FIR3" s="1962"/>
      <c r="FIS3" s="1962"/>
      <c r="FIT3" s="1962"/>
      <c r="FIU3" s="1962"/>
      <c r="FIV3" s="1962"/>
      <c r="FIW3" s="1962"/>
      <c r="FIX3" s="1962"/>
      <c r="FIY3" s="1962"/>
      <c r="FIZ3" s="1962"/>
      <c r="FJA3" s="1962"/>
      <c r="FJB3" s="1962"/>
      <c r="FJC3" s="1962"/>
      <c r="FJD3" s="1962"/>
      <c r="FJE3" s="1962"/>
      <c r="FJF3" s="1962"/>
      <c r="FJG3" s="1962"/>
      <c r="FJH3" s="1962"/>
      <c r="FJI3" s="1962"/>
      <c r="FJJ3" s="1962"/>
      <c r="FJK3" s="1962"/>
      <c r="FJL3" s="1962"/>
      <c r="FJM3" s="1962"/>
      <c r="FJN3" s="1962"/>
      <c r="FJO3" s="1962"/>
      <c r="FJP3" s="1962"/>
      <c r="FJQ3" s="1962"/>
      <c r="FJR3" s="1962"/>
      <c r="FJS3" s="1962"/>
      <c r="FJT3" s="1962"/>
      <c r="FJU3" s="1962"/>
      <c r="FJV3" s="1962"/>
      <c r="FJW3" s="1962"/>
      <c r="FJX3" s="1962"/>
      <c r="FJY3" s="1962"/>
      <c r="FJZ3" s="1962"/>
      <c r="FKA3" s="1962"/>
      <c r="FKB3" s="1962"/>
      <c r="FKC3" s="1962"/>
      <c r="FKD3" s="1962"/>
      <c r="FKE3" s="1962"/>
      <c r="FKF3" s="1962"/>
      <c r="FKG3" s="1962"/>
      <c r="FKH3" s="1962"/>
      <c r="FKI3" s="1962"/>
      <c r="FKJ3" s="1962"/>
      <c r="FKK3" s="1962"/>
      <c r="FKL3" s="1962"/>
      <c r="FKM3" s="1962"/>
      <c r="FKN3" s="1962"/>
      <c r="FKO3" s="1962"/>
      <c r="FKP3" s="1962"/>
      <c r="FKQ3" s="1962"/>
      <c r="FKR3" s="1962"/>
      <c r="FKS3" s="1962"/>
      <c r="FKT3" s="1962"/>
      <c r="FKU3" s="1962"/>
      <c r="FKV3" s="1962"/>
      <c r="FKW3" s="1962"/>
      <c r="FKX3" s="1962"/>
      <c r="FKY3" s="1962"/>
      <c r="FKZ3" s="1962"/>
      <c r="FLA3" s="1962"/>
      <c r="FLB3" s="1962"/>
      <c r="FLC3" s="1962"/>
      <c r="FLD3" s="1962"/>
      <c r="FLE3" s="1962"/>
      <c r="FLF3" s="1962"/>
      <c r="FLG3" s="1962"/>
      <c r="FLH3" s="1962"/>
      <c r="FLI3" s="1962"/>
      <c r="FLJ3" s="1962"/>
      <c r="FLK3" s="1962"/>
      <c r="FLL3" s="1962"/>
      <c r="FLM3" s="1962"/>
      <c r="FLN3" s="1962"/>
      <c r="FLO3" s="1962"/>
      <c r="FLP3" s="1962"/>
      <c r="FLQ3" s="1962"/>
      <c r="FLR3" s="1962"/>
      <c r="FLS3" s="1962"/>
      <c r="FLT3" s="1962"/>
      <c r="FLU3" s="1962"/>
      <c r="FLV3" s="1962"/>
      <c r="FLW3" s="1962"/>
      <c r="FLX3" s="1962"/>
      <c r="FLY3" s="1962"/>
      <c r="FLZ3" s="1962"/>
      <c r="FMA3" s="1962"/>
      <c r="FMB3" s="1962"/>
      <c r="FMC3" s="1962"/>
      <c r="FMD3" s="1962"/>
      <c r="FME3" s="1962"/>
      <c r="FMF3" s="1962"/>
      <c r="FMG3" s="1962"/>
      <c r="FMH3" s="1962"/>
      <c r="FMI3" s="1962"/>
      <c r="FMJ3" s="1962"/>
      <c r="FMK3" s="1962"/>
      <c r="FML3" s="1962"/>
      <c r="FMM3" s="1962"/>
      <c r="FMN3" s="1962"/>
      <c r="FMO3" s="1962"/>
      <c r="FMP3" s="1962"/>
      <c r="FMQ3" s="1962"/>
      <c r="FMR3" s="1962"/>
      <c r="FMS3" s="1962"/>
      <c r="FMT3" s="1962"/>
      <c r="FMU3" s="1962"/>
      <c r="FMV3" s="1962"/>
      <c r="FMW3" s="1962"/>
      <c r="FMX3" s="1962"/>
      <c r="FMY3" s="1962"/>
      <c r="FMZ3" s="1962"/>
      <c r="FNA3" s="1962"/>
      <c r="FNB3" s="1962"/>
      <c r="FNC3" s="1962"/>
      <c r="FND3" s="1962"/>
      <c r="FNE3" s="1962"/>
      <c r="FNF3" s="1962"/>
      <c r="FNG3" s="1962"/>
      <c r="FNH3" s="1962"/>
      <c r="FNI3" s="1962"/>
      <c r="FNJ3" s="1962"/>
      <c r="FNK3" s="1962"/>
      <c r="FNL3" s="1962"/>
      <c r="FNM3" s="1962"/>
      <c r="FNN3" s="1962"/>
      <c r="FNO3" s="1962"/>
      <c r="FNP3" s="1962"/>
      <c r="FNQ3" s="1962"/>
      <c r="FNR3" s="1962"/>
      <c r="FNS3" s="1962"/>
      <c r="FNT3" s="1962"/>
      <c r="FNU3" s="1962"/>
      <c r="FNV3" s="1962"/>
      <c r="FNW3" s="1962"/>
      <c r="FNX3" s="1962"/>
      <c r="FNY3" s="1962"/>
      <c r="FNZ3" s="1962"/>
      <c r="FOA3" s="1962"/>
      <c r="FOB3" s="1962"/>
      <c r="FOC3" s="1962"/>
      <c r="FOD3" s="1962"/>
      <c r="FOE3" s="1962"/>
      <c r="FOF3" s="1962"/>
      <c r="FOG3" s="1962"/>
      <c r="FOH3" s="1962"/>
      <c r="FOI3" s="1962"/>
      <c r="FOJ3" s="1962"/>
      <c r="FOK3" s="1962"/>
      <c r="FOL3" s="1962"/>
      <c r="FOM3" s="1962"/>
      <c r="FON3" s="1962"/>
      <c r="FOO3" s="1962"/>
      <c r="FOP3" s="1962"/>
      <c r="FOQ3" s="1962"/>
      <c r="FOR3" s="1962"/>
      <c r="FOS3" s="1962"/>
      <c r="FOT3" s="1962"/>
      <c r="FOU3" s="1962"/>
      <c r="FOV3" s="1962"/>
      <c r="FOW3" s="1962"/>
      <c r="FOX3" s="1962"/>
      <c r="FOY3" s="1962"/>
      <c r="FOZ3" s="1962"/>
      <c r="FPA3" s="1962"/>
      <c r="FPB3" s="1962"/>
      <c r="FPC3" s="1962"/>
      <c r="FPD3" s="1962"/>
      <c r="FPE3" s="1962"/>
      <c r="FPF3" s="1962"/>
      <c r="FPG3" s="1962"/>
      <c r="FPH3" s="1962"/>
      <c r="FPI3" s="1962"/>
      <c r="FPJ3" s="1962"/>
      <c r="FPK3" s="1962"/>
      <c r="FPL3" s="1962"/>
      <c r="FPM3" s="1962"/>
      <c r="FPN3" s="1962"/>
      <c r="FPO3" s="1962"/>
      <c r="FPP3" s="1962"/>
      <c r="FPQ3" s="1962"/>
      <c r="FPR3" s="1962"/>
      <c r="FPS3" s="1962"/>
      <c r="FPT3" s="1962"/>
      <c r="FPU3" s="1962"/>
      <c r="FPV3" s="1962"/>
      <c r="FPW3" s="1962"/>
      <c r="FPX3" s="1962"/>
      <c r="FPY3" s="1962"/>
      <c r="FPZ3" s="1962"/>
      <c r="FQA3" s="1962"/>
      <c r="FQB3" s="1962"/>
      <c r="FQC3" s="1962"/>
      <c r="FQD3" s="1962"/>
      <c r="FQE3" s="1962"/>
      <c r="FQF3" s="1962"/>
      <c r="FQG3" s="1962"/>
      <c r="FQH3" s="1962"/>
      <c r="FQI3" s="1962"/>
      <c r="FQJ3" s="1962"/>
      <c r="FQK3" s="1962"/>
      <c r="FQL3" s="1962"/>
      <c r="FQM3" s="1962"/>
      <c r="FQN3" s="1962"/>
      <c r="FQO3" s="1962"/>
      <c r="FQP3" s="1962"/>
      <c r="FQQ3" s="1962"/>
      <c r="FQR3" s="1962"/>
      <c r="FQS3" s="1962"/>
      <c r="FQT3" s="1962"/>
      <c r="FQU3" s="1962"/>
      <c r="FQV3" s="1962"/>
      <c r="FQW3" s="1962"/>
      <c r="FQX3" s="1962"/>
      <c r="FQY3" s="1962"/>
      <c r="FQZ3" s="1962"/>
      <c r="FRA3" s="1962"/>
      <c r="FRB3" s="1962"/>
      <c r="FRC3" s="1962"/>
      <c r="FRD3" s="1962"/>
      <c r="FRE3" s="1962"/>
      <c r="FRF3" s="1962"/>
      <c r="FRG3" s="1962"/>
      <c r="FRH3" s="1962"/>
      <c r="FRI3" s="1962"/>
      <c r="FRJ3" s="1962"/>
      <c r="FRK3" s="1962"/>
      <c r="FRL3" s="1962"/>
      <c r="FRM3" s="1962"/>
      <c r="FRN3" s="1962"/>
      <c r="FRO3" s="1962"/>
      <c r="FRP3" s="1962"/>
      <c r="FRQ3" s="1962"/>
      <c r="FRR3" s="1962"/>
      <c r="FRS3" s="1962"/>
      <c r="FRT3" s="1962"/>
      <c r="FRU3" s="1962"/>
      <c r="FRV3" s="1962"/>
      <c r="FRW3" s="1962"/>
      <c r="FRX3" s="1962"/>
      <c r="FRY3" s="1962"/>
      <c r="FRZ3" s="1962"/>
      <c r="FSA3" s="1962"/>
      <c r="FSB3" s="1962"/>
      <c r="FSC3" s="1962"/>
      <c r="FSD3" s="1962"/>
      <c r="FSE3" s="1962"/>
      <c r="FSF3" s="1962"/>
      <c r="FSG3" s="1962"/>
      <c r="FSH3" s="1962"/>
      <c r="FSI3" s="1962"/>
      <c r="FSJ3" s="1962"/>
      <c r="FSK3" s="1962"/>
      <c r="FSL3" s="1962"/>
      <c r="FSM3" s="1962"/>
      <c r="FSN3" s="1962"/>
      <c r="FSO3" s="1962"/>
      <c r="FSP3" s="1962"/>
      <c r="FSQ3" s="1962"/>
      <c r="FSR3" s="1962"/>
      <c r="FSS3" s="1962"/>
      <c r="FST3" s="1962"/>
      <c r="FSU3" s="1962"/>
      <c r="FSV3" s="1962"/>
      <c r="FSW3" s="1962"/>
      <c r="FSX3" s="1962"/>
      <c r="FSY3" s="1962"/>
      <c r="FSZ3" s="1962"/>
      <c r="FTA3" s="1962"/>
      <c r="FTB3" s="1962"/>
      <c r="FTC3" s="1962"/>
      <c r="FTD3" s="1962"/>
      <c r="FTE3" s="1962"/>
      <c r="FTF3" s="1962"/>
      <c r="FTG3" s="1962"/>
      <c r="FTH3" s="1962"/>
      <c r="FTI3" s="1962"/>
      <c r="FTJ3" s="1962"/>
      <c r="FTK3" s="1962"/>
      <c r="FTL3" s="1962"/>
      <c r="FTM3" s="1962"/>
      <c r="FTN3" s="1962"/>
      <c r="FTO3" s="1962"/>
      <c r="FTP3" s="1962"/>
      <c r="FTQ3" s="1962"/>
      <c r="FTR3" s="1962"/>
      <c r="FTS3" s="1962"/>
      <c r="FTT3" s="1962"/>
      <c r="FTU3" s="1962"/>
      <c r="FTV3" s="1962"/>
      <c r="FTW3" s="1962"/>
      <c r="FTX3" s="1962"/>
      <c r="FTY3" s="1962"/>
      <c r="FTZ3" s="1962"/>
      <c r="FUA3" s="1962"/>
      <c r="FUB3" s="1962"/>
      <c r="FUC3" s="1962"/>
      <c r="FUD3" s="1962"/>
      <c r="FUE3" s="1962"/>
      <c r="FUF3" s="1962"/>
      <c r="FUG3" s="1962"/>
      <c r="FUH3" s="1962"/>
      <c r="FUI3" s="1962"/>
      <c r="FUJ3" s="1962"/>
      <c r="FUK3" s="1962"/>
      <c r="FUL3" s="1962"/>
      <c r="FUM3" s="1962"/>
      <c r="FUN3" s="1962"/>
      <c r="FUO3" s="1962"/>
      <c r="FUP3" s="1962"/>
      <c r="FUQ3" s="1962"/>
      <c r="FUR3" s="1962"/>
      <c r="FUS3" s="1962"/>
      <c r="FUT3" s="1962"/>
      <c r="FUU3" s="1962"/>
      <c r="FUV3" s="1962"/>
      <c r="FUW3" s="1962"/>
      <c r="FUX3" s="1962"/>
      <c r="FUY3" s="1962"/>
      <c r="FUZ3" s="1962"/>
      <c r="FVA3" s="1962"/>
      <c r="FVB3" s="1962"/>
      <c r="FVC3" s="1962"/>
      <c r="FVD3" s="1962"/>
      <c r="FVE3" s="1962"/>
      <c r="FVF3" s="1962"/>
      <c r="FVG3" s="1962"/>
      <c r="FVH3" s="1962"/>
      <c r="FVI3" s="1962"/>
      <c r="FVJ3" s="1962"/>
      <c r="FVK3" s="1962"/>
      <c r="FVL3" s="1962"/>
      <c r="FVM3" s="1962"/>
      <c r="FVN3" s="1962"/>
      <c r="FVO3" s="1962"/>
      <c r="FVP3" s="1962"/>
      <c r="FVQ3" s="1962"/>
      <c r="FVR3" s="1962"/>
      <c r="FVS3" s="1962"/>
      <c r="FVT3" s="1962"/>
      <c r="FVU3" s="1962"/>
      <c r="FVV3" s="1962"/>
      <c r="FVW3" s="1962"/>
      <c r="FVX3" s="1962"/>
      <c r="FVY3" s="1962"/>
      <c r="FVZ3" s="1962"/>
      <c r="FWA3" s="1962"/>
      <c r="FWB3" s="1962"/>
      <c r="FWC3" s="1962"/>
      <c r="FWD3" s="1962"/>
      <c r="FWE3" s="1962"/>
      <c r="FWF3" s="1962"/>
      <c r="FWG3" s="1962"/>
      <c r="FWH3" s="1962"/>
      <c r="FWI3" s="1962"/>
      <c r="FWJ3" s="1962"/>
      <c r="FWK3" s="1962"/>
      <c r="FWL3" s="1962"/>
      <c r="FWM3" s="1962"/>
      <c r="FWN3" s="1962"/>
      <c r="FWO3" s="1962"/>
      <c r="FWP3" s="1962"/>
      <c r="FWQ3" s="1962"/>
      <c r="FWR3" s="1962"/>
      <c r="FWS3" s="1962"/>
      <c r="FWT3" s="1962"/>
      <c r="FWU3" s="1962"/>
      <c r="FWV3" s="1962"/>
      <c r="FWW3" s="1962"/>
      <c r="FWX3" s="1962"/>
      <c r="FWY3" s="1962"/>
      <c r="FWZ3" s="1962"/>
      <c r="FXA3" s="1962"/>
      <c r="FXB3" s="1962"/>
      <c r="FXC3" s="1962"/>
      <c r="FXD3" s="1962"/>
      <c r="FXE3" s="1962"/>
      <c r="FXF3" s="1962"/>
      <c r="FXG3" s="1962"/>
      <c r="FXH3" s="1962"/>
      <c r="FXI3" s="1962"/>
      <c r="FXJ3" s="1962"/>
      <c r="FXK3" s="1962"/>
      <c r="FXL3" s="1962"/>
      <c r="FXM3" s="1962"/>
      <c r="FXN3" s="1962"/>
      <c r="FXO3" s="1962"/>
      <c r="FXP3" s="1962"/>
      <c r="FXQ3" s="1962"/>
      <c r="FXR3" s="1962"/>
      <c r="FXS3" s="1962"/>
      <c r="FXT3" s="1962"/>
      <c r="FXU3" s="1962"/>
      <c r="FXV3" s="1962"/>
      <c r="FXW3" s="1962"/>
      <c r="FXX3" s="1962"/>
      <c r="FXY3" s="1962"/>
      <c r="FXZ3" s="1962"/>
      <c r="FYA3" s="1962"/>
      <c r="FYB3" s="1962"/>
      <c r="FYC3" s="1962"/>
      <c r="FYD3" s="1962"/>
      <c r="FYE3" s="1962"/>
      <c r="FYF3" s="1962"/>
      <c r="FYG3" s="1962"/>
      <c r="FYH3" s="1962"/>
      <c r="FYI3" s="1962"/>
      <c r="FYJ3" s="1962"/>
      <c r="FYK3" s="1962"/>
      <c r="FYL3" s="1962"/>
      <c r="FYM3" s="1962"/>
      <c r="FYN3" s="1962"/>
      <c r="FYO3" s="1962"/>
      <c r="FYP3" s="1962"/>
      <c r="FYQ3" s="1962"/>
      <c r="FYR3" s="1962"/>
      <c r="FYS3" s="1962"/>
      <c r="FYT3" s="1962"/>
      <c r="FYU3" s="1962"/>
      <c r="FYV3" s="1962"/>
      <c r="FYW3" s="1962"/>
      <c r="FYX3" s="1962"/>
      <c r="FYY3" s="1962"/>
      <c r="FYZ3" s="1962"/>
      <c r="FZA3" s="1962"/>
      <c r="FZB3" s="1962"/>
      <c r="FZC3" s="1962"/>
      <c r="FZD3" s="1962"/>
      <c r="FZE3" s="1962"/>
      <c r="FZF3" s="1962"/>
      <c r="FZG3" s="1962"/>
      <c r="FZH3" s="1962"/>
      <c r="FZI3" s="1962"/>
      <c r="FZJ3" s="1962"/>
      <c r="FZK3" s="1962"/>
      <c r="FZL3" s="1962"/>
      <c r="FZM3" s="1962"/>
      <c r="FZN3" s="1962"/>
      <c r="FZO3" s="1962"/>
      <c r="FZP3" s="1962"/>
      <c r="FZQ3" s="1962"/>
      <c r="FZR3" s="1962"/>
      <c r="FZS3" s="1962"/>
      <c r="FZT3" s="1962"/>
      <c r="FZU3" s="1962"/>
      <c r="FZV3" s="1962"/>
      <c r="FZW3" s="1962"/>
      <c r="FZX3" s="1962"/>
      <c r="FZY3" s="1962"/>
      <c r="FZZ3" s="1962"/>
      <c r="GAA3" s="1962"/>
      <c r="GAB3" s="1962"/>
      <c r="GAC3" s="1962"/>
      <c r="GAD3" s="1962"/>
      <c r="GAE3" s="1962"/>
      <c r="GAF3" s="1962"/>
      <c r="GAG3" s="1962"/>
      <c r="GAH3" s="1962"/>
      <c r="GAI3" s="1962"/>
      <c r="GAJ3" s="1962"/>
      <c r="GAK3" s="1962"/>
      <c r="GAL3" s="1962"/>
      <c r="GAM3" s="1962"/>
      <c r="GAN3" s="1962"/>
      <c r="GAO3" s="1962"/>
      <c r="GAP3" s="1962"/>
      <c r="GAQ3" s="1962"/>
      <c r="GAR3" s="1962"/>
      <c r="GAS3" s="1962"/>
      <c r="GAT3" s="1962"/>
      <c r="GAU3" s="1962"/>
      <c r="GAV3" s="1962"/>
      <c r="GAW3" s="1962"/>
      <c r="GAX3" s="1962"/>
      <c r="GAY3" s="1962"/>
      <c r="GAZ3" s="1962"/>
      <c r="GBA3" s="1962"/>
      <c r="GBB3" s="1962"/>
      <c r="GBC3" s="1962"/>
      <c r="GBD3" s="1962"/>
      <c r="GBE3" s="1962"/>
      <c r="GBF3" s="1962"/>
      <c r="GBG3" s="1962"/>
      <c r="GBH3" s="1962"/>
      <c r="GBI3" s="1962"/>
      <c r="GBJ3" s="1962"/>
      <c r="GBK3" s="1962"/>
      <c r="GBL3" s="1962"/>
      <c r="GBM3" s="1962"/>
      <c r="GBN3" s="1962"/>
      <c r="GBO3" s="1962"/>
      <c r="GBP3" s="1962"/>
      <c r="GBQ3" s="1962"/>
      <c r="GBR3" s="1962"/>
      <c r="GBS3" s="1962"/>
      <c r="GBT3" s="1962"/>
      <c r="GBU3" s="1962"/>
      <c r="GBV3" s="1962"/>
      <c r="GBW3" s="1962"/>
      <c r="GBX3" s="1962"/>
      <c r="GBY3" s="1962"/>
      <c r="GBZ3" s="1962"/>
      <c r="GCA3" s="1962"/>
      <c r="GCB3" s="1962"/>
      <c r="GCC3" s="1962"/>
      <c r="GCD3" s="1962"/>
      <c r="GCE3" s="1962"/>
      <c r="GCF3" s="1962"/>
      <c r="GCG3" s="1962"/>
      <c r="GCH3" s="1962"/>
      <c r="GCI3" s="1962"/>
      <c r="GCJ3" s="1962"/>
      <c r="GCK3" s="1962"/>
      <c r="GCL3" s="1962"/>
      <c r="GCM3" s="1962"/>
      <c r="GCN3" s="1962"/>
      <c r="GCO3" s="1962"/>
      <c r="GCP3" s="1962"/>
      <c r="GCQ3" s="1962"/>
      <c r="GCR3" s="1962"/>
      <c r="GCS3" s="1962"/>
      <c r="GCT3" s="1962"/>
      <c r="GCU3" s="1962"/>
      <c r="GCV3" s="1962"/>
      <c r="GCW3" s="1962"/>
      <c r="GCX3" s="1962"/>
      <c r="GCY3" s="1962"/>
      <c r="GCZ3" s="1962"/>
      <c r="GDA3" s="1962"/>
      <c r="GDB3" s="1962"/>
      <c r="GDC3" s="1962"/>
      <c r="GDD3" s="1962"/>
      <c r="GDE3" s="1962"/>
      <c r="GDF3" s="1962"/>
      <c r="GDG3" s="1962"/>
      <c r="GDH3" s="1962"/>
      <c r="GDI3" s="1962"/>
      <c r="GDJ3" s="1962"/>
      <c r="GDK3" s="1962"/>
      <c r="GDL3" s="1962"/>
      <c r="GDM3" s="1962"/>
      <c r="GDN3" s="1962"/>
      <c r="GDO3" s="1962"/>
      <c r="GDP3" s="1962"/>
      <c r="GDQ3" s="1962"/>
      <c r="GDR3" s="1962"/>
      <c r="GDS3" s="1962"/>
      <c r="GDT3" s="1962"/>
      <c r="GDU3" s="1962"/>
      <c r="GDV3" s="1962"/>
      <c r="GDW3" s="1962"/>
      <c r="GDX3" s="1962"/>
      <c r="GDY3" s="1962"/>
      <c r="GDZ3" s="1962"/>
      <c r="GEA3" s="1962"/>
      <c r="GEB3" s="1962"/>
      <c r="GEC3" s="1962"/>
      <c r="GED3" s="1962"/>
      <c r="GEE3" s="1962"/>
      <c r="GEF3" s="1962"/>
      <c r="GEG3" s="1962"/>
      <c r="GEH3" s="1962"/>
      <c r="GEI3" s="1962"/>
      <c r="GEJ3" s="1962"/>
      <c r="GEK3" s="1962"/>
      <c r="GEL3" s="1962"/>
      <c r="GEM3" s="1962"/>
      <c r="GEN3" s="1962"/>
      <c r="GEO3" s="1962"/>
      <c r="GEP3" s="1962"/>
      <c r="GEQ3" s="1962"/>
      <c r="GER3" s="1962"/>
      <c r="GES3" s="1962"/>
      <c r="GET3" s="1962"/>
      <c r="GEU3" s="1962"/>
      <c r="GEV3" s="1962"/>
      <c r="GEW3" s="1962"/>
      <c r="GEX3" s="1962"/>
      <c r="GEY3" s="1962"/>
      <c r="GEZ3" s="1962"/>
      <c r="GFA3" s="1962"/>
      <c r="GFB3" s="1962"/>
      <c r="GFC3" s="1962"/>
      <c r="GFD3" s="1962"/>
      <c r="GFE3" s="1962"/>
      <c r="GFF3" s="1962"/>
      <c r="GFG3" s="1962"/>
      <c r="GFH3" s="1962"/>
      <c r="GFI3" s="1962"/>
      <c r="GFJ3" s="1962"/>
      <c r="GFK3" s="1962"/>
      <c r="GFL3" s="1962"/>
      <c r="GFM3" s="1962"/>
      <c r="GFN3" s="1962"/>
      <c r="GFO3" s="1962"/>
      <c r="GFP3" s="1962"/>
      <c r="GFQ3" s="1962"/>
      <c r="GFR3" s="1962"/>
      <c r="GFS3" s="1962"/>
      <c r="GFT3" s="1962"/>
      <c r="GFU3" s="1962"/>
      <c r="GFV3" s="1962"/>
      <c r="GFW3" s="1962"/>
      <c r="GFX3" s="1962"/>
      <c r="GFY3" s="1962"/>
      <c r="GFZ3" s="1962"/>
      <c r="GGA3" s="1962"/>
      <c r="GGB3" s="1962"/>
      <c r="GGC3" s="1962"/>
      <c r="GGD3" s="1962"/>
      <c r="GGE3" s="1962"/>
      <c r="GGF3" s="1962"/>
      <c r="GGG3" s="1962"/>
      <c r="GGH3" s="1962"/>
      <c r="GGI3" s="1962"/>
      <c r="GGJ3" s="1962"/>
      <c r="GGK3" s="1962"/>
      <c r="GGL3" s="1962"/>
      <c r="GGM3" s="1962"/>
      <c r="GGN3" s="1962"/>
      <c r="GGO3" s="1962"/>
      <c r="GGP3" s="1962"/>
      <c r="GGQ3" s="1962"/>
      <c r="GGR3" s="1962"/>
      <c r="GGS3" s="1962"/>
      <c r="GGT3" s="1962"/>
      <c r="GGU3" s="1962"/>
      <c r="GGV3" s="1962"/>
      <c r="GGW3" s="1962"/>
      <c r="GGX3" s="1962"/>
      <c r="GGY3" s="1962"/>
      <c r="GGZ3" s="1962"/>
      <c r="GHA3" s="1962"/>
      <c r="GHB3" s="1962"/>
      <c r="GHC3" s="1962"/>
      <c r="GHD3" s="1962"/>
      <c r="GHE3" s="1962"/>
      <c r="GHF3" s="1962"/>
      <c r="GHG3" s="1962"/>
      <c r="GHH3" s="1962"/>
      <c r="GHI3" s="1962"/>
      <c r="GHJ3" s="1962"/>
      <c r="GHK3" s="1962"/>
      <c r="GHL3" s="1962"/>
      <c r="GHM3" s="1962"/>
      <c r="GHN3" s="1962"/>
      <c r="GHO3" s="1962"/>
      <c r="GHP3" s="1962"/>
      <c r="GHQ3" s="1962"/>
      <c r="GHR3" s="1962"/>
      <c r="GHS3" s="1962"/>
      <c r="GHT3" s="1962"/>
      <c r="GHU3" s="1962"/>
      <c r="GHV3" s="1962"/>
      <c r="GHW3" s="1962"/>
      <c r="GHX3" s="1962"/>
      <c r="GHY3" s="1962"/>
      <c r="GHZ3" s="1962"/>
      <c r="GIA3" s="1962"/>
      <c r="GIB3" s="1962"/>
      <c r="GIC3" s="1962"/>
      <c r="GID3" s="1962"/>
      <c r="GIE3" s="1962"/>
      <c r="GIF3" s="1962"/>
      <c r="GIG3" s="1962"/>
      <c r="GIH3" s="1962"/>
      <c r="GII3" s="1962"/>
      <c r="GIJ3" s="1962"/>
      <c r="GIK3" s="1962"/>
      <c r="GIL3" s="1962"/>
      <c r="GIM3" s="1962"/>
      <c r="GIN3" s="1962"/>
      <c r="GIO3" s="1962"/>
      <c r="GIP3" s="1962"/>
      <c r="GIQ3" s="1962"/>
      <c r="GIR3" s="1962"/>
      <c r="GIS3" s="1962"/>
      <c r="GIT3" s="1962"/>
      <c r="GIU3" s="1962"/>
      <c r="GIV3" s="1962"/>
      <c r="GIW3" s="1962"/>
      <c r="GIX3" s="1962"/>
      <c r="GIY3" s="1962"/>
      <c r="GIZ3" s="1962"/>
      <c r="GJA3" s="1962"/>
      <c r="GJB3" s="1962"/>
      <c r="GJC3" s="1962"/>
      <c r="GJD3" s="1962"/>
      <c r="GJE3" s="1962"/>
      <c r="GJF3" s="1962"/>
      <c r="GJG3" s="1962"/>
      <c r="GJH3" s="1962"/>
      <c r="GJI3" s="1962"/>
      <c r="GJJ3" s="1962"/>
      <c r="GJK3" s="1962"/>
      <c r="GJL3" s="1962"/>
      <c r="GJM3" s="1962"/>
      <c r="GJN3" s="1962"/>
      <c r="GJO3" s="1962"/>
      <c r="GJP3" s="1962"/>
      <c r="GJQ3" s="1962"/>
      <c r="GJR3" s="1962"/>
      <c r="GJS3" s="1962"/>
      <c r="GJT3" s="1962"/>
      <c r="GJU3" s="1962"/>
      <c r="GJV3" s="1962"/>
      <c r="GJW3" s="1962"/>
      <c r="GJX3" s="1962"/>
      <c r="GJY3" s="1962"/>
      <c r="GJZ3" s="1962"/>
      <c r="GKA3" s="1962"/>
      <c r="GKB3" s="1962"/>
      <c r="GKC3" s="1962"/>
      <c r="GKD3" s="1962"/>
      <c r="GKE3" s="1962"/>
      <c r="GKF3" s="1962"/>
      <c r="GKG3" s="1962"/>
      <c r="GKH3" s="1962"/>
      <c r="GKI3" s="1962"/>
      <c r="GKJ3" s="1962"/>
      <c r="GKK3" s="1962"/>
      <c r="GKL3" s="1962"/>
      <c r="GKM3" s="1962"/>
      <c r="GKN3" s="1962"/>
      <c r="GKO3" s="1962"/>
      <c r="GKP3" s="1962"/>
      <c r="GKQ3" s="1962"/>
      <c r="GKR3" s="1962"/>
      <c r="GKS3" s="1962"/>
      <c r="GKT3" s="1962"/>
      <c r="GKU3" s="1962"/>
      <c r="GKV3" s="1962"/>
      <c r="GKW3" s="1962"/>
      <c r="GKX3" s="1962"/>
      <c r="GKY3" s="1962"/>
      <c r="GKZ3" s="1962"/>
      <c r="GLA3" s="1962"/>
      <c r="GLB3" s="1962"/>
      <c r="GLC3" s="1962"/>
      <c r="GLD3" s="1962"/>
      <c r="GLE3" s="1962"/>
      <c r="GLF3" s="1962"/>
      <c r="GLG3" s="1962"/>
      <c r="GLH3" s="1962"/>
      <c r="GLI3" s="1962"/>
      <c r="GLJ3" s="1962"/>
      <c r="GLK3" s="1962"/>
      <c r="GLL3" s="1962"/>
      <c r="GLM3" s="1962"/>
      <c r="GLN3" s="1962"/>
      <c r="GLO3" s="1962"/>
      <c r="GLP3" s="1962"/>
      <c r="GLQ3" s="1962"/>
      <c r="GLR3" s="1962"/>
      <c r="GLS3" s="1962"/>
      <c r="GLT3" s="1962"/>
      <c r="GLU3" s="1962"/>
      <c r="GLV3" s="1962"/>
      <c r="GLW3" s="1962"/>
      <c r="GLX3" s="1962"/>
      <c r="GLY3" s="1962"/>
      <c r="GLZ3" s="1962"/>
      <c r="GMA3" s="1962"/>
      <c r="GMB3" s="1962"/>
      <c r="GMC3" s="1962"/>
      <c r="GMD3" s="1962"/>
      <c r="GME3" s="1962"/>
      <c r="GMF3" s="1962"/>
      <c r="GMG3" s="1962"/>
      <c r="GMH3" s="1962"/>
      <c r="GMI3" s="1962"/>
      <c r="GMJ3" s="1962"/>
      <c r="GMK3" s="1962"/>
      <c r="GML3" s="1962"/>
      <c r="GMM3" s="1962"/>
      <c r="GMN3" s="1962"/>
      <c r="GMO3" s="1962"/>
      <c r="GMP3" s="1962"/>
      <c r="GMQ3" s="1962"/>
      <c r="GMR3" s="1962"/>
      <c r="GMS3" s="1962"/>
      <c r="GMT3" s="1962"/>
      <c r="GMU3" s="1962"/>
      <c r="GMV3" s="1962"/>
      <c r="GMW3" s="1962"/>
      <c r="GMX3" s="1962"/>
      <c r="GMY3" s="1962"/>
      <c r="GMZ3" s="1962"/>
      <c r="GNA3" s="1962"/>
      <c r="GNB3" s="1962"/>
      <c r="GNC3" s="1962"/>
      <c r="GND3" s="1962"/>
      <c r="GNE3" s="1962"/>
      <c r="GNF3" s="1962"/>
      <c r="GNG3" s="1962"/>
      <c r="GNH3" s="1962"/>
      <c r="GNI3" s="1962"/>
      <c r="GNJ3" s="1962"/>
      <c r="GNK3" s="1962"/>
      <c r="GNL3" s="1962"/>
      <c r="GNM3" s="1962"/>
      <c r="GNN3" s="1962"/>
      <c r="GNO3" s="1962"/>
      <c r="GNP3" s="1962"/>
      <c r="GNQ3" s="1962"/>
      <c r="GNR3" s="1962"/>
      <c r="GNS3" s="1962"/>
      <c r="GNT3" s="1962"/>
      <c r="GNU3" s="1962"/>
      <c r="GNV3" s="1962"/>
      <c r="GNW3" s="1962"/>
      <c r="GNX3" s="1962"/>
      <c r="GNY3" s="1962"/>
      <c r="GNZ3" s="1962"/>
      <c r="GOA3" s="1962"/>
      <c r="GOB3" s="1962"/>
      <c r="GOC3" s="1962"/>
      <c r="GOD3" s="1962"/>
      <c r="GOE3" s="1962"/>
      <c r="GOF3" s="1962"/>
      <c r="GOG3" s="1962"/>
      <c r="GOH3" s="1962"/>
      <c r="GOI3" s="1962"/>
      <c r="GOJ3" s="1962"/>
      <c r="GOK3" s="1962"/>
      <c r="GOL3" s="1962"/>
      <c r="GOM3" s="1962"/>
      <c r="GON3" s="1962"/>
      <c r="GOO3" s="1962"/>
      <c r="GOP3" s="1962"/>
      <c r="GOQ3" s="1962"/>
      <c r="GOR3" s="1962"/>
      <c r="GOS3" s="1962"/>
      <c r="GOT3" s="1962"/>
      <c r="GOU3" s="1962"/>
      <c r="GOV3" s="1962"/>
      <c r="GOW3" s="1962"/>
      <c r="GOX3" s="1962"/>
      <c r="GOY3" s="1962"/>
      <c r="GOZ3" s="1962"/>
      <c r="GPA3" s="1962"/>
      <c r="GPB3" s="1962"/>
      <c r="GPC3" s="1962"/>
      <c r="GPD3" s="1962"/>
      <c r="GPE3" s="1962"/>
      <c r="GPF3" s="1962"/>
      <c r="GPG3" s="1962"/>
      <c r="GPH3" s="1962"/>
      <c r="GPI3" s="1962"/>
      <c r="GPJ3" s="1962"/>
      <c r="GPK3" s="1962"/>
      <c r="GPL3" s="1962"/>
      <c r="GPM3" s="1962"/>
      <c r="GPN3" s="1962"/>
      <c r="GPO3" s="1962"/>
      <c r="GPP3" s="1962"/>
      <c r="GPQ3" s="1962"/>
      <c r="GPR3" s="1962"/>
      <c r="GPS3" s="1962"/>
      <c r="GPT3" s="1962"/>
      <c r="GPU3" s="1962"/>
      <c r="GPV3" s="1962"/>
      <c r="GPW3" s="1962"/>
      <c r="GPX3" s="1962"/>
      <c r="GPY3" s="1962"/>
      <c r="GPZ3" s="1962"/>
      <c r="GQA3" s="1962"/>
      <c r="GQB3" s="1962"/>
      <c r="GQC3" s="1962"/>
      <c r="GQD3" s="1962"/>
      <c r="GQE3" s="1962"/>
      <c r="GQF3" s="1962"/>
      <c r="GQG3" s="1962"/>
      <c r="GQH3" s="1962"/>
      <c r="GQI3" s="1962"/>
      <c r="GQJ3" s="1962"/>
      <c r="GQK3" s="1962"/>
      <c r="GQL3" s="1962"/>
      <c r="GQM3" s="1962"/>
      <c r="GQN3" s="1962"/>
      <c r="GQO3" s="1962"/>
      <c r="GQP3" s="1962"/>
      <c r="GQQ3" s="1962"/>
      <c r="GQR3" s="1962"/>
      <c r="GQS3" s="1962"/>
      <c r="GQT3" s="1962"/>
      <c r="GQU3" s="1962"/>
      <c r="GQV3" s="1962"/>
      <c r="GQW3" s="1962"/>
      <c r="GQX3" s="1962"/>
      <c r="GQY3" s="1962"/>
      <c r="GQZ3" s="1962"/>
      <c r="GRA3" s="1962"/>
      <c r="GRB3" s="1962"/>
      <c r="GRC3" s="1962"/>
      <c r="GRD3" s="1962"/>
      <c r="GRE3" s="1962"/>
      <c r="GRF3" s="1962"/>
      <c r="GRG3" s="1962"/>
      <c r="GRH3" s="1962"/>
      <c r="GRI3" s="1962"/>
      <c r="GRJ3" s="1962"/>
      <c r="GRK3" s="1962"/>
      <c r="GRL3" s="1962"/>
      <c r="GRM3" s="1962"/>
      <c r="GRN3" s="1962"/>
      <c r="GRO3" s="1962"/>
      <c r="GRP3" s="1962"/>
      <c r="GRQ3" s="1962"/>
      <c r="GRR3" s="1962"/>
      <c r="GRS3" s="1962"/>
      <c r="GRT3" s="1962"/>
      <c r="GRU3" s="1962"/>
      <c r="GRV3" s="1962"/>
      <c r="GRW3" s="1962"/>
      <c r="GRX3" s="1962"/>
      <c r="GRY3" s="1962"/>
      <c r="GRZ3" s="1962"/>
      <c r="GSA3" s="1962"/>
      <c r="GSB3" s="1962"/>
      <c r="GSC3" s="1962"/>
      <c r="GSD3" s="1962"/>
      <c r="GSE3" s="1962"/>
      <c r="GSF3" s="1962"/>
      <c r="GSG3" s="1962"/>
      <c r="GSH3" s="1962"/>
      <c r="GSI3" s="1962"/>
      <c r="GSJ3" s="1962"/>
      <c r="GSK3" s="1962"/>
      <c r="GSL3" s="1962"/>
      <c r="GSM3" s="1962"/>
      <c r="GSN3" s="1962"/>
      <c r="GSO3" s="1962"/>
      <c r="GSP3" s="1962"/>
      <c r="GSQ3" s="1962"/>
      <c r="GSR3" s="1962"/>
      <c r="GSS3" s="1962"/>
      <c r="GST3" s="1962"/>
      <c r="GSU3" s="1962"/>
      <c r="GSV3" s="1962"/>
      <c r="GSW3" s="1962"/>
      <c r="GSX3" s="1962"/>
      <c r="GSY3" s="1962"/>
      <c r="GSZ3" s="1962"/>
      <c r="GTA3" s="1962"/>
      <c r="GTB3" s="1962"/>
      <c r="GTC3" s="1962"/>
      <c r="GTD3" s="1962"/>
      <c r="GTE3" s="1962"/>
      <c r="GTF3" s="1962"/>
      <c r="GTG3" s="1962"/>
      <c r="GTH3" s="1962"/>
      <c r="GTI3" s="1962"/>
      <c r="GTJ3" s="1962"/>
      <c r="GTK3" s="1962"/>
      <c r="GTL3" s="1962"/>
      <c r="GTM3" s="1962"/>
      <c r="GTN3" s="1962"/>
      <c r="GTO3" s="1962"/>
      <c r="GTP3" s="1962"/>
      <c r="GTQ3" s="1962"/>
      <c r="GTR3" s="1962"/>
      <c r="GTS3" s="1962"/>
      <c r="GTT3" s="1962"/>
      <c r="GTU3" s="1962"/>
      <c r="GTV3" s="1962"/>
      <c r="GTW3" s="1962"/>
      <c r="GTX3" s="1962"/>
      <c r="GTY3" s="1962"/>
      <c r="GTZ3" s="1962"/>
      <c r="GUA3" s="1962"/>
      <c r="GUB3" s="1962"/>
      <c r="GUC3" s="1962"/>
      <c r="GUD3" s="1962"/>
      <c r="GUE3" s="1962"/>
      <c r="GUF3" s="1962"/>
      <c r="GUG3" s="1962"/>
      <c r="GUH3" s="1962"/>
      <c r="GUI3" s="1962"/>
      <c r="GUJ3" s="1962"/>
      <c r="GUK3" s="1962"/>
      <c r="GUL3" s="1962"/>
      <c r="GUM3" s="1962"/>
      <c r="GUN3" s="1962"/>
      <c r="GUO3" s="1962"/>
      <c r="GUP3" s="1962"/>
      <c r="GUQ3" s="1962"/>
      <c r="GUR3" s="1962"/>
      <c r="GUS3" s="1962"/>
      <c r="GUT3" s="1962"/>
      <c r="GUU3" s="1962"/>
      <c r="GUV3" s="1962"/>
      <c r="GUW3" s="1962"/>
      <c r="GUX3" s="1962"/>
      <c r="GUY3" s="1962"/>
      <c r="GUZ3" s="1962"/>
      <c r="GVA3" s="1962"/>
      <c r="GVB3" s="1962"/>
      <c r="GVC3" s="1962"/>
      <c r="GVD3" s="1962"/>
      <c r="GVE3" s="1962"/>
      <c r="GVF3" s="1962"/>
      <c r="GVG3" s="1962"/>
      <c r="GVH3" s="1962"/>
      <c r="GVI3" s="1962"/>
      <c r="GVJ3" s="1962"/>
      <c r="GVK3" s="1962"/>
      <c r="GVL3" s="1962"/>
      <c r="GVM3" s="1962"/>
      <c r="GVN3" s="1962"/>
      <c r="GVO3" s="1962"/>
      <c r="GVP3" s="1962"/>
      <c r="GVQ3" s="1962"/>
      <c r="GVR3" s="1962"/>
      <c r="GVS3" s="1962"/>
      <c r="GVT3" s="1962"/>
      <c r="GVU3" s="1962"/>
      <c r="GVV3" s="1962"/>
      <c r="GVW3" s="1962"/>
      <c r="GVX3" s="1962"/>
      <c r="GVY3" s="1962"/>
      <c r="GVZ3" s="1962"/>
      <c r="GWA3" s="1962"/>
      <c r="GWB3" s="1962"/>
      <c r="GWC3" s="1962"/>
      <c r="GWD3" s="1962"/>
      <c r="GWE3" s="1962"/>
      <c r="GWF3" s="1962"/>
      <c r="GWG3" s="1962"/>
      <c r="GWH3" s="1962"/>
      <c r="GWI3" s="1962"/>
      <c r="GWJ3" s="1962"/>
      <c r="GWK3" s="1962"/>
      <c r="GWL3" s="1962"/>
      <c r="GWM3" s="1962"/>
      <c r="GWN3" s="1962"/>
      <c r="GWO3" s="1962"/>
      <c r="GWP3" s="1962"/>
      <c r="GWQ3" s="1962"/>
      <c r="GWR3" s="1962"/>
      <c r="GWS3" s="1962"/>
      <c r="GWT3" s="1962"/>
      <c r="GWU3" s="1962"/>
      <c r="GWV3" s="1962"/>
      <c r="GWW3" s="1962"/>
      <c r="GWX3" s="1962"/>
      <c r="GWY3" s="1962"/>
      <c r="GWZ3" s="1962"/>
      <c r="GXA3" s="1962"/>
      <c r="GXB3" s="1962"/>
      <c r="GXC3" s="1962"/>
      <c r="GXD3" s="1962"/>
      <c r="GXE3" s="1962"/>
      <c r="GXF3" s="1962"/>
      <c r="GXG3" s="1962"/>
      <c r="GXH3" s="1962"/>
      <c r="GXI3" s="1962"/>
      <c r="GXJ3" s="1962"/>
      <c r="GXK3" s="1962"/>
      <c r="GXL3" s="1962"/>
      <c r="GXM3" s="1962"/>
      <c r="GXN3" s="1962"/>
      <c r="GXO3" s="1962"/>
      <c r="GXP3" s="1962"/>
      <c r="GXQ3" s="1962"/>
      <c r="GXR3" s="1962"/>
      <c r="GXS3" s="1962"/>
      <c r="GXT3" s="1962"/>
      <c r="GXU3" s="1962"/>
      <c r="GXV3" s="1962"/>
      <c r="GXW3" s="1962"/>
      <c r="GXX3" s="1962"/>
      <c r="GXY3" s="1962"/>
      <c r="GXZ3" s="1962"/>
      <c r="GYA3" s="1962"/>
      <c r="GYB3" s="1962"/>
      <c r="GYC3" s="1962"/>
      <c r="GYD3" s="1962"/>
      <c r="GYE3" s="1962"/>
      <c r="GYF3" s="1962"/>
      <c r="GYG3" s="1962"/>
      <c r="GYH3" s="1962"/>
      <c r="GYI3" s="1962"/>
      <c r="GYJ3" s="1962"/>
      <c r="GYK3" s="1962"/>
      <c r="GYL3" s="1962"/>
      <c r="GYM3" s="1962"/>
      <c r="GYN3" s="1962"/>
      <c r="GYO3" s="1962"/>
      <c r="GYP3" s="1962"/>
      <c r="GYQ3" s="1962"/>
      <c r="GYR3" s="1962"/>
      <c r="GYS3" s="1962"/>
      <c r="GYT3" s="1962"/>
      <c r="GYU3" s="1962"/>
      <c r="GYV3" s="1962"/>
      <c r="GYW3" s="1962"/>
      <c r="GYX3" s="1962"/>
      <c r="GYY3" s="1962"/>
      <c r="GYZ3" s="1962"/>
      <c r="GZA3" s="1962"/>
      <c r="GZB3" s="1962"/>
      <c r="GZC3" s="1962"/>
      <c r="GZD3" s="1962"/>
      <c r="GZE3" s="1962"/>
      <c r="GZF3" s="1962"/>
      <c r="GZG3" s="1962"/>
      <c r="GZH3" s="1962"/>
      <c r="GZI3" s="1962"/>
      <c r="GZJ3" s="1962"/>
      <c r="GZK3" s="1962"/>
      <c r="GZL3" s="1962"/>
      <c r="GZM3" s="1962"/>
      <c r="GZN3" s="1962"/>
      <c r="GZO3" s="1962"/>
      <c r="GZP3" s="1962"/>
      <c r="GZQ3" s="1962"/>
      <c r="GZR3" s="1962"/>
      <c r="GZS3" s="1962"/>
      <c r="GZT3" s="1962"/>
      <c r="GZU3" s="1962"/>
      <c r="GZV3" s="1962"/>
      <c r="GZW3" s="1962"/>
      <c r="GZX3" s="1962"/>
      <c r="GZY3" s="1962"/>
      <c r="GZZ3" s="1962"/>
      <c r="HAA3" s="1962"/>
      <c r="HAB3" s="1962"/>
      <c r="HAC3" s="1962"/>
      <c r="HAD3" s="1962"/>
      <c r="HAE3" s="1962"/>
      <c r="HAF3" s="1962"/>
      <c r="HAG3" s="1962"/>
      <c r="HAH3" s="1962"/>
      <c r="HAI3" s="1962"/>
      <c r="HAJ3" s="1962"/>
      <c r="HAK3" s="1962"/>
      <c r="HAL3" s="1962"/>
      <c r="HAM3" s="1962"/>
      <c r="HAN3" s="1962"/>
      <c r="HAO3" s="1962"/>
      <c r="HAP3" s="1962"/>
      <c r="HAQ3" s="1962"/>
      <c r="HAR3" s="1962"/>
      <c r="HAS3" s="1962"/>
      <c r="HAT3" s="1962"/>
      <c r="HAU3" s="1962"/>
      <c r="HAV3" s="1962"/>
      <c r="HAW3" s="1962"/>
      <c r="HAX3" s="1962"/>
      <c r="HAY3" s="1962"/>
      <c r="HAZ3" s="1962"/>
      <c r="HBA3" s="1962"/>
      <c r="HBB3" s="1962"/>
      <c r="HBC3" s="1962"/>
      <c r="HBD3" s="1962"/>
      <c r="HBE3" s="1962"/>
      <c r="HBF3" s="1962"/>
      <c r="HBG3" s="1962"/>
      <c r="HBH3" s="1962"/>
      <c r="HBI3" s="1962"/>
      <c r="HBJ3" s="1962"/>
      <c r="HBK3" s="1962"/>
      <c r="HBL3" s="1962"/>
      <c r="HBM3" s="1962"/>
      <c r="HBN3" s="1962"/>
      <c r="HBO3" s="1962"/>
      <c r="HBP3" s="1962"/>
      <c r="HBQ3" s="1962"/>
      <c r="HBR3" s="1962"/>
      <c r="HBS3" s="1962"/>
      <c r="HBT3" s="1962"/>
      <c r="HBU3" s="1962"/>
      <c r="HBV3" s="1962"/>
      <c r="HBW3" s="1962"/>
      <c r="HBX3" s="1962"/>
      <c r="HBY3" s="1962"/>
      <c r="HBZ3" s="1962"/>
      <c r="HCA3" s="1962"/>
      <c r="HCB3" s="1962"/>
      <c r="HCC3" s="1962"/>
      <c r="HCD3" s="1962"/>
      <c r="HCE3" s="1962"/>
      <c r="HCF3" s="1962"/>
      <c r="HCG3" s="1962"/>
      <c r="HCH3" s="1962"/>
      <c r="HCI3" s="1962"/>
      <c r="HCJ3" s="1962"/>
      <c r="HCK3" s="1962"/>
      <c r="HCL3" s="1962"/>
      <c r="HCM3" s="1962"/>
      <c r="HCN3" s="1962"/>
      <c r="HCO3" s="1962"/>
      <c r="HCP3" s="1962"/>
      <c r="HCQ3" s="1962"/>
      <c r="HCR3" s="1962"/>
      <c r="HCS3" s="1962"/>
      <c r="HCT3" s="1962"/>
      <c r="HCU3" s="1962"/>
      <c r="HCV3" s="1962"/>
      <c r="HCW3" s="1962"/>
      <c r="HCX3" s="1962"/>
      <c r="HCY3" s="1962"/>
      <c r="HCZ3" s="1962"/>
      <c r="HDA3" s="1962"/>
      <c r="HDB3" s="1962"/>
      <c r="HDC3" s="1962"/>
      <c r="HDD3" s="1962"/>
      <c r="HDE3" s="1962"/>
      <c r="HDF3" s="1962"/>
      <c r="HDG3" s="1962"/>
      <c r="HDH3" s="1962"/>
      <c r="HDI3" s="1962"/>
      <c r="HDJ3" s="1962"/>
      <c r="HDK3" s="1962"/>
      <c r="HDL3" s="1962"/>
      <c r="HDM3" s="1962"/>
      <c r="HDN3" s="1962"/>
      <c r="HDO3" s="1962"/>
      <c r="HDP3" s="1962"/>
      <c r="HDQ3" s="1962"/>
      <c r="HDR3" s="1962"/>
      <c r="HDS3" s="1962"/>
      <c r="HDT3" s="1962"/>
      <c r="HDU3" s="1962"/>
      <c r="HDV3" s="1962"/>
      <c r="HDW3" s="1962"/>
      <c r="HDX3" s="1962"/>
      <c r="HDY3" s="1962"/>
      <c r="HDZ3" s="1962"/>
      <c r="HEA3" s="1962"/>
      <c r="HEB3" s="1962"/>
      <c r="HEC3" s="1962"/>
      <c r="HED3" s="1962"/>
      <c r="HEE3" s="1962"/>
      <c r="HEF3" s="1962"/>
      <c r="HEG3" s="1962"/>
      <c r="HEH3" s="1962"/>
      <c r="HEI3" s="1962"/>
      <c r="HEJ3" s="1962"/>
      <c r="HEK3" s="1962"/>
      <c r="HEL3" s="1962"/>
      <c r="HEM3" s="1962"/>
      <c r="HEN3" s="1962"/>
      <c r="HEO3" s="1962"/>
      <c r="HEP3" s="1962"/>
      <c r="HEQ3" s="1962"/>
      <c r="HER3" s="1962"/>
      <c r="HES3" s="1962"/>
      <c r="HET3" s="1962"/>
      <c r="HEU3" s="1962"/>
      <c r="HEV3" s="1962"/>
      <c r="HEW3" s="1962"/>
      <c r="HEX3" s="1962"/>
      <c r="HEY3" s="1962"/>
      <c r="HEZ3" s="1962"/>
      <c r="HFA3" s="1962"/>
      <c r="HFB3" s="1962"/>
      <c r="HFC3" s="1962"/>
      <c r="HFD3" s="1962"/>
      <c r="HFE3" s="1962"/>
      <c r="HFF3" s="1962"/>
      <c r="HFG3" s="1962"/>
      <c r="HFH3" s="1962"/>
      <c r="HFI3" s="1962"/>
      <c r="HFJ3" s="1962"/>
      <c r="HFK3" s="1962"/>
      <c r="HFL3" s="1962"/>
      <c r="HFM3" s="1962"/>
      <c r="HFN3" s="1962"/>
      <c r="HFO3" s="1962"/>
      <c r="HFP3" s="1962"/>
      <c r="HFQ3" s="1962"/>
      <c r="HFR3" s="1962"/>
      <c r="HFS3" s="1962"/>
      <c r="HFT3" s="1962"/>
      <c r="HFU3" s="1962"/>
      <c r="HFV3" s="1962"/>
      <c r="HFW3" s="1962"/>
      <c r="HFX3" s="1962"/>
      <c r="HFY3" s="1962"/>
      <c r="HFZ3" s="1962"/>
      <c r="HGA3" s="1962"/>
      <c r="HGB3" s="1962"/>
      <c r="HGC3" s="1962"/>
      <c r="HGD3" s="1962"/>
      <c r="HGE3" s="1962"/>
      <c r="HGF3" s="1962"/>
      <c r="HGG3" s="1962"/>
      <c r="HGH3" s="1962"/>
      <c r="HGI3" s="1962"/>
      <c r="HGJ3" s="1962"/>
      <c r="HGK3" s="1962"/>
      <c r="HGL3" s="1962"/>
      <c r="HGM3" s="1962"/>
      <c r="HGN3" s="1962"/>
      <c r="HGO3" s="1962"/>
      <c r="HGP3" s="1962"/>
      <c r="HGQ3" s="1962"/>
      <c r="HGR3" s="1962"/>
      <c r="HGS3" s="1962"/>
      <c r="HGT3" s="1962"/>
      <c r="HGU3" s="1962"/>
      <c r="HGV3" s="1962"/>
      <c r="HGW3" s="1962"/>
      <c r="HGX3" s="1962"/>
      <c r="HGY3" s="1962"/>
      <c r="HGZ3" s="1962"/>
      <c r="HHA3" s="1962"/>
      <c r="HHB3" s="1962"/>
      <c r="HHC3" s="1962"/>
      <c r="HHD3" s="1962"/>
      <c r="HHE3" s="1962"/>
      <c r="HHF3" s="1962"/>
      <c r="HHG3" s="1962"/>
      <c r="HHH3" s="1962"/>
      <c r="HHI3" s="1962"/>
      <c r="HHJ3" s="1962"/>
      <c r="HHK3" s="1962"/>
      <c r="HHL3" s="1962"/>
      <c r="HHM3" s="1962"/>
      <c r="HHN3" s="1962"/>
      <c r="HHO3" s="1962"/>
      <c r="HHP3" s="1962"/>
      <c r="HHQ3" s="1962"/>
      <c r="HHR3" s="1962"/>
      <c r="HHS3" s="1962"/>
      <c r="HHT3" s="1962"/>
      <c r="HHU3" s="1962"/>
      <c r="HHV3" s="1962"/>
      <c r="HHW3" s="1962"/>
      <c r="HHX3" s="1962"/>
      <c r="HHY3" s="1962"/>
      <c r="HHZ3" s="1962"/>
      <c r="HIA3" s="1962"/>
      <c r="HIB3" s="1962"/>
      <c r="HIC3" s="1962"/>
      <c r="HID3" s="1962"/>
      <c r="HIE3" s="1962"/>
      <c r="HIF3" s="1962"/>
      <c r="HIG3" s="1962"/>
      <c r="HIH3" s="1962"/>
      <c r="HII3" s="1962"/>
      <c r="HIJ3" s="1962"/>
      <c r="HIK3" s="1962"/>
      <c r="HIL3" s="1962"/>
      <c r="HIM3" s="1962"/>
      <c r="HIN3" s="1962"/>
      <c r="HIO3" s="1962"/>
      <c r="HIP3" s="1962"/>
      <c r="HIQ3" s="1962"/>
      <c r="HIR3" s="1962"/>
      <c r="HIS3" s="1962"/>
      <c r="HIT3" s="1962"/>
      <c r="HIU3" s="1962"/>
      <c r="HIV3" s="1962"/>
      <c r="HIW3" s="1962"/>
      <c r="HIX3" s="1962"/>
      <c r="HIY3" s="1962"/>
      <c r="HIZ3" s="1962"/>
      <c r="HJA3" s="1962"/>
      <c r="HJB3" s="1962"/>
      <c r="HJC3" s="1962"/>
      <c r="HJD3" s="1962"/>
      <c r="HJE3" s="1962"/>
      <c r="HJF3" s="1962"/>
      <c r="HJG3" s="1962"/>
      <c r="HJH3" s="1962"/>
      <c r="HJI3" s="1962"/>
      <c r="HJJ3" s="1962"/>
      <c r="HJK3" s="1962"/>
      <c r="HJL3" s="1962"/>
      <c r="HJM3" s="1962"/>
      <c r="HJN3" s="1962"/>
      <c r="HJO3" s="1962"/>
      <c r="HJP3" s="1962"/>
      <c r="HJQ3" s="1962"/>
      <c r="HJR3" s="1962"/>
      <c r="HJS3" s="1962"/>
      <c r="HJT3" s="1962"/>
      <c r="HJU3" s="1962"/>
      <c r="HJV3" s="1962"/>
      <c r="HJW3" s="1962"/>
      <c r="HJX3" s="1962"/>
      <c r="HJY3" s="1962"/>
      <c r="HJZ3" s="1962"/>
      <c r="HKA3" s="1962"/>
      <c r="HKB3" s="1962"/>
      <c r="HKC3" s="1962"/>
      <c r="HKD3" s="1962"/>
      <c r="HKE3" s="1962"/>
      <c r="HKF3" s="1962"/>
      <c r="HKG3" s="1962"/>
      <c r="HKH3" s="1962"/>
      <c r="HKI3" s="1962"/>
      <c r="HKJ3" s="1962"/>
      <c r="HKK3" s="1962"/>
      <c r="HKL3" s="1962"/>
      <c r="HKM3" s="1962"/>
      <c r="HKN3" s="1962"/>
      <c r="HKO3" s="1962"/>
      <c r="HKP3" s="1962"/>
      <c r="HKQ3" s="1962"/>
      <c r="HKR3" s="1962"/>
      <c r="HKS3" s="1962"/>
      <c r="HKT3" s="1962"/>
      <c r="HKU3" s="1962"/>
      <c r="HKV3" s="1962"/>
      <c r="HKW3" s="1962"/>
      <c r="HKX3" s="1962"/>
      <c r="HKY3" s="1962"/>
      <c r="HKZ3" s="1962"/>
      <c r="HLA3" s="1962"/>
      <c r="HLB3" s="1962"/>
      <c r="HLC3" s="1962"/>
      <c r="HLD3" s="1962"/>
      <c r="HLE3" s="1962"/>
      <c r="HLF3" s="1962"/>
      <c r="HLG3" s="1962"/>
      <c r="HLH3" s="1962"/>
      <c r="HLI3" s="1962"/>
      <c r="HLJ3" s="1962"/>
      <c r="HLK3" s="1962"/>
      <c r="HLL3" s="1962"/>
      <c r="HLM3" s="1962"/>
      <c r="HLN3" s="1962"/>
      <c r="HLO3" s="1962"/>
      <c r="HLP3" s="1962"/>
      <c r="HLQ3" s="1962"/>
      <c r="HLR3" s="1962"/>
      <c r="HLS3" s="1962"/>
      <c r="HLT3" s="1962"/>
      <c r="HLU3" s="1962"/>
      <c r="HLV3" s="1962"/>
      <c r="HLW3" s="1962"/>
      <c r="HLX3" s="1962"/>
      <c r="HLY3" s="1962"/>
      <c r="HLZ3" s="1962"/>
      <c r="HMA3" s="1962"/>
      <c r="HMB3" s="1962"/>
      <c r="HMC3" s="1962"/>
      <c r="HMD3" s="1962"/>
      <c r="HME3" s="1962"/>
      <c r="HMF3" s="1962"/>
      <c r="HMG3" s="1962"/>
      <c r="HMH3" s="1962"/>
      <c r="HMI3" s="1962"/>
      <c r="HMJ3" s="1962"/>
      <c r="HMK3" s="1962"/>
      <c r="HML3" s="1962"/>
      <c r="HMM3" s="1962"/>
      <c r="HMN3" s="1962"/>
      <c r="HMO3" s="1962"/>
      <c r="HMP3" s="1962"/>
      <c r="HMQ3" s="1962"/>
      <c r="HMR3" s="1962"/>
      <c r="HMS3" s="1962"/>
      <c r="HMT3" s="1962"/>
      <c r="HMU3" s="1962"/>
      <c r="HMV3" s="1962"/>
      <c r="HMW3" s="1962"/>
      <c r="HMX3" s="1962"/>
      <c r="HMY3" s="1962"/>
      <c r="HMZ3" s="1962"/>
      <c r="HNA3" s="1962"/>
      <c r="HNB3" s="1962"/>
      <c r="HNC3" s="1962"/>
      <c r="HND3" s="1962"/>
      <c r="HNE3" s="1962"/>
      <c r="HNF3" s="1962"/>
      <c r="HNG3" s="1962"/>
      <c r="HNH3" s="1962"/>
      <c r="HNI3" s="1962"/>
      <c r="HNJ3" s="1962"/>
      <c r="HNK3" s="1962"/>
      <c r="HNL3" s="1962"/>
      <c r="HNM3" s="1962"/>
      <c r="HNN3" s="1962"/>
      <c r="HNO3" s="1962"/>
      <c r="HNP3" s="1962"/>
      <c r="HNQ3" s="1962"/>
      <c r="HNR3" s="1962"/>
      <c r="HNS3" s="1962"/>
      <c r="HNT3" s="1962"/>
      <c r="HNU3" s="1962"/>
      <c r="HNV3" s="1962"/>
      <c r="HNW3" s="1962"/>
      <c r="HNX3" s="1962"/>
      <c r="HNY3" s="1962"/>
      <c r="HNZ3" s="1962"/>
      <c r="HOA3" s="1962"/>
      <c r="HOB3" s="1962"/>
      <c r="HOC3" s="1962"/>
      <c r="HOD3" s="1962"/>
      <c r="HOE3" s="1962"/>
      <c r="HOF3" s="1962"/>
      <c r="HOG3" s="1962"/>
      <c r="HOH3" s="1962"/>
      <c r="HOI3" s="1962"/>
      <c r="HOJ3" s="1962"/>
      <c r="HOK3" s="1962"/>
      <c r="HOL3" s="1962"/>
      <c r="HOM3" s="1962"/>
      <c r="HON3" s="1962"/>
      <c r="HOO3" s="1962"/>
      <c r="HOP3" s="1962"/>
      <c r="HOQ3" s="1962"/>
      <c r="HOR3" s="1962"/>
      <c r="HOS3" s="1962"/>
      <c r="HOT3" s="1962"/>
      <c r="HOU3" s="1962"/>
      <c r="HOV3" s="1962"/>
      <c r="HOW3" s="1962"/>
      <c r="HOX3" s="1962"/>
      <c r="HOY3" s="1962"/>
      <c r="HOZ3" s="1962"/>
      <c r="HPA3" s="1962"/>
      <c r="HPB3" s="1962"/>
      <c r="HPC3" s="1962"/>
      <c r="HPD3" s="1962"/>
      <c r="HPE3" s="1962"/>
      <c r="HPF3" s="1962"/>
      <c r="HPG3" s="1962"/>
      <c r="HPH3" s="1962"/>
      <c r="HPI3" s="1962"/>
      <c r="HPJ3" s="1962"/>
      <c r="HPK3" s="1962"/>
      <c r="HPL3" s="1962"/>
      <c r="HPM3" s="1962"/>
      <c r="HPN3" s="1962"/>
      <c r="HPO3" s="1962"/>
      <c r="HPP3" s="1962"/>
      <c r="HPQ3" s="1962"/>
      <c r="HPR3" s="1962"/>
      <c r="HPS3" s="1962"/>
      <c r="HPT3" s="1962"/>
      <c r="HPU3" s="1962"/>
      <c r="HPV3" s="1962"/>
      <c r="HPW3" s="1962"/>
      <c r="HPX3" s="1962"/>
      <c r="HPY3" s="1962"/>
      <c r="HPZ3" s="1962"/>
      <c r="HQA3" s="1962"/>
      <c r="HQB3" s="1962"/>
      <c r="HQC3" s="1962"/>
      <c r="HQD3" s="1962"/>
      <c r="HQE3" s="1962"/>
      <c r="HQF3" s="1962"/>
      <c r="HQG3" s="1962"/>
      <c r="HQH3" s="1962"/>
      <c r="HQI3" s="1962"/>
      <c r="HQJ3" s="1962"/>
      <c r="HQK3" s="1962"/>
      <c r="HQL3" s="1962"/>
      <c r="HQM3" s="1962"/>
      <c r="HQN3" s="1962"/>
      <c r="HQO3" s="1962"/>
      <c r="HQP3" s="1962"/>
      <c r="HQQ3" s="1962"/>
      <c r="HQR3" s="1962"/>
      <c r="HQS3" s="1962"/>
      <c r="HQT3" s="1962"/>
      <c r="HQU3" s="1962"/>
      <c r="HQV3" s="1962"/>
      <c r="HQW3" s="1962"/>
      <c r="HQX3" s="1962"/>
      <c r="HQY3" s="1962"/>
      <c r="HQZ3" s="1962"/>
      <c r="HRA3" s="1962"/>
      <c r="HRB3" s="1962"/>
      <c r="HRC3" s="1962"/>
      <c r="HRD3" s="1962"/>
      <c r="HRE3" s="1962"/>
      <c r="HRF3" s="1962"/>
      <c r="HRG3" s="1962"/>
      <c r="HRH3" s="1962"/>
      <c r="HRI3" s="1962"/>
      <c r="HRJ3" s="1962"/>
      <c r="HRK3" s="1962"/>
      <c r="HRL3" s="1962"/>
      <c r="HRM3" s="1962"/>
      <c r="HRN3" s="1962"/>
      <c r="HRO3" s="1962"/>
      <c r="HRP3" s="1962"/>
      <c r="HRQ3" s="1962"/>
      <c r="HRR3" s="1962"/>
      <c r="HRS3" s="1962"/>
      <c r="HRT3" s="1962"/>
      <c r="HRU3" s="1962"/>
      <c r="HRV3" s="1962"/>
      <c r="HRW3" s="1962"/>
      <c r="HRX3" s="1962"/>
      <c r="HRY3" s="1962"/>
      <c r="HRZ3" s="1962"/>
      <c r="HSA3" s="1962"/>
      <c r="HSB3" s="1962"/>
      <c r="HSC3" s="1962"/>
      <c r="HSD3" s="1962"/>
      <c r="HSE3" s="1962"/>
      <c r="HSF3" s="1962"/>
      <c r="HSG3" s="1962"/>
      <c r="HSH3" s="1962"/>
      <c r="HSI3" s="1962"/>
      <c r="HSJ3" s="1962"/>
      <c r="HSK3" s="1962"/>
      <c r="HSL3" s="1962"/>
      <c r="HSM3" s="1962"/>
      <c r="HSN3" s="1962"/>
      <c r="HSO3" s="1962"/>
      <c r="HSP3" s="1962"/>
      <c r="HSQ3" s="1962"/>
      <c r="HSR3" s="1962"/>
      <c r="HSS3" s="1962"/>
      <c r="HST3" s="1962"/>
      <c r="HSU3" s="1962"/>
      <c r="HSV3" s="1962"/>
      <c r="HSW3" s="1962"/>
      <c r="HSX3" s="1962"/>
      <c r="HSY3" s="1962"/>
      <c r="HSZ3" s="1962"/>
      <c r="HTA3" s="1962"/>
      <c r="HTB3" s="1962"/>
      <c r="HTC3" s="1962"/>
      <c r="HTD3" s="1962"/>
      <c r="HTE3" s="1962"/>
      <c r="HTF3" s="1962"/>
      <c r="HTG3" s="1962"/>
      <c r="HTH3" s="1962"/>
      <c r="HTI3" s="1962"/>
      <c r="HTJ3" s="1962"/>
      <c r="HTK3" s="1962"/>
      <c r="HTL3" s="1962"/>
      <c r="HTM3" s="1962"/>
      <c r="HTN3" s="1962"/>
      <c r="HTO3" s="1962"/>
      <c r="HTP3" s="1962"/>
      <c r="HTQ3" s="1962"/>
      <c r="HTR3" s="1962"/>
      <c r="HTS3" s="1962"/>
      <c r="HTT3" s="1962"/>
      <c r="HTU3" s="1962"/>
      <c r="HTV3" s="1962"/>
      <c r="HTW3" s="1962"/>
      <c r="HTX3" s="1962"/>
      <c r="HTY3" s="1962"/>
      <c r="HTZ3" s="1962"/>
      <c r="HUA3" s="1962"/>
      <c r="HUB3" s="1962"/>
      <c r="HUC3" s="1962"/>
      <c r="HUD3" s="1962"/>
      <c r="HUE3" s="1962"/>
      <c r="HUF3" s="1962"/>
      <c r="HUG3" s="1962"/>
      <c r="HUH3" s="1962"/>
      <c r="HUI3" s="1962"/>
      <c r="HUJ3" s="1962"/>
      <c r="HUK3" s="1962"/>
      <c r="HUL3" s="1962"/>
      <c r="HUM3" s="1962"/>
      <c r="HUN3" s="1962"/>
      <c r="HUO3" s="1962"/>
      <c r="HUP3" s="1962"/>
      <c r="HUQ3" s="1962"/>
      <c r="HUR3" s="1962"/>
      <c r="HUS3" s="1962"/>
      <c r="HUT3" s="1962"/>
      <c r="HUU3" s="1962"/>
      <c r="HUV3" s="1962"/>
      <c r="HUW3" s="1962"/>
      <c r="HUX3" s="1962"/>
      <c r="HUY3" s="1962"/>
      <c r="HUZ3" s="1962"/>
      <c r="HVA3" s="1962"/>
      <c r="HVB3" s="1962"/>
      <c r="HVC3" s="1962"/>
      <c r="HVD3" s="1962"/>
      <c r="HVE3" s="1962"/>
      <c r="HVF3" s="1962"/>
      <c r="HVG3" s="1962"/>
      <c r="HVH3" s="1962"/>
      <c r="HVI3" s="1962"/>
      <c r="HVJ3" s="1962"/>
      <c r="HVK3" s="1962"/>
      <c r="HVL3" s="1962"/>
      <c r="HVM3" s="1962"/>
      <c r="HVN3" s="1962"/>
      <c r="HVO3" s="1962"/>
      <c r="HVP3" s="1962"/>
      <c r="HVQ3" s="1962"/>
      <c r="HVR3" s="1962"/>
      <c r="HVS3" s="1962"/>
      <c r="HVT3" s="1962"/>
      <c r="HVU3" s="1962"/>
      <c r="HVV3" s="1962"/>
      <c r="HVW3" s="1962"/>
      <c r="HVX3" s="1962"/>
      <c r="HVY3" s="1962"/>
      <c r="HVZ3" s="1962"/>
      <c r="HWA3" s="1962"/>
      <c r="HWB3" s="1962"/>
      <c r="HWC3" s="1962"/>
      <c r="HWD3" s="1962"/>
      <c r="HWE3" s="1962"/>
      <c r="HWF3" s="1962"/>
      <c r="HWG3" s="1962"/>
      <c r="HWH3" s="1962"/>
      <c r="HWI3" s="1962"/>
      <c r="HWJ3" s="1962"/>
      <c r="HWK3" s="1962"/>
      <c r="HWL3" s="1962"/>
      <c r="HWM3" s="1962"/>
      <c r="HWN3" s="1962"/>
      <c r="HWO3" s="1962"/>
      <c r="HWP3" s="1962"/>
      <c r="HWQ3" s="1962"/>
      <c r="HWR3" s="1962"/>
      <c r="HWS3" s="1962"/>
      <c r="HWT3" s="1962"/>
      <c r="HWU3" s="1962"/>
      <c r="HWV3" s="1962"/>
      <c r="HWW3" s="1962"/>
      <c r="HWX3" s="1962"/>
      <c r="HWY3" s="1962"/>
      <c r="HWZ3" s="1962"/>
      <c r="HXA3" s="1962"/>
      <c r="HXB3" s="1962"/>
      <c r="HXC3" s="1962"/>
      <c r="HXD3" s="1962"/>
      <c r="HXE3" s="1962"/>
      <c r="HXF3" s="1962"/>
      <c r="HXG3" s="1962"/>
      <c r="HXH3" s="1962"/>
      <c r="HXI3" s="1962"/>
      <c r="HXJ3" s="1962"/>
      <c r="HXK3" s="1962"/>
      <c r="HXL3" s="1962"/>
      <c r="HXM3" s="1962"/>
      <c r="HXN3" s="1962"/>
      <c r="HXO3" s="1962"/>
      <c r="HXP3" s="1962"/>
      <c r="HXQ3" s="1962"/>
      <c r="HXR3" s="1962"/>
      <c r="HXS3" s="1962"/>
      <c r="HXT3" s="1962"/>
      <c r="HXU3" s="1962"/>
      <c r="HXV3" s="1962"/>
      <c r="HXW3" s="1962"/>
      <c r="HXX3" s="1962"/>
      <c r="HXY3" s="1962"/>
      <c r="HXZ3" s="1962"/>
      <c r="HYA3" s="1962"/>
      <c r="HYB3" s="1962"/>
      <c r="HYC3" s="1962"/>
      <c r="HYD3" s="1962"/>
      <c r="HYE3" s="1962"/>
      <c r="HYF3" s="1962"/>
      <c r="HYG3" s="1962"/>
      <c r="HYH3" s="1962"/>
      <c r="HYI3" s="1962"/>
      <c r="HYJ3" s="1962"/>
      <c r="HYK3" s="1962"/>
      <c r="HYL3" s="1962"/>
      <c r="HYM3" s="1962"/>
      <c r="HYN3" s="1962"/>
      <c r="HYO3" s="1962"/>
      <c r="HYP3" s="1962"/>
      <c r="HYQ3" s="1962"/>
      <c r="HYR3" s="1962"/>
      <c r="HYS3" s="1962"/>
      <c r="HYT3" s="1962"/>
      <c r="HYU3" s="1962"/>
      <c r="HYV3" s="1962"/>
      <c r="HYW3" s="1962"/>
      <c r="HYX3" s="1962"/>
      <c r="HYY3" s="1962"/>
      <c r="HYZ3" s="1962"/>
      <c r="HZA3" s="1962"/>
      <c r="HZB3" s="1962"/>
      <c r="HZC3" s="1962"/>
      <c r="HZD3" s="1962"/>
      <c r="HZE3" s="1962"/>
      <c r="HZF3" s="1962"/>
      <c r="HZG3" s="1962"/>
      <c r="HZH3" s="1962"/>
      <c r="HZI3" s="1962"/>
      <c r="HZJ3" s="1962"/>
      <c r="HZK3" s="1962"/>
      <c r="HZL3" s="1962"/>
      <c r="HZM3" s="1962"/>
      <c r="HZN3" s="1962"/>
      <c r="HZO3" s="1962"/>
      <c r="HZP3" s="1962"/>
      <c r="HZQ3" s="1962"/>
      <c r="HZR3" s="1962"/>
      <c r="HZS3" s="1962"/>
      <c r="HZT3" s="1962"/>
      <c r="HZU3" s="1962"/>
      <c r="HZV3" s="1962"/>
      <c r="HZW3" s="1962"/>
      <c r="HZX3" s="1962"/>
      <c r="HZY3" s="1962"/>
      <c r="HZZ3" s="1962"/>
      <c r="IAA3" s="1962"/>
      <c r="IAB3" s="1962"/>
      <c r="IAC3" s="1962"/>
      <c r="IAD3" s="1962"/>
      <c r="IAE3" s="1962"/>
      <c r="IAF3" s="1962"/>
      <c r="IAG3" s="1962"/>
      <c r="IAH3" s="1962"/>
      <c r="IAI3" s="1962"/>
      <c r="IAJ3" s="1962"/>
      <c r="IAK3" s="1962"/>
      <c r="IAL3" s="1962"/>
      <c r="IAM3" s="1962"/>
      <c r="IAN3" s="1962"/>
      <c r="IAO3" s="1962"/>
      <c r="IAP3" s="1962"/>
      <c r="IAQ3" s="1962"/>
      <c r="IAR3" s="1962"/>
      <c r="IAS3" s="1962"/>
      <c r="IAT3" s="1962"/>
      <c r="IAU3" s="1962"/>
      <c r="IAV3" s="1962"/>
      <c r="IAW3" s="1962"/>
      <c r="IAX3" s="1962"/>
      <c r="IAY3" s="1962"/>
      <c r="IAZ3" s="1962"/>
      <c r="IBA3" s="1962"/>
      <c r="IBB3" s="1962"/>
      <c r="IBC3" s="1962"/>
      <c r="IBD3" s="1962"/>
      <c r="IBE3" s="1962"/>
      <c r="IBF3" s="1962"/>
      <c r="IBG3" s="1962"/>
      <c r="IBH3" s="1962"/>
      <c r="IBI3" s="1962"/>
      <c r="IBJ3" s="1962"/>
      <c r="IBK3" s="1962"/>
      <c r="IBL3" s="1962"/>
      <c r="IBM3" s="1962"/>
      <c r="IBN3" s="1962"/>
      <c r="IBO3" s="1962"/>
      <c r="IBP3" s="1962"/>
      <c r="IBQ3" s="1962"/>
      <c r="IBR3" s="1962"/>
      <c r="IBS3" s="1962"/>
      <c r="IBT3" s="1962"/>
      <c r="IBU3" s="1962"/>
      <c r="IBV3" s="1962"/>
      <c r="IBW3" s="1962"/>
      <c r="IBX3" s="1962"/>
      <c r="IBY3" s="1962"/>
      <c r="IBZ3" s="1962"/>
      <c r="ICA3" s="1962"/>
      <c r="ICB3" s="1962"/>
      <c r="ICC3" s="1962"/>
      <c r="ICD3" s="1962"/>
      <c r="ICE3" s="1962"/>
      <c r="ICF3" s="1962"/>
      <c r="ICG3" s="1962"/>
      <c r="ICH3" s="1962"/>
      <c r="ICI3" s="1962"/>
      <c r="ICJ3" s="1962"/>
      <c r="ICK3" s="1962"/>
      <c r="ICL3" s="1962"/>
      <c r="ICM3" s="1962"/>
      <c r="ICN3" s="1962"/>
      <c r="ICO3" s="1962"/>
      <c r="ICP3" s="1962"/>
      <c r="ICQ3" s="1962"/>
      <c r="ICR3" s="1962"/>
      <c r="ICS3" s="1962"/>
      <c r="ICT3" s="1962"/>
      <c r="ICU3" s="1962"/>
      <c r="ICV3" s="1962"/>
      <c r="ICW3" s="1962"/>
      <c r="ICX3" s="1962"/>
      <c r="ICY3" s="1962"/>
      <c r="ICZ3" s="1962"/>
      <c r="IDA3" s="1962"/>
      <c r="IDB3" s="1962"/>
      <c r="IDC3" s="1962"/>
      <c r="IDD3" s="1962"/>
      <c r="IDE3" s="1962"/>
      <c r="IDF3" s="1962"/>
      <c r="IDG3" s="1962"/>
      <c r="IDH3" s="1962"/>
      <c r="IDI3" s="1962"/>
      <c r="IDJ3" s="1962"/>
      <c r="IDK3" s="1962"/>
      <c r="IDL3" s="1962"/>
      <c r="IDM3" s="1962"/>
      <c r="IDN3" s="1962"/>
      <c r="IDO3" s="1962"/>
      <c r="IDP3" s="1962"/>
      <c r="IDQ3" s="1962"/>
      <c r="IDR3" s="1962"/>
      <c r="IDS3" s="1962"/>
      <c r="IDT3" s="1962"/>
      <c r="IDU3" s="1962"/>
      <c r="IDV3" s="1962"/>
      <c r="IDW3" s="1962"/>
      <c r="IDX3" s="1962"/>
      <c r="IDY3" s="1962"/>
      <c r="IDZ3" s="1962"/>
      <c r="IEA3" s="1962"/>
      <c r="IEB3" s="1962"/>
      <c r="IEC3" s="1962"/>
      <c r="IED3" s="1962"/>
      <c r="IEE3" s="1962"/>
      <c r="IEF3" s="1962"/>
      <c r="IEG3" s="1962"/>
      <c r="IEH3" s="1962"/>
      <c r="IEI3" s="1962"/>
      <c r="IEJ3" s="1962"/>
      <c r="IEK3" s="1962"/>
      <c r="IEL3" s="1962"/>
      <c r="IEM3" s="1962"/>
      <c r="IEN3" s="1962"/>
      <c r="IEO3" s="1962"/>
      <c r="IEP3" s="1962"/>
      <c r="IEQ3" s="1962"/>
      <c r="IER3" s="1962"/>
      <c r="IES3" s="1962"/>
      <c r="IET3" s="1962"/>
      <c r="IEU3" s="1962"/>
      <c r="IEV3" s="1962"/>
      <c r="IEW3" s="1962"/>
      <c r="IEX3" s="1962"/>
      <c r="IEY3" s="1962"/>
      <c r="IEZ3" s="1962"/>
      <c r="IFA3" s="1962"/>
      <c r="IFB3" s="1962"/>
      <c r="IFC3" s="1962"/>
      <c r="IFD3" s="1962"/>
      <c r="IFE3" s="1962"/>
      <c r="IFF3" s="1962"/>
      <c r="IFG3" s="1962"/>
      <c r="IFH3" s="1962"/>
      <c r="IFI3" s="1962"/>
      <c r="IFJ3" s="1962"/>
      <c r="IFK3" s="1962"/>
      <c r="IFL3" s="1962"/>
      <c r="IFM3" s="1962"/>
      <c r="IFN3" s="1962"/>
      <c r="IFO3" s="1962"/>
      <c r="IFP3" s="1962"/>
      <c r="IFQ3" s="1962"/>
      <c r="IFR3" s="1962"/>
      <c r="IFS3" s="1962"/>
      <c r="IFT3" s="1962"/>
      <c r="IFU3" s="1962"/>
      <c r="IFV3" s="1962"/>
      <c r="IFW3" s="1962"/>
      <c r="IFX3" s="1962"/>
      <c r="IFY3" s="1962"/>
      <c r="IFZ3" s="1962"/>
      <c r="IGA3" s="1962"/>
      <c r="IGB3" s="1962"/>
      <c r="IGC3" s="1962"/>
      <c r="IGD3" s="1962"/>
      <c r="IGE3" s="1962"/>
      <c r="IGF3" s="1962"/>
      <c r="IGG3" s="1962"/>
      <c r="IGH3" s="1962"/>
      <c r="IGI3" s="1962"/>
      <c r="IGJ3" s="1962"/>
      <c r="IGK3" s="1962"/>
      <c r="IGL3" s="1962"/>
      <c r="IGM3" s="1962"/>
      <c r="IGN3" s="1962"/>
      <c r="IGO3" s="1962"/>
      <c r="IGP3" s="1962"/>
      <c r="IGQ3" s="1962"/>
      <c r="IGR3" s="1962"/>
      <c r="IGS3" s="1962"/>
      <c r="IGT3" s="1962"/>
      <c r="IGU3" s="1962"/>
      <c r="IGV3" s="1962"/>
      <c r="IGW3" s="1962"/>
      <c r="IGX3" s="1962"/>
      <c r="IGY3" s="1962"/>
      <c r="IGZ3" s="1962"/>
      <c r="IHA3" s="1962"/>
      <c r="IHB3" s="1962"/>
      <c r="IHC3" s="1962"/>
      <c r="IHD3" s="1962"/>
      <c r="IHE3" s="1962"/>
      <c r="IHF3" s="1962"/>
      <c r="IHG3" s="1962"/>
      <c r="IHH3" s="1962"/>
      <c r="IHI3" s="1962"/>
      <c r="IHJ3" s="1962"/>
      <c r="IHK3" s="1962"/>
      <c r="IHL3" s="1962"/>
      <c r="IHM3" s="1962"/>
      <c r="IHN3" s="1962"/>
      <c r="IHO3" s="1962"/>
      <c r="IHP3" s="1962"/>
      <c r="IHQ3" s="1962"/>
      <c r="IHR3" s="1962"/>
      <c r="IHS3" s="1962"/>
      <c r="IHT3" s="1962"/>
      <c r="IHU3" s="1962"/>
      <c r="IHV3" s="1962"/>
      <c r="IHW3" s="1962"/>
      <c r="IHX3" s="1962"/>
      <c r="IHY3" s="1962"/>
      <c r="IHZ3" s="1962"/>
      <c r="IIA3" s="1962"/>
      <c r="IIB3" s="1962"/>
      <c r="IIC3" s="1962"/>
      <c r="IID3" s="1962"/>
      <c r="IIE3" s="1962"/>
      <c r="IIF3" s="1962"/>
      <c r="IIG3" s="1962"/>
      <c r="IIH3" s="1962"/>
      <c r="III3" s="1962"/>
      <c r="IIJ3" s="1962"/>
      <c r="IIK3" s="1962"/>
      <c r="IIL3" s="1962"/>
      <c r="IIM3" s="1962"/>
      <c r="IIN3" s="1962"/>
      <c r="IIO3" s="1962"/>
      <c r="IIP3" s="1962"/>
      <c r="IIQ3" s="1962"/>
      <c r="IIR3" s="1962"/>
      <c r="IIS3" s="1962"/>
      <c r="IIT3" s="1962"/>
      <c r="IIU3" s="1962"/>
      <c r="IIV3" s="1962"/>
      <c r="IIW3" s="1962"/>
      <c r="IIX3" s="1962"/>
      <c r="IIY3" s="1962"/>
      <c r="IIZ3" s="1962"/>
      <c r="IJA3" s="1962"/>
      <c r="IJB3" s="1962"/>
      <c r="IJC3" s="1962"/>
      <c r="IJD3" s="1962"/>
      <c r="IJE3" s="1962"/>
      <c r="IJF3" s="1962"/>
      <c r="IJG3" s="1962"/>
      <c r="IJH3" s="1962"/>
      <c r="IJI3" s="1962"/>
      <c r="IJJ3" s="1962"/>
      <c r="IJK3" s="1962"/>
      <c r="IJL3" s="1962"/>
      <c r="IJM3" s="1962"/>
      <c r="IJN3" s="1962"/>
      <c r="IJO3" s="1962"/>
      <c r="IJP3" s="1962"/>
      <c r="IJQ3" s="1962"/>
      <c r="IJR3" s="1962"/>
      <c r="IJS3" s="1962"/>
      <c r="IJT3" s="1962"/>
      <c r="IJU3" s="1962"/>
      <c r="IJV3" s="1962"/>
      <c r="IJW3" s="1962"/>
      <c r="IJX3" s="1962"/>
      <c r="IJY3" s="1962"/>
      <c r="IJZ3" s="1962"/>
      <c r="IKA3" s="1962"/>
      <c r="IKB3" s="1962"/>
      <c r="IKC3" s="1962"/>
      <c r="IKD3" s="1962"/>
      <c r="IKE3" s="1962"/>
      <c r="IKF3" s="1962"/>
      <c r="IKG3" s="1962"/>
      <c r="IKH3" s="1962"/>
      <c r="IKI3" s="1962"/>
      <c r="IKJ3" s="1962"/>
      <c r="IKK3" s="1962"/>
      <c r="IKL3" s="1962"/>
      <c r="IKM3" s="1962"/>
      <c r="IKN3" s="1962"/>
      <c r="IKO3" s="1962"/>
      <c r="IKP3" s="1962"/>
      <c r="IKQ3" s="1962"/>
      <c r="IKR3" s="1962"/>
      <c r="IKS3" s="1962"/>
      <c r="IKT3" s="1962"/>
      <c r="IKU3" s="1962"/>
      <c r="IKV3" s="1962"/>
      <c r="IKW3" s="1962"/>
      <c r="IKX3" s="1962"/>
      <c r="IKY3" s="1962"/>
      <c r="IKZ3" s="1962"/>
      <c r="ILA3" s="1962"/>
      <c r="ILB3" s="1962"/>
      <c r="ILC3" s="1962"/>
      <c r="ILD3" s="1962"/>
      <c r="ILE3" s="1962"/>
      <c r="ILF3" s="1962"/>
      <c r="ILG3" s="1962"/>
      <c r="ILH3" s="1962"/>
      <c r="ILI3" s="1962"/>
      <c r="ILJ3" s="1962"/>
      <c r="ILK3" s="1962"/>
      <c r="ILL3" s="1962"/>
      <c r="ILM3" s="1962"/>
      <c r="ILN3" s="1962"/>
      <c r="ILO3" s="1962"/>
      <c r="ILP3" s="1962"/>
      <c r="ILQ3" s="1962"/>
      <c r="ILR3" s="1962"/>
      <c r="ILS3" s="1962"/>
      <c r="ILT3" s="1962"/>
      <c r="ILU3" s="1962"/>
      <c r="ILV3" s="1962"/>
      <c r="ILW3" s="1962"/>
      <c r="ILX3" s="1962"/>
      <c r="ILY3" s="1962"/>
      <c r="ILZ3" s="1962"/>
      <c r="IMA3" s="1962"/>
      <c r="IMB3" s="1962"/>
      <c r="IMC3" s="1962"/>
      <c r="IMD3" s="1962"/>
      <c r="IME3" s="1962"/>
      <c r="IMF3" s="1962"/>
      <c r="IMG3" s="1962"/>
      <c r="IMH3" s="1962"/>
      <c r="IMI3" s="1962"/>
      <c r="IMJ3" s="1962"/>
      <c r="IMK3" s="1962"/>
      <c r="IML3" s="1962"/>
      <c r="IMM3" s="1962"/>
      <c r="IMN3" s="1962"/>
      <c r="IMO3" s="1962"/>
      <c r="IMP3" s="1962"/>
      <c r="IMQ3" s="1962"/>
      <c r="IMR3" s="1962"/>
      <c r="IMS3" s="1962"/>
      <c r="IMT3" s="1962"/>
      <c r="IMU3" s="1962"/>
      <c r="IMV3" s="1962"/>
      <c r="IMW3" s="1962"/>
      <c r="IMX3" s="1962"/>
      <c r="IMY3" s="1962"/>
      <c r="IMZ3" s="1962"/>
      <c r="INA3" s="1962"/>
      <c r="INB3" s="1962"/>
      <c r="INC3" s="1962"/>
      <c r="IND3" s="1962"/>
      <c r="INE3" s="1962"/>
      <c r="INF3" s="1962"/>
      <c r="ING3" s="1962"/>
      <c r="INH3" s="1962"/>
      <c r="INI3" s="1962"/>
      <c r="INJ3" s="1962"/>
      <c r="INK3" s="1962"/>
      <c r="INL3" s="1962"/>
      <c r="INM3" s="1962"/>
      <c r="INN3" s="1962"/>
      <c r="INO3" s="1962"/>
      <c r="INP3" s="1962"/>
      <c r="INQ3" s="1962"/>
      <c r="INR3" s="1962"/>
      <c r="INS3" s="1962"/>
      <c r="INT3" s="1962"/>
      <c r="INU3" s="1962"/>
      <c r="INV3" s="1962"/>
      <c r="INW3" s="1962"/>
      <c r="INX3" s="1962"/>
      <c r="INY3" s="1962"/>
      <c r="INZ3" s="1962"/>
      <c r="IOA3" s="1962"/>
      <c r="IOB3" s="1962"/>
      <c r="IOC3" s="1962"/>
      <c r="IOD3" s="1962"/>
      <c r="IOE3" s="1962"/>
      <c r="IOF3" s="1962"/>
      <c r="IOG3" s="1962"/>
      <c r="IOH3" s="1962"/>
      <c r="IOI3" s="1962"/>
      <c r="IOJ3" s="1962"/>
      <c r="IOK3" s="1962"/>
      <c r="IOL3" s="1962"/>
      <c r="IOM3" s="1962"/>
      <c r="ION3" s="1962"/>
      <c r="IOO3" s="1962"/>
      <c r="IOP3" s="1962"/>
      <c r="IOQ3" s="1962"/>
      <c r="IOR3" s="1962"/>
      <c r="IOS3" s="1962"/>
      <c r="IOT3" s="1962"/>
      <c r="IOU3" s="1962"/>
      <c r="IOV3" s="1962"/>
      <c r="IOW3" s="1962"/>
      <c r="IOX3" s="1962"/>
      <c r="IOY3" s="1962"/>
      <c r="IOZ3" s="1962"/>
      <c r="IPA3" s="1962"/>
      <c r="IPB3" s="1962"/>
      <c r="IPC3" s="1962"/>
      <c r="IPD3" s="1962"/>
      <c r="IPE3" s="1962"/>
      <c r="IPF3" s="1962"/>
      <c r="IPG3" s="1962"/>
      <c r="IPH3" s="1962"/>
      <c r="IPI3" s="1962"/>
      <c r="IPJ3" s="1962"/>
      <c r="IPK3" s="1962"/>
      <c r="IPL3" s="1962"/>
      <c r="IPM3" s="1962"/>
      <c r="IPN3" s="1962"/>
      <c r="IPO3" s="1962"/>
      <c r="IPP3" s="1962"/>
      <c r="IPQ3" s="1962"/>
      <c r="IPR3" s="1962"/>
      <c r="IPS3" s="1962"/>
      <c r="IPT3" s="1962"/>
      <c r="IPU3" s="1962"/>
      <c r="IPV3" s="1962"/>
      <c r="IPW3" s="1962"/>
      <c r="IPX3" s="1962"/>
      <c r="IPY3" s="1962"/>
      <c r="IPZ3" s="1962"/>
      <c r="IQA3" s="1962"/>
      <c r="IQB3" s="1962"/>
      <c r="IQC3" s="1962"/>
      <c r="IQD3" s="1962"/>
      <c r="IQE3" s="1962"/>
      <c r="IQF3" s="1962"/>
      <c r="IQG3" s="1962"/>
      <c r="IQH3" s="1962"/>
      <c r="IQI3" s="1962"/>
      <c r="IQJ3" s="1962"/>
      <c r="IQK3" s="1962"/>
      <c r="IQL3" s="1962"/>
      <c r="IQM3" s="1962"/>
      <c r="IQN3" s="1962"/>
      <c r="IQO3" s="1962"/>
      <c r="IQP3" s="1962"/>
      <c r="IQQ3" s="1962"/>
      <c r="IQR3" s="1962"/>
      <c r="IQS3" s="1962"/>
      <c r="IQT3" s="1962"/>
      <c r="IQU3" s="1962"/>
      <c r="IQV3" s="1962"/>
      <c r="IQW3" s="1962"/>
      <c r="IQX3" s="1962"/>
      <c r="IQY3" s="1962"/>
      <c r="IQZ3" s="1962"/>
      <c r="IRA3" s="1962"/>
      <c r="IRB3" s="1962"/>
      <c r="IRC3" s="1962"/>
      <c r="IRD3" s="1962"/>
      <c r="IRE3" s="1962"/>
      <c r="IRF3" s="1962"/>
      <c r="IRG3" s="1962"/>
      <c r="IRH3" s="1962"/>
      <c r="IRI3" s="1962"/>
      <c r="IRJ3" s="1962"/>
      <c r="IRK3" s="1962"/>
      <c r="IRL3" s="1962"/>
      <c r="IRM3" s="1962"/>
      <c r="IRN3" s="1962"/>
      <c r="IRO3" s="1962"/>
      <c r="IRP3" s="1962"/>
      <c r="IRQ3" s="1962"/>
      <c r="IRR3" s="1962"/>
      <c r="IRS3" s="1962"/>
      <c r="IRT3" s="1962"/>
      <c r="IRU3" s="1962"/>
      <c r="IRV3" s="1962"/>
      <c r="IRW3" s="1962"/>
      <c r="IRX3" s="1962"/>
      <c r="IRY3" s="1962"/>
      <c r="IRZ3" s="1962"/>
      <c r="ISA3" s="1962"/>
      <c r="ISB3" s="1962"/>
      <c r="ISC3" s="1962"/>
      <c r="ISD3" s="1962"/>
      <c r="ISE3" s="1962"/>
      <c r="ISF3" s="1962"/>
      <c r="ISG3" s="1962"/>
      <c r="ISH3" s="1962"/>
      <c r="ISI3" s="1962"/>
      <c r="ISJ3" s="1962"/>
      <c r="ISK3" s="1962"/>
      <c r="ISL3" s="1962"/>
      <c r="ISM3" s="1962"/>
      <c r="ISN3" s="1962"/>
      <c r="ISO3" s="1962"/>
      <c r="ISP3" s="1962"/>
      <c r="ISQ3" s="1962"/>
      <c r="ISR3" s="1962"/>
      <c r="ISS3" s="1962"/>
      <c r="IST3" s="1962"/>
      <c r="ISU3" s="1962"/>
      <c r="ISV3" s="1962"/>
      <c r="ISW3" s="1962"/>
      <c r="ISX3" s="1962"/>
      <c r="ISY3" s="1962"/>
      <c r="ISZ3" s="1962"/>
      <c r="ITA3" s="1962"/>
      <c r="ITB3" s="1962"/>
      <c r="ITC3" s="1962"/>
      <c r="ITD3" s="1962"/>
      <c r="ITE3" s="1962"/>
      <c r="ITF3" s="1962"/>
      <c r="ITG3" s="1962"/>
      <c r="ITH3" s="1962"/>
      <c r="ITI3" s="1962"/>
      <c r="ITJ3" s="1962"/>
      <c r="ITK3" s="1962"/>
      <c r="ITL3" s="1962"/>
      <c r="ITM3" s="1962"/>
      <c r="ITN3" s="1962"/>
      <c r="ITO3" s="1962"/>
      <c r="ITP3" s="1962"/>
      <c r="ITQ3" s="1962"/>
      <c r="ITR3" s="1962"/>
      <c r="ITS3" s="1962"/>
      <c r="ITT3" s="1962"/>
      <c r="ITU3" s="1962"/>
      <c r="ITV3" s="1962"/>
      <c r="ITW3" s="1962"/>
      <c r="ITX3" s="1962"/>
      <c r="ITY3" s="1962"/>
      <c r="ITZ3" s="1962"/>
      <c r="IUA3" s="1962"/>
      <c r="IUB3" s="1962"/>
      <c r="IUC3" s="1962"/>
      <c r="IUD3" s="1962"/>
      <c r="IUE3" s="1962"/>
      <c r="IUF3" s="1962"/>
      <c r="IUG3" s="1962"/>
      <c r="IUH3" s="1962"/>
      <c r="IUI3" s="1962"/>
      <c r="IUJ3" s="1962"/>
      <c r="IUK3" s="1962"/>
      <c r="IUL3" s="1962"/>
      <c r="IUM3" s="1962"/>
      <c r="IUN3" s="1962"/>
      <c r="IUO3" s="1962"/>
      <c r="IUP3" s="1962"/>
      <c r="IUQ3" s="1962"/>
      <c r="IUR3" s="1962"/>
      <c r="IUS3" s="1962"/>
      <c r="IUT3" s="1962"/>
      <c r="IUU3" s="1962"/>
      <c r="IUV3" s="1962"/>
      <c r="IUW3" s="1962"/>
      <c r="IUX3" s="1962"/>
      <c r="IUY3" s="1962"/>
      <c r="IUZ3" s="1962"/>
      <c r="IVA3" s="1962"/>
      <c r="IVB3" s="1962"/>
      <c r="IVC3" s="1962"/>
      <c r="IVD3" s="1962"/>
      <c r="IVE3" s="1962"/>
      <c r="IVF3" s="1962"/>
      <c r="IVG3" s="1962"/>
      <c r="IVH3" s="1962"/>
      <c r="IVI3" s="1962"/>
      <c r="IVJ3" s="1962"/>
      <c r="IVK3" s="1962"/>
      <c r="IVL3" s="1962"/>
      <c r="IVM3" s="1962"/>
      <c r="IVN3" s="1962"/>
      <c r="IVO3" s="1962"/>
      <c r="IVP3" s="1962"/>
      <c r="IVQ3" s="1962"/>
      <c r="IVR3" s="1962"/>
      <c r="IVS3" s="1962"/>
      <c r="IVT3" s="1962"/>
      <c r="IVU3" s="1962"/>
      <c r="IVV3" s="1962"/>
      <c r="IVW3" s="1962"/>
      <c r="IVX3" s="1962"/>
      <c r="IVY3" s="1962"/>
      <c r="IVZ3" s="1962"/>
      <c r="IWA3" s="1962"/>
      <c r="IWB3" s="1962"/>
      <c r="IWC3" s="1962"/>
      <c r="IWD3" s="1962"/>
      <c r="IWE3" s="1962"/>
      <c r="IWF3" s="1962"/>
      <c r="IWG3" s="1962"/>
      <c r="IWH3" s="1962"/>
      <c r="IWI3" s="1962"/>
      <c r="IWJ3" s="1962"/>
      <c r="IWK3" s="1962"/>
      <c r="IWL3" s="1962"/>
      <c r="IWM3" s="1962"/>
      <c r="IWN3" s="1962"/>
      <c r="IWO3" s="1962"/>
      <c r="IWP3" s="1962"/>
      <c r="IWQ3" s="1962"/>
      <c r="IWR3" s="1962"/>
      <c r="IWS3" s="1962"/>
      <c r="IWT3" s="1962"/>
      <c r="IWU3" s="1962"/>
      <c r="IWV3" s="1962"/>
      <c r="IWW3" s="1962"/>
      <c r="IWX3" s="1962"/>
      <c r="IWY3" s="1962"/>
      <c r="IWZ3" s="1962"/>
      <c r="IXA3" s="1962"/>
      <c r="IXB3" s="1962"/>
      <c r="IXC3" s="1962"/>
      <c r="IXD3" s="1962"/>
      <c r="IXE3" s="1962"/>
      <c r="IXF3" s="1962"/>
      <c r="IXG3" s="1962"/>
      <c r="IXH3" s="1962"/>
      <c r="IXI3" s="1962"/>
      <c r="IXJ3" s="1962"/>
      <c r="IXK3" s="1962"/>
      <c r="IXL3" s="1962"/>
      <c r="IXM3" s="1962"/>
      <c r="IXN3" s="1962"/>
      <c r="IXO3" s="1962"/>
      <c r="IXP3" s="1962"/>
      <c r="IXQ3" s="1962"/>
      <c r="IXR3" s="1962"/>
      <c r="IXS3" s="1962"/>
      <c r="IXT3" s="1962"/>
      <c r="IXU3" s="1962"/>
      <c r="IXV3" s="1962"/>
      <c r="IXW3" s="1962"/>
      <c r="IXX3" s="1962"/>
      <c r="IXY3" s="1962"/>
      <c r="IXZ3" s="1962"/>
      <c r="IYA3" s="1962"/>
      <c r="IYB3" s="1962"/>
      <c r="IYC3" s="1962"/>
      <c r="IYD3" s="1962"/>
      <c r="IYE3" s="1962"/>
      <c r="IYF3" s="1962"/>
      <c r="IYG3" s="1962"/>
      <c r="IYH3" s="1962"/>
      <c r="IYI3" s="1962"/>
      <c r="IYJ3" s="1962"/>
      <c r="IYK3" s="1962"/>
      <c r="IYL3" s="1962"/>
      <c r="IYM3" s="1962"/>
      <c r="IYN3" s="1962"/>
      <c r="IYO3" s="1962"/>
      <c r="IYP3" s="1962"/>
      <c r="IYQ3" s="1962"/>
      <c r="IYR3" s="1962"/>
      <c r="IYS3" s="1962"/>
      <c r="IYT3" s="1962"/>
      <c r="IYU3" s="1962"/>
      <c r="IYV3" s="1962"/>
      <c r="IYW3" s="1962"/>
      <c r="IYX3" s="1962"/>
      <c r="IYY3" s="1962"/>
      <c r="IYZ3" s="1962"/>
      <c r="IZA3" s="1962"/>
      <c r="IZB3" s="1962"/>
      <c r="IZC3" s="1962"/>
      <c r="IZD3" s="1962"/>
      <c r="IZE3" s="1962"/>
      <c r="IZF3" s="1962"/>
      <c r="IZG3" s="1962"/>
      <c r="IZH3" s="1962"/>
      <c r="IZI3" s="1962"/>
      <c r="IZJ3" s="1962"/>
      <c r="IZK3" s="1962"/>
      <c r="IZL3" s="1962"/>
      <c r="IZM3" s="1962"/>
      <c r="IZN3" s="1962"/>
      <c r="IZO3" s="1962"/>
      <c r="IZP3" s="1962"/>
      <c r="IZQ3" s="1962"/>
      <c r="IZR3" s="1962"/>
      <c r="IZS3" s="1962"/>
      <c r="IZT3" s="1962"/>
      <c r="IZU3" s="1962"/>
      <c r="IZV3" s="1962"/>
      <c r="IZW3" s="1962"/>
      <c r="IZX3" s="1962"/>
      <c r="IZY3" s="1962"/>
      <c r="IZZ3" s="1962"/>
      <c r="JAA3" s="1962"/>
      <c r="JAB3" s="1962"/>
      <c r="JAC3" s="1962"/>
      <c r="JAD3" s="1962"/>
      <c r="JAE3" s="1962"/>
      <c r="JAF3" s="1962"/>
      <c r="JAG3" s="1962"/>
      <c r="JAH3" s="1962"/>
      <c r="JAI3" s="1962"/>
      <c r="JAJ3" s="1962"/>
      <c r="JAK3" s="1962"/>
      <c r="JAL3" s="1962"/>
      <c r="JAM3" s="1962"/>
      <c r="JAN3" s="1962"/>
      <c r="JAO3" s="1962"/>
      <c r="JAP3" s="1962"/>
      <c r="JAQ3" s="1962"/>
      <c r="JAR3" s="1962"/>
      <c r="JAS3" s="1962"/>
      <c r="JAT3" s="1962"/>
      <c r="JAU3" s="1962"/>
      <c r="JAV3" s="1962"/>
      <c r="JAW3" s="1962"/>
      <c r="JAX3" s="1962"/>
      <c r="JAY3" s="1962"/>
      <c r="JAZ3" s="1962"/>
      <c r="JBA3" s="1962"/>
      <c r="JBB3" s="1962"/>
      <c r="JBC3" s="1962"/>
      <c r="JBD3" s="1962"/>
      <c r="JBE3" s="1962"/>
      <c r="JBF3" s="1962"/>
      <c r="JBG3" s="1962"/>
      <c r="JBH3" s="1962"/>
      <c r="JBI3" s="1962"/>
      <c r="JBJ3" s="1962"/>
      <c r="JBK3" s="1962"/>
      <c r="JBL3" s="1962"/>
      <c r="JBM3" s="1962"/>
      <c r="JBN3" s="1962"/>
      <c r="JBO3" s="1962"/>
      <c r="JBP3" s="1962"/>
      <c r="JBQ3" s="1962"/>
      <c r="JBR3" s="1962"/>
      <c r="JBS3" s="1962"/>
      <c r="JBT3" s="1962"/>
      <c r="JBU3" s="1962"/>
      <c r="JBV3" s="1962"/>
      <c r="JBW3" s="1962"/>
      <c r="JBX3" s="1962"/>
      <c r="JBY3" s="1962"/>
      <c r="JBZ3" s="1962"/>
      <c r="JCA3" s="1962"/>
      <c r="JCB3" s="1962"/>
      <c r="JCC3" s="1962"/>
      <c r="JCD3" s="1962"/>
      <c r="JCE3" s="1962"/>
      <c r="JCF3" s="1962"/>
      <c r="JCG3" s="1962"/>
      <c r="JCH3" s="1962"/>
      <c r="JCI3" s="1962"/>
      <c r="JCJ3" s="1962"/>
      <c r="JCK3" s="1962"/>
      <c r="JCL3" s="1962"/>
      <c r="JCM3" s="1962"/>
      <c r="JCN3" s="1962"/>
      <c r="JCO3" s="1962"/>
      <c r="JCP3" s="1962"/>
      <c r="JCQ3" s="1962"/>
      <c r="JCR3" s="1962"/>
      <c r="JCS3" s="1962"/>
      <c r="JCT3" s="1962"/>
      <c r="JCU3" s="1962"/>
      <c r="JCV3" s="1962"/>
      <c r="JCW3" s="1962"/>
      <c r="JCX3" s="1962"/>
      <c r="JCY3" s="1962"/>
      <c r="JCZ3" s="1962"/>
      <c r="JDA3" s="1962"/>
      <c r="JDB3" s="1962"/>
      <c r="JDC3" s="1962"/>
      <c r="JDD3" s="1962"/>
      <c r="JDE3" s="1962"/>
      <c r="JDF3" s="1962"/>
      <c r="JDG3" s="1962"/>
      <c r="JDH3" s="1962"/>
      <c r="JDI3" s="1962"/>
      <c r="JDJ3" s="1962"/>
      <c r="JDK3" s="1962"/>
      <c r="JDL3" s="1962"/>
      <c r="JDM3" s="1962"/>
      <c r="JDN3" s="1962"/>
      <c r="JDO3" s="1962"/>
      <c r="JDP3" s="1962"/>
      <c r="JDQ3" s="1962"/>
      <c r="JDR3" s="1962"/>
      <c r="JDS3" s="1962"/>
      <c r="JDT3" s="1962"/>
      <c r="JDU3" s="1962"/>
      <c r="JDV3" s="1962"/>
      <c r="JDW3" s="1962"/>
      <c r="JDX3" s="1962"/>
      <c r="JDY3" s="1962"/>
      <c r="JDZ3" s="1962"/>
      <c r="JEA3" s="1962"/>
      <c r="JEB3" s="1962"/>
      <c r="JEC3" s="1962"/>
      <c r="JED3" s="1962"/>
      <c r="JEE3" s="1962"/>
      <c r="JEF3" s="1962"/>
      <c r="JEG3" s="1962"/>
      <c r="JEH3" s="1962"/>
      <c r="JEI3" s="1962"/>
      <c r="JEJ3" s="1962"/>
      <c r="JEK3" s="1962"/>
      <c r="JEL3" s="1962"/>
      <c r="JEM3" s="1962"/>
      <c r="JEN3" s="1962"/>
      <c r="JEO3" s="1962"/>
      <c r="JEP3" s="1962"/>
      <c r="JEQ3" s="1962"/>
      <c r="JER3" s="1962"/>
      <c r="JES3" s="1962"/>
      <c r="JET3" s="1962"/>
      <c r="JEU3" s="1962"/>
      <c r="JEV3" s="1962"/>
      <c r="JEW3" s="1962"/>
      <c r="JEX3" s="1962"/>
      <c r="JEY3" s="1962"/>
      <c r="JEZ3" s="1962"/>
      <c r="JFA3" s="1962"/>
      <c r="JFB3" s="1962"/>
      <c r="JFC3" s="1962"/>
      <c r="JFD3" s="1962"/>
      <c r="JFE3" s="1962"/>
      <c r="JFF3" s="1962"/>
      <c r="JFG3" s="1962"/>
      <c r="JFH3" s="1962"/>
      <c r="JFI3" s="1962"/>
      <c r="JFJ3" s="1962"/>
      <c r="JFK3" s="1962"/>
      <c r="JFL3" s="1962"/>
      <c r="JFM3" s="1962"/>
      <c r="JFN3" s="1962"/>
      <c r="JFO3" s="1962"/>
      <c r="JFP3" s="1962"/>
      <c r="JFQ3" s="1962"/>
      <c r="JFR3" s="1962"/>
      <c r="JFS3" s="1962"/>
      <c r="JFT3" s="1962"/>
      <c r="JFU3" s="1962"/>
      <c r="JFV3" s="1962"/>
      <c r="JFW3" s="1962"/>
      <c r="JFX3" s="1962"/>
      <c r="JFY3" s="1962"/>
      <c r="JFZ3" s="1962"/>
      <c r="JGA3" s="1962"/>
      <c r="JGB3" s="1962"/>
      <c r="JGC3" s="1962"/>
      <c r="JGD3" s="1962"/>
      <c r="JGE3" s="1962"/>
      <c r="JGF3" s="1962"/>
      <c r="JGG3" s="1962"/>
      <c r="JGH3" s="1962"/>
      <c r="JGI3" s="1962"/>
      <c r="JGJ3" s="1962"/>
      <c r="JGK3" s="1962"/>
      <c r="JGL3" s="1962"/>
      <c r="JGM3" s="1962"/>
      <c r="JGN3" s="1962"/>
      <c r="JGO3" s="1962"/>
      <c r="JGP3" s="1962"/>
      <c r="JGQ3" s="1962"/>
      <c r="JGR3" s="1962"/>
      <c r="JGS3" s="1962"/>
      <c r="JGT3" s="1962"/>
      <c r="JGU3" s="1962"/>
      <c r="JGV3" s="1962"/>
      <c r="JGW3" s="1962"/>
      <c r="JGX3" s="1962"/>
      <c r="JGY3" s="1962"/>
      <c r="JGZ3" s="1962"/>
      <c r="JHA3" s="1962"/>
      <c r="JHB3" s="1962"/>
      <c r="JHC3" s="1962"/>
      <c r="JHD3" s="1962"/>
      <c r="JHE3" s="1962"/>
      <c r="JHF3" s="1962"/>
      <c r="JHG3" s="1962"/>
      <c r="JHH3" s="1962"/>
      <c r="JHI3" s="1962"/>
      <c r="JHJ3" s="1962"/>
      <c r="JHK3" s="1962"/>
      <c r="JHL3" s="1962"/>
      <c r="JHM3" s="1962"/>
      <c r="JHN3" s="1962"/>
      <c r="JHO3" s="1962"/>
      <c r="JHP3" s="1962"/>
      <c r="JHQ3" s="1962"/>
      <c r="JHR3" s="1962"/>
      <c r="JHS3" s="1962"/>
      <c r="JHT3" s="1962"/>
      <c r="JHU3" s="1962"/>
      <c r="JHV3" s="1962"/>
      <c r="JHW3" s="1962"/>
      <c r="JHX3" s="1962"/>
      <c r="JHY3" s="1962"/>
      <c r="JHZ3" s="1962"/>
      <c r="JIA3" s="1962"/>
      <c r="JIB3" s="1962"/>
      <c r="JIC3" s="1962"/>
      <c r="JID3" s="1962"/>
      <c r="JIE3" s="1962"/>
      <c r="JIF3" s="1962"/>
      <c r="JIG3" s="1962"/>
      <c r="JIH3" s="1962"/>
      <c r="JII3" s="1962"/>
      <c r="JIJ3" s="1962"/>
      <c r="JIK3" s="1962"/>
      <c r="JIL3" s="1962"/>
      <c r="JIM3" s="1962"/>
      <c r="JIN3" s="1962"/>
      <c r="JIO3" s="1962"/>
      <c r="JIP3" s="1962"/>
      <c r="JIQ3" s="1962"/>
      <c r="JIR3" s="1962"/>
      <c r="JIS3" s="1962"/>
      <c r="JIT3" s="1962"/>
      <c r="JIU3" s="1962"/>
      <c r="JIV3" s="1962"/>
      <c r="JIW3" s="1962"/>
      <c r="JIX3" s="1962"/>
      <c r="JIY3" s="1962"/>
      <c r="JIZ3" s="1962"/>
      <c r="JJA3" s="1962"/>
      <c r="JJB3" s="1962"/>
      <c r="JJC3" s="1962"/>
      <c r="JJD3" s="1962"/>
      <c r="JJE3" s="1962"/>
      <c r="JJF3" s="1962"/>
      <c r="JJG3" s="1962"/>
      <c r="JJH3" s="1962"/>
      <c r="JJI3" s="1962"/>
      <c r="JJJ3" s="1962"/>
      <c r="JJK3" s="1962"/>
      <c r="JJL3" s="1962"/>
      <c r="JJM3" s="1962"/>
      <c r="JJN3" s="1962"/>
      <c r="JJO3" s="1962"/>
      <c r="JJP3" s="1962"/>
      <c r="JJQ3" s="1962"/>
      <c r="JJR3" s="1962"/>
      <c r="JJS3" s="1962"/>
      <c r="JJT3" s="1962"/>
      <c r="JJU3" s="1962"/>
      <c r="JJV3" s="1962"/>
      <c r="JJW3" s="1962"/>
      <c r="JJX3" s="1962"/>
      <c r="JJY3" s="1962"/>
      <c r="JJZ3" s="1962"/>
      <c r="JKA3" s="1962"/>
      <c r="JKB3" s="1962"/>
      <c r="JKC3" s="1962"/>
      <c r="JKD3" s="1962"/>
      <c r="JKE3" s="1962"/>
      <c r="JKF3" s="1962"/>
      <c r="JKG3" s="1962"/>
      <c r="JKH3" s="1962"/>
      <c r="JKI3" s="1962"/>
      <c r="JKJ3" s="1962"/>
      <c r="JKK3" s="1962"/>
      <c r="JKL3" s="1962"/>
      <c r="JKM3" s="1962"/>
      <c r="JKN3" s="1962"/>
      <c r="JKO3" s="1962"/>
      <c r="JKP3" s="1962"/>
      <c r="JKQ3" s="1962"/>
      <c r="JKR3" s="1962"/>
      <c r="JKS3" s="1962"/>
      <c r="JKT3" s="1962"/>
      <c r="JKU3" s="1962"/>
      <c r="JKV3" s="1962"/>
      <c r="JKW3" s="1962"/>
      <c r="JKX3" s="1962"/>
      <c r="JKY3" s="1962"/>
      <c r="JKZ3" s="1962"/>
      <c r="JLA3" s="1962"/>
      <c r="JLB3" s="1962"/>
      <c r="JLC3" s="1962"/>
      <c r="JLD3" s="1962"/>
      <c r="JLE3" s="1962"/>
      <c r="JLF3" s="1962"/>
      <c r="JLG3" s="1962"/>
      <c r="JLH3" s="1962"/>
      <c r="JLI3" s="1962"/>
      <c r="JLJ3" s="1962"/>
      <c r="JLK3" s="1962"/>
      <c r="JLL3" s="1962"/>
      <c r="JLM3" s="1962"/>
      <c r="JLN3" s="1962"/>
      <c r="JLO3" s="1962"/>
      <c r="JLP3" s="1962"/>
      <c r="JLQ3" s="1962"/>
      <c r="JLR3" s="1962"/>
      <c r="JLS3" s="1962"/>
      <c r="JLT3" s="1962"/>
      <c r="JLU3" s="1962"/>
      <c r="JLV3" s="1962"/>
      <c r="JLW3" s="1962"/>
      <c r="JLX3" s="1962"/>
      <c r="JLY3" s="1962"/>
      <c r="JLZ3" s="1962"/>
      <c r="JMA3" s="1962"/>
      <c r="JMB3" s="1962"/>
      <c r="JMC3" s="1962"/>
      <c r="JMD3" s="1962"/>
      <c r="JME3" s="1962"/>
      <c r="JMF3" s="1962"/>
      <c r="JMG3" s="1962"/>
      <c r="JMH3" s="1962"/>
      <c r="JMI3" s="1962"/>
      <c r="JMJ3" s="1962"/>
      <c r="JMK3" s="1962"/>
      <c r="JML3" s="1962"/>
      <c r="JMM3" s="1962"/>
      <c r="JMN3" s="1962"/>
      <c r="JMO3" s="1962"/>
      <c r="JMP3" s="1962"/>
      <c r="JMQ3" s="1962"/>
      <c r="JMR3" s="1962"/>
      <c r="JMS3" s="1962"/>
      <c r="JMT3" s="1962"/>
      <c r="JMU3" s="1962"/>
      <c r="JMV3" s="1962"/>
      <c r="JMW3" s="1962"/>
      <c r="JMX3" s="1962"/>
      <c r="JMY3" s="1962"/>
      <c r="JMZ3" s="1962"/>
      <c r="JNA3" s="1962"/>
      <c r="JNB3" s="1962"/>
      <c r="JNC3" s="1962"/>
      <c r="JND3" s="1962"/>
      <c r="JNE3" s="1962"/>
      <c r="JNF3" s="1962"/>
      <c r="JNG3" s="1962"/>
      <c r="JNH3" s="1962"/>
      <c r="JNI3" s="1962"/>
      <c r="JNJ3" s="1962"/>
      <c r="JNK3" s="1962"/>
      <c r="JNL3" s="1962"/>
      <c r="JNM3" s="1962"/>
      <c r="JNN3" s="1962"/>
      <c r="JNO3" s="1962"/>
      <c r="JNP3" s="1962"/>
      <c r="JNQ3" s="1962"/>
      <c r="JNR3" s="1962"/>
      <c r="JNS3" s="1962"/>
      <c r="JNT3" s="1962"/>
      <c r="JNU3" s="1962"/>
      <c r="JNV3" s="1962"/>
      <c r="JNW3" s="1962"/>
      <c r="JNX3" s="1962"/>
      <c r="JNY3" s="1962"/>
      <c r="JNZ3" s="1962"/>
      <c r="JOA3" s="1962"/>
      <c r="JOB3" s="1962"/>
      <c r="JOC3" s="1962"/>
      <c r="JOD3" s="1962"/>
      <c r="JOE3" s="1962"/>
      <c r="JOF3" s="1962"/>
      <c r="JOG3" s="1962"/>
      <c r="JOH3" s="1962"/>
      <c r="JOI3" s="1962"/>
      <c r="JOJ3" s="1962"/>
      <c r="JOK3" s="1962"/>
      <c r="JOL3" s="1962"/>
      <c r="JOM3" s="1962"/>
      <c r="JON3" s="1962"/>
      <c r="JOO3" s="1962"/>
      <c r="JOP3" s="1962"/>
      <c r="JOQ3" s="1962"/>
      <c r="JOR3" s="1962"/>
      <c r="JOS3" s="1962"/>
      <c r="JOT3" s="1962"/>
      <c r="JOU3" s="1962"/>
      <c r="JOV3" s="1962"/>
      <c r="JOW3" s="1962"/>
      <c r="JOX3" s="1962"/>
      <c r="JOY3" s="1962"/>
      <c r="JOZ3" s="1962"/>
      <c r="JPA3" s="1962"/>
      <c r="JPB3" s="1962"/>
      <c r="JPC3" s="1962"/>
      <c r="JPD3" s="1962"/>
      <c r="JPE3" s="1962"/>
      <c r="JPF3" s="1962"/>
      <c r="JPG3" s="1962"/>
      <c r="JPH3" s="1962"/>
      <c r="JPI3" s="1962"/>
      <c r="JPJ3" s="1962"/>
      <c r="JPK3" s="1962"/>
      <c r="JPL3" s="1962"/>
      <c r="JPM3" s="1962"/>
      <c r="JPN3" s="1962"/>
      <c r="JPO3" s="1962"/>
      <c r="JPP3" s="1962"/>
      <c r="JPQ3" s="1962"/>
      <c r="JPR3" s="1962"/>
      <c r="JPS3" s="1962"/>
      <c r="JPT3" s="1962"/>
      <c r="JPU3" s="1962"/>
      <c r="JPV3" s="1962"/>
      <c r="JPW3" s="1962"/>
      <c r="JPX3" s="1962"/>
      <c r="JPY3" s="1962"/>
      <c r="JPZ3" s="1962"/>
      <c r="JQA3" s="1962"/>
      <c r="JQB3" s="1962"/>
      <c r="JQC3" s="1962"/>
      <c r="JQD3" s="1962"/>
      <c r="JQE3" s="1962"/>
      <c r="JQF3" s="1962"/>
      <c r="JQG3" s="1962"/>
      <c r="JQH3" s="1962"/>
      <c r="JQI3" s="1962"/>
      <c r="JQJ3" s="1962"/>
      <c r="JQK3" s="1962"/>
      <c r="JQL3" s="1962"/>
      <c r="JQM3" s="1962"/>
      <c r="JQN3" s="1962"/>
      <c r="JQO3" s="1962"/>
      <c r="JQP3" s="1962"/>
      <c r="JQQ3" s="1962"/>
      <c r="JQR3" s="1962"/>
      <c r="JQS3" s="1962"/>
      <c r="JQT3" s="1962"/>
      <c r="JQU3" s="1962"/>
      <c r="JQV3" s="1962"/>
      <c r="JQW3" s="1962"/>
      <c r="JQX3" s="1962"/>
      <c r="JQY3" s="1962"/>
      <c r="JQZ3" s="1962"/>
      <c r="JRA3" s="1962"/>
      <c r="JRB3" s="1962"/>
      <c r="JRC3" s="1962"/>
      <c r="JRD3" s="1962"/>
      <c r="JRE3" s="1962"/>
      <c r="JRF3" s="1962"/>
      <c r="JRG3" s="1962"/>
      <c r="JRH3" s="1962"/>
      <c r="JRI3" s="1962"/>
      <c r="JRJ3" s="1962"/>
      <c r="JRK3" s="1962"/>
      <c r="JRL3" s="1962"/>
      <c r="JRM3" s="1962"/>
      <c r="JRN3" s="1962"/>
      <c r="JRO3" s="1962"/>
      <c r="JRP3" s="1962"/>
      <c r="JRQ3" s="1962"/>
      <c r="JRR3" s="1962"/>
      <c r="JRS3" s="1962"/>
      <c r="JRT3" s="1962"/>
      <c r="JRU3" s="1962"/>
      <c r="JRV3" s="1962"/>
      <c r="JRW3" s="1962"/>
      <c r="JRX3" s="1962"/>
      <c r="JRY3" s="1962"/>
      <c r="JRZ3" s="1962"/>
      <c r="JSA3" s="1962"/>
      <c r="JSB3" s="1962"/>
      <c r="JSC3" s="1962"/>
      <c r="JSD3" s="1962"/>
      <c r="JSE3" s="1962"/>
      <c r="JSF3" s="1962"/>
      <c r="JSG3" s="1962"/>
      <c r="JSH3" s="1962"/>
      <c r="JSI3" s="1962"/>
      <c r="JSJ3" s="1962"/>
      <c r="JSK3" s="1962"/>
      <c r="JSL3" s="1962"/>
      <c r="JSM3" s="1962"/>
      <c r="JSN3" s="1962"/>
      <c r="JSO3" s="1962"/>
      <c r="JSP3" s="1962"/>
      <c r="JSQ3" s="1962"/>
      <c r="JSR3" s="1962"/>
      <c r="JSS3" s="1962"/>
      <c r="JST3" s="1962"/>
      <c r="JSU3" s="1962"/>
      <c r="JSV3" s="1962"/>
      <c r="JSW3" s="1962"/>
      <c r="JSX3" s="1962"/>
      <c r="JSY3" s="1962"/>
      <c r="JSZ3" s="1962"/>
      <c r="JTA3" s="1962"/>
      <c r="JTB3" s="1962"/>
      <c r="JTC3" s="1962"/>
      <c r="JTD3" s="1962"/>
      <c r="JTE3" s="1962"/>
      <c r="JTF3" s="1962"/>
      <c r="JTG3" s="1962"/>
      <c r="JTH3" s="1962"/>
      <c r="JTI3" s="1962"/>
      <c r="JTJ3" s="1962"/>
      <c r="JTK3" s="1962"/>
      <c r="JTL3" s="1962"/>
      <c r="JTM3" s="1962"/>
      <c r="JTN3" s="1962"/>
      <c r="JTO3" s="1962"/>
      <c r="JTP3" s="1962"/>
      <c r="JTQ3" s="1962"/>
      <c r="JTR3" s="1962"/>
      <c r="JTS3" s="1962"/>
      <c r="JTT3" s="1962"/>
      <c r="JTU3" s="1962"/>
      <c r="JTV3" s="1962"/>
      <c r="JTW3" s="1962"/>
      <c r="JTX3" s="1962"/>
      <c r="JTY3" s="1962"/>
      <c r="JTZ3" s="1962"/>
      <c r="JUA3" s="1962"/>
      <c r="JUB3" s="1962"/>
      <c r="JUC3" s="1962"/>
      <c r="JUD3" s="1962"/>
      <c r="JUE3" s="1962"/>
      <c r="JUF3" s="1962"/>
      <c r="JUG3" s="1962"/>
      <c r="JUH3" s="1962"/>
      <c r="JUI3" s="1962"/>
      <c r="JUJ3" s="1962"/>
      <c r="JUK3" s="1962"/>
      <c r="JUL3" s="1962"/>
      <c r="JUM3" s="1962"/>
      <c r="JUN3" s="1962"/>
      <c r="JUO3" s="1962"/>
      <c r="JUP3" s="1962"/>
      <c r="JUQ3" s="1962"/>
      <c r="JUR3" s="1962"/>
      <c r="JUS3" s="1962"/>
      <c r="JUT3" s="1962"/>
      <c r="JUU3" s="1962"/>
      <c r="JUV3" s="1962"/>
      <c r="JUW3" s="1962"/>
      <c r="JUX3" s="1962"/>
      <c r="JUY3" s="1962"/>
      <c r="JUZ3" s="1962"/>
      <c r="JVA3" s="1962"/>
      <c r="JVB3" s="1962"/>
      <c r="JVC3" s="1962"/>
      <c r="JVD3" s="1962"/>
      <c r="JVE3" s="1962"/>
      <c r="JVF3" s="1962"/>
      <c r="JVG3" s="1962"/>
      <c r="JVH3" s="1962"/>
      <c r="JVI3" s="1962"/>
      <c r="JVJ3" s="1962"/>
      <c r="JVK3" s="1962"/>
      <c r="JVL3" s="1962"/>
      <c r="JVM3" s="1962"/>
      <c r="JVN3" s="1962"/>
      <c r="JVO3" s="1962"/>
      <c r="JVP3" s="1962"/>
      <c r="JVQ3" s="1962"/>
      <c r="JVR3" s="1962"/>
      <c r="JVS3" s="1962"/>
      <c r="JVT3" s="1962"/>
      <c r="JVU3" s="1962"/>
      <c r="JVV3" s="1962"/>
      <c r="JVW3" s="1962"/>
      <c r="JVX3" s="1962"/>
      <c r="JVY3" s="1962"/>
      <c r="JVZ3" s="1962"/>
      <c r="JWA3" s="1962"/>
      <c r="JWB3" s="1962"/>
      <c r="JWC3" s="1962"/>
      <c r="JWD3" s="1962"/>
      <c r="JWE3" s="1962"/>
      <c r="JWF3" s="1962"/>
      <c r="JWG3" s="1962"/>
      <c r="JWH3" s="1962"/>
      <c r="JWI3" s="1962"/>
      <c r="JWJ3" s="1962"/>
      <c r="JWK3" s="1962"/>
      <c r="JWL3" s="1962"/>
      <c r="JWM3" s="1962"/>
      <c r="JWN3" s="1962"/>
      <c r="JWO3" s="1962"/>
      <c r="JWP3" s="1962"/>
      <c r="JWQ3" s="1962"/>
      <c r="JWR3" s="1962"/>
      <c r="JWS3" s="1962"/>
      <c r="JWT3" s="1962"/>
      <c r="JWU3" s="1962"/>
      <c r="JWV3" s="1962"/>
      <c r="JWW3" s="1962"/>
      <c r="JWX3" s="1962"/>
      <c r="JWY3" s="1962"/>
      <c r="JWZ3" s="1962"/>
      <c r="JXA3" s="1962"/>
      <c r="JXB3" s="1962"/>
      <c r="JXC3" s="1962"/>
      <c r="JXD3" s="1962"/>
      <c r="JXE3" s="1962"/>
      <c r="JXF3" s="1962"/>
      <c r="JXG3" s="1962"/>
      <c r="JXH3" s="1962"/>
      <c r="JXI3" s="1962"/>
      <c r="JXJ3" s="1962"/>
      <c r="JXK3" s="1962"/>
      <c r="JXL3" s="1962"/>
      <c r="JXM3" s="1962"/>
      <c r="JXN3" s="1962"/>
      <c r="JXO3" s="1962"/>
      <c r="JXP3" s="1962"/>
      <c r="JXQ3" s="1962"/>
      <c r="JXR3" s="1962"/>
      <c r="JXS3" s="1962"/>
      <c r="JXT3" s="1962"/>
      <c r="JXU3" s="1962"/>
      <c r="JXV3" s="1962"/>
      <c r="JXW3" s="1962"/>
      <c r="JXX3" s="1962"/>
      <c r="JXY3" s="1962"/>
      <c r="JXZ3" s="1962"/>
      <c r="JYA3" s="1962"/>
      <c r="JYB3" s="1962"/>
      <c r="JYC3" s="1962"/>
      <c r="JYD3" s="1962"/>
      <c r="JYE3" s="1962"/>
      <c r="JYF3" s="1962"/>
      <c r="JYG3" s="1962"/>
      <c r="JYH3" s="1962"/>
      <c r="JYI3" s="1962"/>
      <c r="JYJ3" s="1962"/>
      <c r="JYK3" s="1962"/>
      <c r="JYL3" s="1962"/>
      <c r="JYM3" s="1962"/>
      <c r="JYN3" s="1962"/>
      <c r="JYO3" s="1962"/>
      <c r="JYP3" s="1962"/>
      <c r="JYQ3" s="1962"/>
      <c r="JYR3" s="1962"/>
      <c r="JYS3" s="1962"/>
      <c r="JYT3" s="1962"/>
      <c r="JYU3" s="1962"/>
      <c r="JYV3" s="1962"/>
      <c r="JYW3" s="1962"/>
      <c r="JYX3" s="1962"/>
      <c r="JYY3" s="1962"/>
      <c r="JYZ3" s="1962"/>
      <c r="JZA3" s="1962"/>
      <c r="JZB3" s="1962"/>
      <c r="JZC3" s="1962"/>
      <c r="JZD3" s="1962"/>
      <c r="JZE3" s="1962"/>
      <c r="JZF3" s="1962"/>
      <c r="JZG3" s="1962"/>
      <c r="JZH3" s="1962"/>
      <c r="JZI3" s="1962"/>
      <c r="JZJ3" s="1962"/>
      <c r="JZK3" s="1962"/>
      <c r="JZL3" s="1962"/>
      <c r="JZM3" s="1962"/>
      <c r="JZN3" s="1962"/>
      <c r="JZO3" s="1962"/>
      <c r="JZP3" s="1962"/>
      <c r="JZQ3" s="1962"/>
      <c r="JZR3" s="1962"/>
      <c r="JZS3" s="1962"/>
      <c r="JZT3" s="1962"/>
      <c r="JZU3" s="1962"/>
      <c r="JZV3" s="1962"/>
      <c r="JZW3" s="1962"/>
      <c r="JZX3" s="1962"/>
      <c r="JZY3" s="1962"/>
      <c r="JZZ3" s="1962"/>
      <c r="KAA3" s="1962"/>
      <c r="KAB3" s="1962"/>
      <c r="KAC3" s="1962"/>
      <c r="KAD3" s="1962"/>
      <c r="KAE3" s="1962"/>
      <c r="KAF3" s="1962"/>
      <c r="KAG3" s="1962"/>
      <c r="KAH3" s="1962"/>
      <c r="KAI3" s="1962"/>
      <c r="KAJ3" s="1962"/>
      <c r="KAK3" s="1962"/>
      <c r="KAL3" s="1962"/>
      <c r="KAM3" s="1962"/>
      <c r="KAN3" s="1962"/>
      <c r="KAO3" s="1962"/>
      <c r="KAP3" s="1962"/>
      <c r="KAQ3" s="1962"/>
      <c r="KAR3" s="1962"/>
      <c r="KAS3" s="1962"/>
      <c r="KAT3" s="1962"/>
      <c r="KAU3" s="1962"/>
      <c r="KAV3" s="1962"/>
      <c r="KAW3" s="1962"/>
      <c r="KAX3" s="1962"/>
      <c r="KAY3" s="1962"/>
      <c r="KAZ3" s="1962"/>
      <c r="KBA3" s="1962"/>
      <c r="KBB3" s="1962"/>
      <c r="KBC3" s="1962"/>
      <c r="KBD3" s="1962"/>
      <c r="KBE3" s="1962"/>
      <c r="KBF3" s="1962"/>
      <c r="KBG3" s="1962"/>
      <c r="KBH3" s="1962"/>
      <c r="KBI3" s="1962"/>
      <c r="KBJ3" s="1962"/>
      <c r="KBK3" s="1962"/>
      <c r="KBL3" s="1962"/>
      <c r="KBM3" s="1962"/>
      <c r="KBN3" s="1962"/>
      <c r="KBO3" s="1962"/>
      <c r="KBP3" s="1962"/>
      <c r="KBQ3" s="1962"/>
      <c r="KBR3" s="1962"/>
      <c r="KBS3" s="1962"/>
      <c r="KBT3" s="1962"/>
      <c r="KBU3" s="1962"/>
      <c r="KBV3" s="1962"/>
      <c r="KBW3" s="1962"/>
      <c r="KBX3" s="1962"/>
      <c r="KBY3" s="1962"/>
      <c r="KBZ3" s="1962"/>
      <c r="KCA3" s="1962"/>
      <c r="KCB3" s="1962"/>
      <c r="KCC3" s="1962"/>
      <c r="KCD3" s="1962"/>
      <c r="KCE3" s="1962"/>
      <c r="KCF3" s="1962"/>
      <c r="KCG3" s="1962"/>
      <c r="KCH3" s="1962"/>
      <c r="KCI3" s="1962"/>
      <c r="KCJ3" s="1962"/>
      <c r="KCK3" s="1962"/>
      <c r="KCL3" s="1962"/>
      <c r="KCM3" s="1962"/>
      <c r="KCN3" s="1962"/>
      <c r="KCO3" s="1962"/>
      <c r="KCP3" s="1962"/>
      <c r="KCQ3" s="1962"/>
      <c r="KCR3" s="1962"/>
      <c r="KCS3" s="1962"/>
      <c r="KCT3" s="1962"/>
      <c r="KCU3" s="1962"/>
      <c r="KCV3" s="1962"/>
      <c r="KCW3" s="1962"/>
      <c r="KCX3" s="1962"/>
      <c r="KCY3" s="1962"/>
      <c r="KCZ3" s="1962"/>
      <c r="KDA3" s="1962"/>
      <c r="KDB3" s="1962"/>
      <c r="KDC3" s="1962"/>
      <c r="KDD3" s="1962"/>
      <c r="KDE3" s="1962"/>
      <c r="KDF3" s="1962"/>
      <c r="KDG3" s="1962"/>
      <c r="KDH3" s="1962"/>
      <c r="KDI3" s="1962"/>
      <c r="KDJ3" s="1962"/>
      <c r="KDK3" s="1962"/>
      <c r="KDL3" s="1962"/>
      <c r="KDM3" s="1962"/>
      <c r="KDN3" s="1962"/>
      <c r="KDO3" s="1962"/>
      <c r="KDP3" s="1962"/>
      <c r="KDQ3" s="1962"/>
      <c r="KDR3" s="1962"/>
      <c r="KDS3" s="1962"/>
      <c r="KDT3" s="1962"/>
      <c r="KDU3" s="1962"/>
      <c r="KDV3" s="1962"/>
      <c r="KDW3" s="1962"/>
      <c r="KDX3" s="1962"/>
      <c r="KDY3" s="1962"/>
      <c r="KDZ3" s="1962"/>
      <c r="KEA3" s="1962"/>
      <c r="KEB3" s="1962"/>
      <c r="KEC3" s="1962"/>
      <c r="KED3" s="1962"/>
      <c r="KEE3" s="1962"/>
      <c r="KEF3" s="1962"/>
      <c r="KEG3" s="1962"/>
      <c r="KEH3" s="1962"/>
      <c r="KEI3" s="1962"/>
      <c r="KEJ3" s="1962"/>
      <c r="KEK3" s="1962"/>
      <c r="KEL3" s="1962"/>
      <c r="KEM3" s="1962"/>
      <c r="KEN3" s="1962"/>
      <c r="KEO3" s="1962"/>
      <c r="KEP3" s="1962"/>
      <c r="KEQ3" s="1962"/>
      <c r="KER3" s="1962"/>
      <c r="KES3" s="1962"/>
      <c r="KET3" s="1962"/>
      <c r="KEU3" s="1962"/>
      <c r="KEV3" s="1962"/>
      <c r="KEW3" s="1962"/>
      <c r="KEX3" s="1962"/>
      <c r="KEY3" s="1962"/>
      <c r="KEZ3" s="1962"/>
      <c r="KFA3" s="1962"/>
      <c r="KFB3" s="1962"/>
      <c r="KFC3" s="1962"/>
      <c r="KFD3" s="1962"/>
      <c r="KFE3" s="1962"/>
      <c r="KFF3" s="1962"/>
      <c r="KFG3" s="1962"/>
      <c r="KFH3" s="1962"/>
      <c r="KFI3" s="1962"/>
      <c r="KFJ3" s="1962"/>
      <c r="KFK3" s="1962"/>
      <c r="KFL3" s="1962"/>
      <c r="KFM3" s="1962"/>
      <c r="KFN3" s="1962"/>
      <c r="KFO3" s="1962"/>
      <c r="KFP3" s="1962"/>
      <c r="KFQ3" s="1962"/>
      <c r="KFR3" s="1962"/>
      <c r="KFS3" s="1962"/>
      <c r="KFT3" s="1962"/>
      <c r="KFU3" s="1962"/>
      <c r="KFV3" s="1962"/>
      <c r="KFW3" s="1962"/>
      <c r="KFX3" s="1962"/>
      <c r="KFY3" s="1962"/>
      <c r="KFZ3" s="1962"/>
      <c r="KGA3" s="1962"/>
      <c r="KGB3" s="1962"/>
      <c r="KGC3" s="1962"/>
      <c r="KGD3" s="1962"/>
      <c r="KGE3" s="1962"/>
      <c r="KGF3" s="1962"/>
      <c r="KGG3" s="1962"/>
      <c r="KGH3" s="1962"/>
      <c r="KGI3" s="1962"/>
      <c r="KGJ3" s="1962"/>
      <c r="KGK3" s="1962"/>
      <c r="KGL3" s="1962"/>
      <c r="KGM3" s="1962"/>
      <c r="KGN3" s="1962"/>
      <c r="KGO3" s="1962"/>
      <c r="KGP3" s="1962"/>
      <c r="KGQ3" s="1962"/>
      <c r="KGR3" s="1962"/>
      <c r="KGS3" s="1962"/>
      <c r="KGT3" s="1962"/>
      <c r="KGU3" s="1962"/>
      <c r="KGV3" s="1962"/>
      <c r="KGW3" s="1962"/>
      <c r="KGX3" s="1962"/>
      <c r="KGY3" s="1962"/>
      <c r="KGZ3" s="1962"/>
      <c r="KHA3" s="1962"/>
      <c r="KHB3" s="1962"/>
      <c r="KHC3" s="1962"/>
      <c r="KHD3" s="1962"/>
      <c r="KHE3" s="1962"/>
      <c r="KHF3" s="1962"/>
      <c r="KHG3" s="1962"/>
      <c r="KHH3" s="1962"/>
      <c r="KHI3" s="1962"/>
      <c r="KHJ3" s="1962"/>
      <c r="KHK3" s="1962"/>
      <c r="KHL3" s="1962"/>
      <c r="KHM3" s="1962"/>
      <c r="KHN3" s="1962"/>
      <c r="KHO3" s="1962"/>
      <c r="KHP3" s="1962"/>
      <c r="KHQ3" s="1962"/>
      <c r="KHR3" s="1962"/>
      <c r="KHS3" s="1962"/>
      <c r="KHT3" s="1962"/>
      <c r="KHU3" s="1962"/>
      <c r="KHV3" s="1962"/>
      <c r="KHW3" s="1962"/>
      <c r="KHX3" s="1962"/>
      <c r="KHY3" s="1962"/>
      <c r="KHZ3" s="1962"/>
      <c r="KIA3" s="1962"/>
      <c r="KIB3" s="1962"/>
      <c r="KIC3" s="1962"/>
      <c r="KID3" s="1962"/>
      <c r="KIE3" s="1962"/>
      <c r="KIF3" s="1962"/>
      <c r="KIG3" s="1962"/>
      <c r="KIH3" s="1962"/>
      <c r="KII3" s="1962"/>
      <c r="KIJ3" s="1962"/>
      <c r="KIK3" s="1962"/>
      <c r="KIL3" s="1962"/>
      <c r="KIM3" s="1962"/>
      <c r="KIN3" s="1962"/>
      <c r="KIO3" s="1962"/>
      <c r="KIP3" s="1962"/>
      <c r="KIQ3" s="1962"/>
      <c r="KIR3" s="1962"/>
      <c r="KIS3" s="1962"/>
      <c r="KIT3" s="1962"/>
      <c r="KIU3" s="1962"/>
      <c r="KIV3" s="1962"/>
      <c r="KIW3" s="1962"/>
      <c r="KIX3" s="1962"/>
      <c r="KIY3" s="1962"/>
      <c r="KIZ3" s="1962"/>
      <c r="KJA3" s="1962"/>
      <c r="KJB3" s="1962"/>
      <c r="KJC3" s="1962"/>
      <c r="KJD3" s="1962"/>
      <c r="KJE3" s="1962"/>
      <c r="KJF3" s="1962"/>
      <c r="KJG3" s="1962"/>
      <c r="KJH3" s="1962"/>
      <c r="KJI3" s="1962"/>
      <c r="KJJ3" s="1962"/>
      <c r="KJK3" s="1962"/>
      <c r="KJL3" s="1962"/>
      <c r="KJM3" s="1962"/>
      <c r="KJN3" s="1962"/>
      <c r="KJO3" s="1962"/>
      <c r="KJP3" s="1962"/>
      <c r="KJQ3" s="1962"/>
      <c r="KJR3" s="1962"/>
      <c r="KJS3" s="1962"/>
      <c r="KJT3" s="1962"/>
      <c r="KJU3" s="1962"/>
      <c r="KJV3" s="1962"/>
      <c r="KJW3" s="1962"/>
      <c r="KJX3" s="1962"/>
      <c r="KJY3" s="1962"/>
      <c r="KJZ3" s="1962"/>
      <c r="KKA3" s="1962"/>
      <c r="KKB3" s="1962"/>
      <c r="KKC3" s="1962"/>
      <c r="KKD3" s="1962"/>
      <c r="KKE3" s="1962"/>
      <c r="KKF3" s="1962"/>
      <c r="KKG3" s="1962"/>
      <c r="KKH3" s="1962"/>
      <c r="KKI3" s="1962"/>
      <c r="KKJ3" s="1962"/>
      <c r="KKK3" s="1962"/>
      <c r="KKL3" s="1962"/>
      <c r="KKM3" s="1962"/>
      <c r="KKN3" s="1962"/>
      <c r="KKO3" s="1962"/>
      <c r="KKP3" s="1962"/>
      <c r="KKQ3" s="1962"/>
      <c r="KKR3" s="1962"/>
      <c r="KKS3" s="1962"/>
      <c r="KKT3" s="1962"/>
      <c r="KKU3" s="1962"/>
      <c r="KKV3" s="1962"/>
      <c r="KKW3" s="1962"/>
      <c r="KKX3" s="1962"/>
      <c r="KKY3" s="1962"/>
      <c r="KKZ3" s="1962"/>
      <c r="KLA3" s="1962"/>
      <c r="KLB3" s="1962"/>
      <c r="KLC3" s="1962"/>
      <c r="KLD3" s="1962"/>
      <c r="KLE3" s="1962"/>
      <c r="KLF3" s="1962"/>
      <c r="KLG3" s="1962"/>
      <c r="KLH3" s="1962"/>
      <c r="KLI3" s="1962"/>
      <c r="KLJ3" s="1962"/>
      <c r="KLK3" s="1962"/>
      <c r="KLL3" s="1962"/>
      <c r="KLM3" s="1962"/>
      <c r="KLN3" s="1962"/>
      <c r="KLO3" s="1962"/>
      <c r="KLP3" s="1962"/>
      <c r="KLQ3" s="1962"/>
      <c r="KLR3" s="1962"/>
      <c r="KLS3" s="1962"/>
      <c r="KLT3" s="1962"/>
      <c r="KLU3" s="1962"/>
      <c r="KLV3" s="1962"/>
      <c r="KLW3" s="1962"/>
      <c r="KLX3" s="1962"/>
      <c r="KLY3" s="1962"/>
      <c r="KLZ3" s="1962"/>
      <c r="KMA3" s="1962"/>
      <c r="KMB3" s="1962"/>
      <c r="KMC3" s="1962"/>
      <c r="KMD3" s="1962"/>
      <c r="KME3" s="1962"/>
      <c r="KMF3" s="1962"/>
      <c r="KMG3" s="1962"/>
      <c r="KMH3" s="1962"/>
      <c r="KMI3" s="1962"/>
      <c r="KMJ3" s="1962"/>
      <c r="KMK3" s="1962"/>
      <c r="KML3" s="1962"/>
      <c r="KMM3" s="1962"/>
      <c r="KMN3" s="1962"/>
      <c r="KMO3" s="1962"/>
      <c r="KMP3" s="1962"/>
      <c r="KMQ3" s="1962"/>
      <c r="KMR3" s="1962"/>
      <c r="KMS3" s="1962"/>
      <c r="KMT3" s="1962"/>
      <c r="KMU3" s="1962"/>
      <c r="KMV3" s="1962"/>
      <c r="KMW3" s="1962"/>
      <c r="KMX3" s="1962"/>
      <c r="KMY3" s="1962"/>
      <c r="KMZ3" s="1962"/>
      <c r="KNA3" s="1962"/>
      <c r="KNB3" s="1962"/>
      <c r="KNC3" s="1962"/>
      <c r="KND3" s="1962"/>
      <c r="KNE3" s="1962"/>
      <c r="KNF3" s="1962"/>
      <c r="KNG3" s="1962"/>
      <c r="KNH3" s="1962"/>
      <c r="KNI3" s="1962"/>
      <c r="KNJ3" s="1962"/>
      <c r="KNK3" s="1962"/>
      <c r="KNL3" s="1962"/>
      <c r="KNM3" s="1962"/>
      <c r="KNN3" s="1962"/>
      <c r="KNO3" s="1962"/>
      <c r="KNP3" s="1962"/>
      <c r="KNQ3" s="1962"/>
      <c r="KNR3" s="1962"/>
      <c r="KNS3" s="1962"/>
      <c r="KNT3" s="1962"/>
      <c r="KNU3" s="1962"/>
      <c r="KNV3" s="1962"/>
      <c r="KNW3" s="1962"/>
      <c r="KNX3" s="1962"/>
      <c r="KNY3" s="1962"/>
      <c r="KNZ3" s="1962"/>
      <c r="KOA3" s="1962"/>
      <c r="KOB3" s="1962"/>
      <c r="KOC3" s="1962"/>
      <c r="KOD3" s="1962"/>
      <c r="KOE3" s="1962"/>
      <c r="KOF3" s="1962"/>
      <c r="KOG3" s="1962"/>
      <c r="KOH3" s="1962"/>
      <c r="KOI3" s="1962"/>
      <c r="KOJ3" s="1962"/>
      <c r="KOK3" s="1962"/>
      <c r="KOL3" s="1962"/>
      <c r="KOM3" s="1962"/>
      <c r="KON3" s="1962"/>
      <c r="KOO3" s="1962"/>
      <c r="KOP3" s="1962"/>
      <c r="KOQ3" s="1962"/>
      <c r="KOR3" s="1962"/>
      <c r="KOS3" s="1962"/>
      <c r="KOT3" s="1962"/>
      <c r="KOU3" s="1962"/>
      <c r="KOV3" s="1962"/>
      <c r="KOW3" s="1962"/>
      <c r="KOX3" s="1962"/>
      <c r="KOY3" s="1962"/>
      <c r="KOZ3" s="1962"/>
      <c r="KPA3" s="1962"/>
      <c r="KPB3" s="1962"/>
      <c r="KPC3" s="1962"/>
      <c r="KPD3" s="1962"/>
      <c r="KPE3" s="1962"/>
      <c r="KPF3" s="1962"/>
      <c r="KPG3" s="1962"/>
      <c r="KPH3" s="1962"/>
      <c r="KPI3" s="1962"/>
      <c r="KPJ3" s="1962"/>
      <c r="KPK3" s="1962"/>
      <c r="KPL3" s="1962"/>
      <c r="KPM3" s="1962"/>
      <c r="KPN3" s="1962"/>
      <c r="KPO3" s="1962"/>
      <c r="KPP3" s="1962"/>
      <c r="KPQ3" s="1962"/>
      <c r="KPR3" s="1962"/>
      <c r="KPS3" s="1962"/>
      <c r="KPT3" s="1962"/>
      <c r="KPU3" s="1962"/>
      <c r="KPV3" s="1962"/>
      <c r="KPW3" s="1962"/>
      <c r="KPX3" s="1962"/>
      <c r="KPY3" s="1962"/>
      <c r="KPZ3" s="1962"/>
      <c r="KQA3" s="1962"/>
      <c r="KQB3" s="1962"/>
      <c r="KQC3" s="1962"/>
      <c r="KQD3" s="1962"/>
      <c r="KQE3" s="1962"/>
      <c r="KQF3" s="1962"/>
      <c r="KQG3" s="1962"/>
      <c r="KQH3" s="1962"/>
      <c r="KQI3" s="1962"/>
      <c r="KQJ3" s="1962"/>
      <c r="KQK3" s="1962"/>
      <c r="KQL3" s="1962"/>
      <c r="KQM3" s="1962"/>
      <c r="KQN3" s="1962"/>
      <c r="KQO3" s="1962"/>
      <c r="KQP3" s="1962"/>
      <c r="KQQ3" s="1962"/>
      <c r="KQR3" s="1962"/>
      <c r="KQS3" s="1962"/>
      <c r="KQT3" s="1962"/>
      <c r="KQU3" s="1962"/>
      <c r="KQV3" s="1962"/>
      <c r="KQW3" s="1962"/>
      <c r="KQX3" s="1962"/>
      <c r="KQY3" s="1962"/>
      <c r="KQZ3" s="1962"/>
      <c r="KRA3" s="1962"/>
      <c r="KRB3" s="1962"/>
      <c r="KRC3" s="1962"/>
      <c r="KRD3" s="1962"/>
      <c r="KRE3" s="1962"/>
      <c r="KRF3" s="1962"/>
      <c r="KRG3" s="1962"/>
      <c r="KRH3" s="1962"/>
      <c r="KRI3" s="1962"/>
      <c r="KRJ3" s="1962"/>
      <c r="KRK3" s="1962"/>
      <c r="KRL3" s="1962"/>
      <c r="KRM3" s="1962"/>
      <c r="KRN3" s="1962"/>
      <c r="KRO3" s="1962"/>
      <c r="KRP3" s="1962"/>
      <c r="KRQ3" s="1962"/>
      <c r="KRR3" s="1962"/>
      <c r="KRS3" s="1962"/>
      <c r="KRT3" s="1962"/>
      <c r="KRU3" s="1962"/>
      <c r="KRV3" s="1962"/>
      <c r="KRW3" s="1962"/>
      <c r="KRX3" s="1962"/>
      <c r="KRY3" s="1962"/>
      <c r="KRZ3" s="1962"/>
      <c r="KSA3" s="1962"/>
      <c r="KSB3" s="1962"/>
      <c r="KSC3" s="1962"/>
      <c r="KSD3" s="1962"/>
      <c r="KSE3" s="1962"/>
      <c r="KSF3" s="1962"/>
      <c r="KSG3" s="1962"/>
      <c r="KSH3" s="1962"/>
      <c r="KSI3" s="1962"/>
      <c r="KSJ3" s="1962"/>
      <c r="KSK3" s="1962"/>
      <c r="KSL3" s="1962"/>
      <c r="KSM3" s="1962"/>
      <c r="KSN3" s="1962"/>
      <c r="KSO3" s="1962"/>
      <c r="KSP3" s="1962"/>
      <c r="KSQ3" s="1962"/>
      <c r="KSR3" s="1962"/>
      <c r="KSS3" s="1962"/>
      <c r="KST3" s="1962"/>
      <c r="KSU3" s="1962"/>
      <c r="KSV3" s="1962"/>
      <c r="KSW3" s="1962"/>
      <c r="KSX3" s="1962"/>
      <c r="KSY3" s="1962"/>
      <c r="KSZ3" s="1962"/>
      <c r="KTA3" s="1962"/>
      <c r="KTB3" s="1962"/>
      <c r="KTC3" s="1962"/>
      <c r="KTD3" s="1962"/>
      <c r="KTE3" s="1962"/>
      <c r="KTF3" s="1962"/>
      <c r="KTG3" s="1962"/>
      <c r="KTH3" s="1962"/>
      <c r="KTI3" s="1962"/>
      <c r="KTJ3" s="1962"/>
      <c r="KTK3" s="1962"/>
      <c r="KTL3" s="1962"/>
      <c r="KTM3" s="1962"/>
      <c r="KTN3" s="1962"/>
      <c r="KTO3" s="1962"/>
      <c r="KTP3" s="1962"/>
      <c r="KTQ3" s="1962"/>
      <c r="KTR3" s="1962"/>
      <c r="KTS3" s="1962"/>
      <c r="KTT3" s="1962"/>
      <c r="KTU3" s="1962"/>
      <c r="KTV3" s="1962"/>
      <c r="KTW3" s="1962"/>
      <c r="KTX3" s="1962"/>
      <c r="KTY3" s="1962"/>
      <c r="KTZ3" s="1962"/>
      <c r="KUA3" s="1962"/>
      <c r="KUB3" s="1962"/>
      <c r="KUC3" s="1962"/>
      <c r="KUD3" s="1962"/>
      <c r="KUE3" s="1962"/>
      <c r="KUF3" s="1962"/>
      <c r="KUG3" s="1962"/>
      <c r="KUH3" s="1962"/>
      <c r="KUI3" s="1962"/>
      <c r="KUJ3" s="1962"/>
      <c r="KUK3" s="1962"/>
      <c r="KUL3" s="1962"/>
      <c r="KUM3" s="1962"/>
      <c r="KUN3" s="1962"/>
      <c r="KUO3" s="1962"/>
      <c r="KUP3" s="1962"/>
      <c r="KUQ3" s="1962"/>
      <c r="KUR3" s="1962"/>
      <c r="KUS3" s="1962"/>
      <c r="KUT3" s="1962"/>
      <c r="KUU3" s="1962"/>
      <c r="KUV3" s="1962"/>
      <c r="KUW3" s="1962"/>
      <c r="KUX3" s="1962"/>
      <c r="KUY3" s="1962"/>
      <c r="KUZ3" s="1962"/>
      <c r="KVA3" s="1962"/>
      <c r="KVB3" s="1962"/>
      <c r="KVC3" s="1962"/>
      <c r="KVD3" s="1962"/>
      <c r="KVE3" s="1962"/>
      <c r="KVF3" s="1962"/>
      <c r="KVG3" s="1962"/>
      <c r="KVH3" s="1962"/>
      <c r="KVI3" s="1962"/>
      <c r="KVJ3" s="1962"/>
      <c r="KVK3" s="1962"/>
      <c r="KVL3" s="1962"/>
      <c r="KVM3" s="1962"/>
      <c r="KVN3" s="1962"/>
      <c r="KVO3" s="1962"/>
      <c r="KVP3" s="1962"/>
      <c r="KVQ3" s="1962"/>
      <c r="KVR3" s="1962"/>
      <c r="KVS3" s="1962"/>
      <c r="KVT3" s="1962"/>
      <c r="KVU3" s="1962"/>
      <c r="KVV3" s="1962"/>
      <c r="KVW3" s="1962"/>
      <c r="KVX3" s="1962"/>
      <c r="KVY3" s="1962"/>
      <c r="KVZ3" s="1962"/>
      <c r="KWA3" s="1962"/>
      <c r="KWB3" s="1962"/>
      <c r="KWC3" s="1962"/>
      <c r="KWD3" s="1962"/>
      <c r="KWE3" s="1962"/>
      <c r="KWF3" s="1962"/>
      <c r="KWG3" s="1962"/>
      <c r="KWH3" s="1962"/>
      <c r="KWI3" s="1962"/>
      <c r="KWJ3" s="1962"/>
      <c r="KWK3" s="1962"/>
      <c r="KWL3" s="1962"/>
      <c r="KWM3" s="1962"/>
      <c r="KWN3" s="1962"/>
      <c r="KWO3" s="1962"/>
      <c r="KWP3" s="1962"/>
      <c r="KWQ3" s="1962"/>
      <c r="KWR3" s="1962"/>
      <c r="KWS3" s="1962"/>
      <c r="KWT3" s="1962"/>
      <c r="KWU3" s="1962"/>
      <c r="KWV3" s="1962"/>
      <c r="KWW3" s="1962"/>
      <c r="KWX3" s="1962"/>
      <c r="KWY3" s="1962"/>
      <c r="KWZ3" s="1962"/>
      <c r="KXA3" s="1962"/>
      <c r="KXB3" s="1962"/>
      <c r="KXC3" s="1962"/>
      <c r="KXD3" s="1962"/>
      <c r="KXE3" s="1962"/>
      <c r="KXF3" s="1962"/>
      <c r="KXG3" s="1962"/>
      <c r="KXH3" s="1962"/>
      <c r="KXI3" s="1962"/>
      <c r="KXJ3" s="1962"/>
      <c r="KXK3" s="1962"/>
      <c r="KXL3" s="1962"/>
      <c r="KXM3" s="1962"/>
      <c r="KXN3" s="1962"/>
      <c r="KXO3" s="1962"/>
      <c r="KXP3" s="1962"/>
      <c r="KXQ3" s="1962"/>
      <c r="KXR3" s="1962"/>
      <c r="KXS3" s="1962"/>
      <c r="KXT3" s="1962"/>
      <c r="KXU3" s="1962"/>
      <c r="KXV3" s="1962"/>
      <c r="KXW3" s="1962"/>
      <c r="KXX3" s="1962"/>
      <c r="KXY3" s="1962"/>
      <c r="KXZ3" s="1962"/>
      <c r="KYA3" s="1962"/>
      <c r="KYB3" s="1962"/>
      <c r="KYC3" s="1962"/>
      <c r="KYD3" s="1962"/>
      <c r="KYE3" s="1962"/>
      <c r="KYF3" s="1962"/>
      <c r="KYG3" s="1962"/>
      <c r="KYH3" s="1962"/>
      <c r="KYI3" s="1962"/>
      <c r="KYJ3" s="1962"/>
      <c r="KYK3" s="1962"/>
      <c r="KYL3" s="1962"/>
      <c r="KYM3" s="1962"/>
      <c r="KYN3" s="1962"/>
      <c r="KYO3" s="1962"/>
      <c r="KYP3" s="1962"/>
      <c r="KYQ3" s="1962"/>
      <c r="KYR3" s="1962"/>
      <c r="KYS3" s="1962"/>
      <c r="KYT3" s="1962"/>
      <c r="KYU3" s="1962"/>
      <c r="KYV3" s="1962"/>
      <c r="KYW3" s="1962"/>
      <c r="KYX3" s="1962"/>
      <c r="KYY3" s="1962"/>
      <c r="KYZ3" s="1962"/>
      <c r="KZA3" s="1962"/>
      <c r="KZB3" s="1962"/>
      <c r="KZC3" s="1962"/>
      <c r="KZD3" s="1962"/>
      <c r="KZE3" s="1962"/>
      <c r="KZF3" s="1962"/>
      <c r="KZG3" s="1962"/>
      <c r="KZH3" s="1962"/>
      <c r="KZI3" s="1962"/>
      <c r="KZJ3" s="1962"/>
      <c r="KZK3" s="1962"/>
      <c r="KZL3" s="1962"/>
      <c r="KZM3" s="1962"/>
      <c r="KZN3" s="1962"/>
      <c r="KZO3" s="1962"/>
      <c r="KZP3" s="1962"/>
      <c r="KZQ3" s="1962"/>
      <c r="KZR3" s="1962"/>
      <c r="KZS3" s="1962"/>
      <c r="KZT3" s="1962"/>
      <c r="KZU3" s="1962"/>
      <c r="KZV3" s="1962"/>
      <c r="KZW3" s="1962"/>
      <c r="KZX3" s="1962"/>
      <c r="KZY3" s="1962"/>
      <c r="KZZ3" s="1962"/>
      <c r="LAA3" s="1962"/>
      <c r="LAB3" s="1962"/>
      <c r="LAC3" s="1962"/>
      <c r="LAD3" s="1962"/>
      <c r="LAE3" s="1962"/>
      <c r="LAF3" s="1962"/>
      <c r="LAG3" s="1962"/>
      <c r="LAH3" s="1962"/>
      <c r="LAI3" s="1962"/>
      <c r="LAJ3" s="1962"/>
      <c r="LAK3" s="1962"/>
      <c r="LAL3" s="1962"/>
      <c r="LAM3" s="1962"/>
      <c r="LAN3" s="1962"/>
      <c r="LAO3" s="1962"/>
      <c r="LAP3" s="1962"/>
      <c r="LAQ3" s="1962"/>
      <c r="LAR3" s="1962"/>
      <c r="LAS3" s="1962"/>
      <c r="LAT3" s="1962"/>
      <c r="LAU3" s="1962"/>
      <c r="LAV3" s="1962"/>
      <c r="LAW3" s="1962"/>
      <c r="LAX3" s="1962"/>
      <c r="LAY3" s="1962"/>
      <c r="LAZ3" s="1962"/>
      <c r="LBA3" s="1962"/>
      <c r="LBB3" s="1962"/>
      <c r="LBC3" s="1962"/>
      <c r="LBD3" s="1962"/>
      <c r="LBE3" s="1962"/>
      <c r="LBF3" s="1962"/>
      <c r="LBG3" s="1962"/>
      <c r="LBH3" s="1962"/>
      <c r="LBI3" s="1962"/>
      <c r="LBJ3" s="1962"/>
      <c r="LBK3" s="1962"/>
      <c r="LBL3" s="1962"/>
      <c r="LBM3" s="1962"/>
      <c r="LBN3" s="1962"/>
      <c r="LBO3" s="1962"/>
      <c r="LBP3" s="1962"/>
      <c r="LBQ3" s="1962"/>
      <c r="LBR3" s="1962"/>
      <c r="LBS3" s="1962"/>
      <c r="LBT3" s="1962"/>
      <c r="LBU3" s="1962"/>
      <c r="LBV3" s="1962"/>
      <c r="LBW3" s="1962"/>
      <c r="LBX3" s="1962"/>
      <c r="LBY3" s="1962"/>
      <c r="LBZ3" s="1962"/>
      <c r="LCA3" s="1962"/>
      <c r="LCB3" s="1962"/>
      <c r="LCC3" s="1962"/>
      <c r="LCD3" s="1962"/>
      <c r="LCE3" s="1962"/>
      <c r="LCF3" s="1962"/>
      <c r="LCG3" s="1962"/>
      <c r="LCH3" s="1962"/>
      <c r="LCI3" s="1962"/>
      <c r="LCJ3" s="1962"/>
      <c r="LCK3" s="1962"/>
      <c r="LCL3" s="1962"/>
      <c r="LCM3" s="1962"/>
      <c r="LCN3" s="1962"/>
      <c r="LCO3" s="1962"/>
      <c r="LCP3" s="1962"/>
      <c r="LCQ3" s="1962"/>
      <c r="LCR3" s="1962"/>
      <c r="LCS3" s="1962"/>
      <c r="LCT3" s="1962"/>
      <c r="LCU3" s="1962"/>
      <c r="LCV3" s="1962"/>
      <c r="LCW3" s="1962"/>
      <c r="LCX3" s="1962"/>
      <c r="LCY3" s="1962"/>
      <c r="LCZ3" s="1962"/>
      <c r="LDA3" s="1962"/>
      <c r="LDB3" s="1962"/>
      <c r="LDC3" s="1962"/>
      <c r="LDD3" s="1962"/>
      <c r="LDE3" s="1962"/>
      <c r="LDF3" s="1962"/>
      <c r="LDG3" s="1962"/>
      <c r="LDH3" s="1962"/>
      <c r="LDI3" s="1962"/>
      <c r="LDJ3" s="1962"/>
      <c r="LDK3" s="1962"/>
      <c r="LDL3" s="1962"/>
      <c r="LDM3" s="1962"/>
      <c r="LDN3" s="1962"/>
      <c r="LDO3" s="1962"/>
      <c r="LDP3" s="1962"/>
      <c r="LDQ3" s="1962"/>
      <c r="LDR3" s="1962"/>
      <c r="LDS3" s="1962"/>
      <c r="LDT3" s="1962"/>
      <c r="LDU3" s="1962"/>
      <c r="LDV3" s="1962"/>
      <c r="LDW3" s="1962"/>
      <c r="LDX3" s="1962"/>
      <c r="LDY3" s="1962"/>
      <c r="LDZ3" s="1962"/>
      <c r="LEA3" s="1962"/>
      <c r="LEB3" s="1962"/>
      <c r="LEC3" s="1962"/>
      <c r="LED3" s="1962"/>
      <c r="LEE3" s="1962"/>
      <c r="LEF3" s="1962"/>
      <c r="LEG3" s="1962"/>
      <c r="LEH3" s="1962"/>
      <c r="LEI3" s="1962"/>
      <c r="LEJ3" s="1962"/>
      <c r="LEK3" s="1962"/>
      <c r="LEL3" s="1962"/>
      <c r="LEM3" s="1962"/>
      <c r="LEN3" s="1962"/>
      <c r="LEO3" s="1962"/>
      <c r="LEP3" s="1962"/>
      <c r="LEQ3" s="1962"/>
      <c r="LER3" s="1962"/>
      <c r="LES3" s="1962"/>
      <c r="LET3" s="1962"/>
      <c r="LEU3" s="1962"/>
      <c r="LEV3" s="1962"/>
      <c r="LEW3" s="1962"/>
      <c r="LEX3" s="1962"/>
      <c r="LEY3" s="1962"/>
      <c r="LEZ3" s="1962"/>
      <c r="LFA3" s="1962"/>
      <c r="LFB3" s="1962"/>
      <c r="LFC3" s="1962"/>
      <c r="LFD3" s="1962"/>
      <c r="LFE3" s="1962"/>
      <c r="LFF3" s="1962"/>
      <c r="LFG3" s="1962"/>
      <c r="LFH3" s="1962"/>
      <c r="LFI3" s="1962"/>
      <c r="LFJ3" s="1962"/>
      <c r="LFK3" s="1962"/>
      <c r="LFL3" s="1962"/>
      <c r="LFM3" s="1962"/>
      <c r="LFN3" s="1962"/>
      <c r="LFO3" s="1962"/>
      <c r="LFP3" s="1962"/>
      <c r="LFQ3" s="1962"/>
      <c r="LFR3" s="1962"/>
      <c r="LFS3" s="1962"/>
      <c r="LFT3" s="1962"/>
      <c r="LFU3" s="1962"/>
      <c r="LFV3" s="1962"/>
      <c r="LFW3" s="1962"/>
      <c r="LFX3" s="1962"/>
      <c r="LFY3" s="1962"/>
      <c r="LFZ3" s="1962"/>
      <c r="LGA3" s="1962"/>
      <c r="LGB3" s="1962"/>
      <c r="LGC3" s="1962"/>
      <c r="LGD3" s="1962"/>
      <c r="LGE3" s="1962"/>
      <c r="LGF3" s="1962"/>
      <c r="LGG3" s="1962"/>
      <c r="LGH3" s="1962"/>
      <c r="LGI3" s="1962"/>
      <c r="LGJ3" s="1962"/>
      <c r="LGK3" s="1962"/>
      <c r="LGL3" s="1962"/>
      <c r="LGM3" s="1962"/>
      <c r="LGN3" s="1962"/>
      <c r="LGO3" s="1962"/>
      <c r="LGP3" s="1962"/>
      <c r="LGQ3" s="1962"/>
      <c r="LGR3" s="1962"/>
      <c r="LGS3" s="1962"/>
      <c r="LGT3" s="1962"/>
      <c r="LGU3" s="1962"/>
      <c r="LGV3" s="1962"/>
      <c r="LGW3" s="1962"/>
      <c r="LGX3" s="1962"/>
      <c r="LGY3" s="1962"/>
      <c r="LGZ3" s="1962"/>
      <c r="LHA3" s="1962"/>
      <c r="LHB3" s="1962"/>
      <c r="LHC3" s="1962"/>
      <c r="LHD3" s="1962"/>
      <c r="LHE3" s="1962"/>
      <c r="LHF3" s="1962"/>
      <c r="LHG3" s="1962"/>
      <c r="LHH3" s="1962"/>
      <c r="LHI3" s="1962"/>
      <c r="LHJ3" s="1962"/>
      <c r="LHK3" s="1962"/>
      <c r="LHL3" s="1962"/>
      <c r="LHM3" s="1962"/>
      <c r="LHN3" s="1962"/>
      <c r="LHO3" s="1962"/>
      <c r="LHP3" s="1962"/>
      <c r="LHQ3" s="1962"/>
      <c r="LHR3" s="1962"/>
      <c r="LHS3" s="1962"/>
      <c r="LHT3" s="1962"/>
      <c r="LHU3" s="1962"/>
      <c r="LHV3" s="1962"/>
      <c r="LHW3" s="1962"/>
      <c r="LHX3" s="1962"/>
      <c r="LHY3" s="1962"/>
      <c r="LHZ3" s="1962"/>
      <c r="LIA3" s="1962"/>
      <c r="LIB3" s="1962"/>
      <c r="LIC3" s="1962"/>
      <c r="LID3" s="1962"/>
      <c r="LIE3" s="1962"/>
      <c r="LIF3" s="1962"/>
      <c r="LIG3" s="1962"/>
      <c r="LIH3" s="1962"/>
      <c r="LII3" s="1962"/>
      <c r="LIJ3" s="1962"/>
      <c r="LIK3" s="1962"/>
      <c r="LIL3" s="1962"/>
      <c r="LIM3" s="1962"/>
      <c r="LIN3" s="1962"/>
      <c r="LIO3" s="1962"/>
      <c r="LIP3" s="1962"/>
      <c r="LIQ3" s="1962"/>
      <c r="LIR3" s="1962"/>
      <c r="LIS3" s="1962"/>
      <c r="LIT3" s="1962"/>
      <c r="LIU3" s="1962"/>
      <c r="LIV3" s="1962"/>
      <c r="LIW3" s="1962"/>
      <c r="LIX3" s="1962"/>
      <c r="LIY3" s="1962"/>
      <c r="LIZ3" s="1962"/>
      <c r="LJA3" s="1962"/>
      <c r="LJB3" s="1962"/>
      <c r="LJC3" s="1962"/>
      <c r="LJD3" s="1962"/>
      <c r="LJE3" s="1962"/>
      <c r="LJF3" s="1962"/>
      <c r="LJG3" s="1962"/>
      <c r="LJH3" s="1962"/>
      <c r="LJI3" s="1962"/>
      <c r="LJJ3" s="1962"/>
      <c r="LJK3" s="1962"/>
      <c r="LJL3" s="1962"/>
      <c r="LJM3" s="1962"/>
      <c r="LJN3" s="1962"/>
      <c r="LJO3" s="1962"/>
      <c r="LJP3" s="1962"/>
      <c r="LJQ3" s="1962"/>
      <c r="LJR3" s="1962"/>
      <c r="LJS3" s="1962"/>
      <c r="LJT3" s="1962"/>
      <c r="LJU3" s="1962"/>
      <c r="LJV3" s="1962"/>
      <c r="LJW3" s="1962"/>
      <c r="LJX3" s="1962"/>
      <c r="LJY3" s="1962"/>
      <c r="LJZ3" s="1962"/>
      <c r="LKA3" s="1962"/>
      <c r="LKB3" s="1962"/>
      <c r="LKC3" s="1962"/>
      <c r="LKD3" s="1962"/>
      <c r="LKE3" s="1962"/>
      <c r="LKF3" s="1962"/>
      <c r="LKG3" s="1962"/>
      <c r="LKH3" s="1962"/>
      <c r="LKI3" s="1962"/>
      <c r="LKJ3" s="1962"/>
      <c r="LKK3" s="1962"/>
      <c r="LKL3" s="1962"/>
      <c r="LKM3" s="1962"/>
      <c r="LKN3" s="1962"/>
      <c r="LKO3" s="1962"/>
      <c r="LKP3" s="1962"/>
      <c r="LKQ3" s="1962"/>
      <c r="LKR3" s="1962"/>
      <c r="LKS3" s="1962"/>
      <c r="LKT3" s="1962"/>
      <c r="LKU3" s="1962"/>
      <c r="LKV3" s="1962"/>
      <c r="LKW3" s="1962"/>
      <c r="LKX3" s="1962"/>
      <c r="LKY3" s="1962"/>
      <c r="LKZ3" s="1962"/>
      <c r="LLA3" s="1962"/>
      <c r="LLB3" s="1962"/>
      <c r="LLC3" s="1962"/>
      <c r="LLD3" s="1962"/>
      <c r="LLE3" s="1962"/>
      <c r="LLF3" s="1962"/>
      <c r="LLG3" s="1962"/>
      <c r="LLH3" s="1962"/>
      <c r="LLI3" s="1962"/>
      <c r="LLJ3" s="1962"/>
      <c r="LLK3" s="1962"/>
      <c r="LLL3" s="1962"/>
      <c r="LLM3" s="1962"/>
      <c r="LLN3" s="1962"/>
      <c r="LLO3" s="1962"/>
      <c r="LLP3" s="1962"/>
      <c r="LLQ3" s="1962"/>
      <c r="LLR3" s="1962"/>
      <c r="LLS3" s="1962"/>
      <c r="LLT3" s="1962"/>
      <c r="LLU3" s="1962"/>
      <c r="LLV3" s="1962"/>
      <c r="LLW3" s="1962"/>
      <c r="LLX3" s="1962"/>
      <c r="LLY3" s="1962"/>
      <c r="LLZ3" s="1962"/>
      <c r="LMA3" s="1962"/>
      <c r="LMB3" s="1962"/>
      <c r="LMC3" s="1962"/>
      <c r="LMD3" s="1962"/>
      <c r="LME3" s="1962"/>
      <c r="LMF3" s="1962"/>
      <c r="LMG3" s="1962"/>
      <c r="LMH3" s="1962"/>
      <c r="LMI3" s="1962"/>
      <c r="LMJ3" s="1962"/>
      <c r="LMK3" s="1962"/>
      <c r="LML3" s="1962"/>
      <c r="LMM3" s="1962"/>
      <c r="LMN3" s="1962"/>
      <c r="LMO3" s="1962"/>
      <c r="LMP3" s="1962"/>
      <c r="LMQ3" s="1962"/>
      <c r="LMR3" s="1962"/>
      <c r="LMS3" s="1962"/>
      <c r="LMT3" s="1962"/>
      <c r="LMU3" s="1962"/>
      <c r="LMV3" s="1962"/>
      <c r="LMW3" s="1962"/>
      <c r="LMX3" s="1962"/>
      <c r="LMY3" s="1962"/>
      <c r="LMZ3" s="1962"/>
      <c r="LNA3" s="1962"/>
      <c r="LNB3" s="1962"/>
      <c r="LNC3" s="1962"/>
      <c r="LND3" s="1962"/>
      <c r="LNE3" s="1962"/>
      <c r="LNF3" s="1962"/>
      <c r="LNG3" s="1962"/>
      <c r="LNH3" s="1962"/>
      <c r="LNI3" s="1962"/>
      <c r="LNJ3" s="1962"/>
      <c r="LNK3" s="1962"/>
      <c r="LNL3" s="1962"/>
      <c r="LNM3" s="1962"/>
      <c r="LNN3" s="1962"/>
      <c r="LNO3" s="1962"/>
      <c r="LNP3" s="1962"/>
      <c r="LNQ3" s="1962"/>
      <c r="LNR3" s="1962"/>
      <c r="LNS3" s="1962"/>
      <c r="LNT3" s="1962"/>
      <c r="LNU3" s="1962"/>
      <c r="LNV3" s="1962"/>
      <c r="LNW3" s="1962"/>
      <c r="LNX3" s="1962"/>
      <c r="LNY3" s="1962"/>
      <c r="LNZ3" s="1962"/>
      <c r="LOA3" s="1962"/>
      <c r="LOB3" s="1962"/>
      <c r="LOC3" s="1962"/>
      <c r="LOD3" s="1962"/>
      <c r="LOE3" s="1962"/>
      <c r="LOF3" s="1962"/>
      <c r="LOG3" s="1962"/>
      <c r="LOH3" s="1962"/>
      <c r="LOI3" s="1962"/>
      <c r="LOJ3" s="1962"/>
      <c r="LOK3" s="1962"/>
      <c r="LOL3" s="1962"/>
      <c r="LOM3" s="1962"/>
      <c r="LON3" s="1962"/>
      <c r="LOO3" s="1962"/>
      <c r="LOP3" s="1962"/>
      <c r="LOQ3" s="1962"/>
      <c r="LOR3" s="1962"/>
      <c r="LOS3" s="1962"/>
      <c r="LOT3" s="1962"/>
      <c r="LOU3" s="1962"/>
      <c r="LOV3" s="1962"/>
      <c r="LOW3" s="1962"/>
      <c r="LOX3" s="1962"/>
      <c r="LOY3" s="1962"/>
      <c r="LOZ3" s="1962"/>
      <c r="LPA3" s="1962"/>
      <c r="LPB3" s="1962"/>
      <c r="LPC3" s="1962"/>
      <c r="LPD3" s="1962"/>
      <c r="LPE3" s="1962"/>
      <c r="LPF3" s="1962"/>
      <c r="LPG3" s="1962"/>
      <c r="LPH3" s="1962"/>
      <c r="LPI3" s="1962"/>
      <c r="LPJ3" s="1962"/>
      <c r="LPK3" s="1962"/>
      <c r="LPL3" s="1962"/>
      <c r="LPM3" s="1962"/>
      <c r="LPN3" s="1962"/>
      <c r="LPO3" s="1962"/>
      <c r="LPP3" s="1962"/>
      <c r="LPQ3" s="1962"/>
      <c r="LPR3" s="1962"/>
      <c r="LPS3" s="1962"/>
      <c r="LPT3" s="1962"/>
      <c r="LPU3" s="1962"/>
      <c r="LPV3" s="1962"/>
      <c r="LPW3" s="1962"/>
      <c r="LPX3" s="1962"/>
      <c r="LPY3" s="1962"/>
      <c r="LPZ3" s="1962"/>
      <c r="LQA3" s="1962"/>
      <c r="LQB3" s="1962"/>
      <c r="LQC3" s="1962"/>
      <c r="LQD3" s="1962"/>
      <c r="LQE3" s="1962"/>
      <c r="LQF3" s="1962"/>
      <c r="LQG3" s="1962"/>
      <c r="LQH3" s="1962"/>
      <c r="LQI3" s="1962"/>
      <c r="LQJ3" s="1962"/>
      <c r="LQK3" s="1962"/>
      <c r="LQL3" s="1962"/>
      <c r="LQM3" s="1962"/>
      <c r="LQN3" s="1962"/>
      <c r="LQO3" s="1962"/>
      <c r="LQP3" s="1962"/>
      <c r="LQQ3" s="1962"/>
      <c r="LQR3" s="1962"/>
      <c r="LQS3" s="1962"/>
      <c r="LQT3" s="1962"/>
      <c r="LQU3" s="1962"/>
      <c r="LQV3" s="1962"/>
      <c r="LQW3" s="1962"/>
      <c r="LQX3" s="1962"/>
      <c r="LQY3" s="1962"/>
      <c r="LQZ3" s="1962"/>
      <c r="LRA3" s="1962"/>
      <c r="LRB3" s="1962"/>
      <c r="LRC3" s="1962"/>
      <c r="LRD3" s="1962"/>
      <c r="LRE3" s="1962"/>
      <c r="LRF3" s="1962"/>
      <c r="LRG3" s="1962"/>
      <c r="LRH3" s="1962"/>
      <c r="LRI3" s="1962"/>
      <c r="LRJ3" s="1962"/>
      <c r="LRK3" s="1962"/>
      <c r="LRL3" s="1962"/>
      <c r="LRM3" s="1962"/>
      <c r="LRN3" s="1962"/>
      <c r="LRO3" s="1962"/>
      <c r="LRP3" s="1962"/>
      <c r="LRQ3" s="1962"/>
      <c r="LRR3" s="1962"/>
      <c r="LRS3" s="1962"/>
      <c r="LRT3" s="1962"/>
      <c r="LRU3" s="1962"/>
      <c r="LRV3" s="1962"/>
      <c r="LRW3" s="1962"/>
      <c r="LRX3" s="1962"/>
      <c r="LRY3" s="1962"/>
      <c r="LRZ3" s="1962"/>
      <c r="LSA3" s="1962"/>
      <c r="LSB3" s="1962"/>
      <c r="LSC3" s="1962"/>
      <c r="LSD3" s="1962"/>
      <c r="LSE3" s="1962"/>
      <c r="LSF3" s="1962"/>
      <c r="LSG3" s="1962"/>
      <c r="LSH3" s="1962"/>
      <c r="LSI3" s="1962"/>
      <c r="LSJ3" s="1962"/>
      <c r="LSK3" s="1962"/>
      <c r="LSL3" s="1962"/>
      <c r="LSM3" s="1962"/>
      <c r="LSN3" s="1962"/>
      <c r="LSO3" s="1962"/>
      <c r="LSP3" s="1962"/>
      <c r="LSQ3" s="1962"/>
      <c r="LSR3" s="1962"/>
      <c r="LSS3" s="1962"/>
      <c r="LST3" s="1962"/>
      <c r="LSU3" s="1962"/>
      <c r="LSV3" s="1962"/>
      <c r="LSW3" s="1962"/>
      <c r="LSX3" s="1962"/>
      <c r="LSY3" s="1962"/>
      <c r="LSZ3" s="1962"/>
      <c r="LTA3" s="1962"/>
      <c r="LTB3" s="1962"/>
      <c r="LTC3" s="1962"/>
      <c r="LTD3" s="1962"/>
      <c r="LTE3" s="1962"/>
      <c r="LTF3" s="1962"/>
      <c r="LTG3" s="1962"/>
      <c r="LTH3" s="1962"/>
      <c r="LTI3" s="1962"/>
      <c r="LTJ3" s="1962"/>
      <c r="LTK3" s="1962"/>
      <c r="LTL3" s="1962"/>
      <c r="LTM3" s="1962"/>
      <c r="LTN3" s="1962"/>
      <c r="LTO3" s="1962"/>
      <c r="LTP3" s="1962"/>
      <c r="LTQ3" s="1962"/>
      <c r="LTR3" s="1962"/>
      <c r="LTS3" s="1962"/>
      <c r="LTT3" s="1962"/>
      <c r="LTU3" s="1962"/>
      <c r="LTV3" s="1962"/>
      <c r="LTW3" s="1962"/>
      <c r="LTX3" s="1962"/>
      <c r="LTY3" s="1962"/>
      <c r="LTZ3" s="1962"/>
      <c r="LUA3" s="1962"/>
      <c r="LUB3" s="1962"/>
      <c r="LUC3" s="1962"/>
      <c r="LUD3" s="1962"/>
      <c r="LUE3" s="1962"/>
      <c r="LUF3" s="1962"/>
      <c r="LUG3" s="1962"/>
      <c r="LUH3" s="1962"/>
      <c r="LUI3" s="1962"/>
      <c r="LUJ3" s="1962"/>
      <c r="LUK3" s="1962"/>
      <c r="LUL3" s="1962"/>
      <c r="LUM3" s="1962"/>
      <c r="LUN3" s="1962"/>
      <c r="LUO3" s="1962"/>
      <c r="LUP3" s="1962"/>
      <c r="LUQ3" s="1962"/>
      <c r="LUR3" s="1962"/>
      <c r="LUS3" s="1962"/>
      <c r="LUT3" s="1962"/>
      <c r="LUU3" s="1962"/>
      <c r="LUV3" s="1962"/>
      <c r="LUW3" s="1962"/>
      <c r="LUX3" s="1962"/>
      <c r="LUY3" s="1962"/>
      <c r="LUZ3" s="1962"/>
      <c r="LVA3" s="1962"/>
      <c r="LVB3" s="1962"/>
      <c r="LVC3" s="1962"/>
      <c r="LVD3" s="1962"/>
      <c r="LVE3" s="1962"/>
      <c r="LVF3" s="1962"/>
      <c r="LVG3" s="1962"/>
      <c r="LVH3" s="1962"/>
      <c r="LVI3" s="1962"/>
      <c r="LVJ3" s="1962"/>
      <c r="LVK3" s="1962"/>
      <c r="LVL3" s="1962"/>
      <c r="LVM3" s="1962"/>
      <c r="LVN3" s="1962"/>
      <c r="LVO3" s="1962"/>
      <c r="LVP3" s="1962"/>
      <c r="LVQ3" s="1962"/>
      <c r="LVR3" s="1962"/>
      <c r="LVS3" s="1962"/>
      <c r="LVT3" s="1962"/>
      <c r="LVU3" s="1962"/>
      <c r="LVV3" s="1962"/>
      <c r="LVW3" s="1962"/>
      <c r="LVX3" s="1962"/>
      <c r="LVY3" s="1962"/>
      <c r="LVZ3" s="1962"/>
      <c r="LWA3" s="1962"/>
      <c r="LWB3" s="1962"/>
      <c r="LWC3" s="1962"/>
      <c r="LWD3" s="1962"/>
      <c r="LWE3" s="1962"/>
      <c r="LWF3" s="1962"/>
      <c r="LWG3" s="1962"/>
      <c r="LWH3" s="1962"/>
      <c r="LWI3" s="1962"/>
      <c r="LWJ3" s="1962"/>
      <c r="LWK3" s="1962"/>
      <c r="LWL3" s="1962"/>
      <c r="LWM3" s="1962"/>
      <c r="LWN3" s="1962"/>
      <c r="LWO3" s="1962"/>
      <c r="LWP3" s="1962"/>
      <c r="LWQ3" s="1962"/>
      <c r="LWR3" s="1962"/>
      <c r="LWS3" s="1962"/>
      <c r="LWT3" s="1962"/>
      <c r="LWU3" s="1962"/>
      <c r="LWV3" s="1962"/>
      <c r="LWW3" s="1962"/>
      <c r="LWX3" s="1962"/>
      <c r="LWY3" s="1962"/>
      <c r="LWZ3" s="1962"/>
      <c r="LXA3" s="1962"/>
      <c r="LXB3" s="1962"/>
      <c r="LXC3" s="1962"/>
      <c r="LXD3" s="1962"/>
      <c r="LXE3" s="1962"/>
      <c r="LXF3" s="1962"/>
      <c r="LXG3" s="1962"/>
      <c r="LXH3" s="1962"/>
      <c r="LXI3" s="1962"/>
      <c r="LXJ3" s="1962"/>
      <c r="LXK3" s="1962"/>
      <c r="LXL3" s="1962"/>
      <c r="LXM3" s="1962"/>
      <c r="LXN3" s="1962"/>
      <c r="LXO3" s="1962"/>
      <c r="LXP3" s="1962"/>
      <c r="LXQ3" s="1962"/>
      <c r="LXR3" s="1962"/>
      <c r="LXS3" s="1962"/>
      <c r="LXT3" s="1962"/>
      <c r="LXU3" s="1962"/>
      <c r="LXV3" s="1962"/>
      <c r="LXW3" s="1962"/>
      <c r="LXX3" s="1962"/>
      <c r="LXY3" s="1962"/>
      <c r="LXZ3" s="1962"/>
      <c r="LYA3" s="1962"/>
      <c r="LYB3" s="1962"/>
      <c r="LYC3" s="1962"/>
      <c r="LYD3" s="1962"/>
      <c r="LYE3" s="1962"/>
      <c r="LYF3" s="1962"/>
      <c r="LYG3" s="1962"/>
      <c r="LYH3" s="1962"/>
      <c r="LYI3" s="1962"/>
      <c r="LYJ3" s="1962"/>
      <c r="LYK3" s="1962"/>
      <c r="LYL3" s="1962"/>
      <c r="LYM3" s="1962"/>
      <c r="LYN3" s="1962"/>
      <c r="LYO3" s="1962"/>
      <c r="LYP3" s="1962"/>
      <c r="LYQ3" s="1962"/>
      <c r="LYR3" s="1962"/>
      <c r="LYS3" s="1962"/>
      <c r="LYT3" s="1962"/>
      <c r="LYU3" s="1962"/>
      <c r="LYV3" s="1962"/>
      <c r="LYW3" s="1962"/>
      <c r="LYX3" s="1962"/>
      <c r="LYY3" s="1962"/>
      <c r="LYZ3" s="1962"/>
      <c r="LZA3" s="1962"/>
      <c r="LZB3" s="1962"/>
      <c r="LZC3" s="1962"/>
      <c r="LZD3" s="1962"/>
      <c r="LZE3" s="1962"/>
      <c r="LZF3" s="1962"/>
      <c r="LZG3" s="1962"/>
      <c r="LZH3" s="1962"/>
      <c r="LZI3" s="1962"/>
      <c r="LZJ3" s="1962"/>
      <c r="LZK3" s="1962"/>
      <c r="LZL3" s="1962"/>
      <c r="LZM3" s="1962"/>
      <c r="LZN3" s="1962"/>
      <c r="LZO3" s="1962"/>
      <c r="LZP3" s="1962"/>
      <c r="LZQ3" s="1962"/>
      <c r="LZR3" s="1962"/>
      <c r="LZS3" s="1962"/>
      <c r="LZT3" s="1962"/>
      <c r="LZU3" s="1962"/>
      <c r="LZV3" s="1962"/>
      <c r="LZW3" s="1962"/>
      <c r="LZX3" s="1962"/>
      <c r="LZY3" s="1962"/>
      <c r="LZZ3" s="1962"/>
      <c r="MAA3" s="1962"/>
      <c r="MAB3" s="1962"/>
      <c r="MAC3" s="1962"/>
      <c r="MAD3" s="1962"/>
      <c r="MAE3" s="1962"/>
      <c r="MAF3" s="1962"/>
      <c r="MAG3" s="1962"/>
      <c r="MAH3" s="1962"/>
      <c r="MAI3" s="1962"/>
      <c r="MAJ3" s="1962"/>
      <c r="MAK3" s="1962"/>
      <c r="MAL3" s="1962"/>
      <c r="MAM3" s="1962"/>
      <c r="MAN3" s="1962"/>
      <c r="MAO3" s="1962"/>
      <c r="MAP3" s="1962"/>
      <c r="MAQ3" s="1962"/>
      <c r="MAR3" s="1962"/>
      <c r="MAS3" s="1962"/>
      <c r="MAT3" s="1962"/>
      <c r="MAU3" s="1962"/>
      <c r="MAV3" s="1962"/>
      <c r="MAW3" s="1962"/>
      <c r="MAX3" s="1962"/>
      <c r="MAY3" s="1962"/>
      <c r="MAZ3" s="1962"/>
      <c r="MBA3" s="1962"/>
      <c r="MBB3" s="1962"/>
      <c r="MBC3" s="1962"/>
      <c r="MBD3" s="1962"/>
      <c r="MBE3" s="1962"/>
      <c r="MBF3" s="1962"/>
      <c r="MBG3" s="1962"/>
      <c r="MBH3" s="1962"/>
      <c r="MBI3" s="1962"/>
      <c r="MBJ3" s="1962"/>
      <c r="MBK3" s="1962"/>
      <c r="MBL3" s="1962"/>
      <c r="MBM3" s="1962"/>
      <c r="MBN3" s="1962"/>
      <c r="MBO3" s="1962"/>
      <c r="MBP3" s="1962"/>
      <c r="MBQ3" s="1962"/>
      <c r="MBR3" s="1962"/>
      <c r="MBS3" s="1962"/>
      <c r="MBT3" s="1962"/>
      <c r="MBU3" s="1962"/>
      <c r="MBV3" s="1962"/>
      <c r="MBW3" s="1962"/>
      <c r="MBX3" s="1962"/>
      <c r="MBY3" s="1962"/>
      <c r="MBZ3" s="1962"/>
      <c r="MCA3" s="1962"/>
      <c r="MCB3" s="1962"/>
      <c r="MCC3" s="1962"/>
      <c r="MCD3" s="1962"/>
      <c r="MCE3" s="1962"/>
      <c r="MCF3" s="1962"/>
      <c r="MCG3" s="1962"/>
      <c r="MCH3" s="1962"/>
      <c r="MCI3" s="1962"/>
      <c r="MCJ3" s="1962"/>
      <c r="MCK3" s="1962"/>
      <c r="MCL3" s="1962"/>
      <c r="MCM3" s="1962"/>
      <c r="MCN3" s="1962"/>
      <c r="MCO3" s="1962"/>
      <c r="MCP3" s="1962"/>
      <c r="MCQ3" s="1962"/>
      <c r="MCR3" s="1962"/>
      <c r="MCS3" s="1962"/>
      <c r="MCT3" s="1962"/>
      <c r="MCU3" s="1962"/>
      <c r="MCV3" s="1962"/>
      <c r="MCW3" s="1962"/>
      <c r="MCX3" s="1962"/>
      <c r="MCY3" s="1962"/>
      <c r="MCZ3" s="1962"/>
      <c r="MDA3" s="1962"/>
      <c r="MDB3" s="1962"/>
      <c r="MDC3" s="1962"/>
      <c r="MDD3" s="1962"/>
      <c r="MDE3" s="1962"/>
      <c r="MDF3" s="1962"/>
      <c r="MDG3" s="1962"/>
      <c r="MDH3" s="1962"/>
      <c r="MDI3" s="1962"/>
      <c r="MDJ3" s="1962"/>
      <c r="MDK3" s="1962"/>
      <c r="MDL3" s="1962"/>
      <c r="MDM3" s="1962"/>
      <c r="MDN3" s="1962"/>
      <c r="MDO3" s="1962"/>
      <c r="MDP3" s="1962"/>
      <c r="MDQ3" s="1962"/>
      <c r="MDR3" s="1962"/>
      <c r="MDS3" s="1962"/>
      <c r="MDT3" s="1962"/>
      <c r="MDU3" s="1962"/>
      <c r="MDV3" s="1962"/>
      <c r="MDW3" s="1962"/>
      <c r="MDX3" s="1962"/>
      <c r="MDY3" s="1962"/>
      <c r="MDZ3" s="1962"/>
      <c r="MEA3" s="1962"/>
      <c r="MEB3" s="1962"/>
      <c r="MEC3" s="1962"/>
      <c r="MED3" s="1962"/>
      <c r="MEE3" s="1962"/>
      <c r="MEF3" s="1962"/>
      <c r="MEG3" s="1962"/>
      <c r="MEH3" s="1962"/>
      <c r="MEI3" s="1962"/>
      <c r="MEJ3" s="1962"/>
      <c r="MEK3" s="1962"/>
      <c r="MEL3" s="1962"/>
      <c r="MEM3" s="1962"/>
      <c r="MEN3" s="1962"/>
      <c r="MEO3" s="1962"/>
      <c r="MEP3" s="1962"/>
      <c r="MEQ3" s="1962"/>
      <c r="MER3" s="1962"/>
      <c r="MES3" s="1962"/>
      <c r="MET3" s="1962"/>
      <c r="MEU3" s="1962"/>
      <c r="MEV3" s="1962"/>
      <c r="MEW3" s="1962"/>
      <c r="MEX3" s="1962"/>
      <c r="MEY3" s="1962"/>
      <c r="MEZ3" s="1962"/>
      <c r="MFA3" s="1962"/>
      <c r="MFB3" s="1962"/>
      <c r="MFC3" s="1962"/>
      <c r="MFD3" s="1962"/>
      <c r="MFE3" s="1962"/>
      <c r="MFF3" s="1962"/>
      <c r="MFG3" s="1962"/>
      <c r="MFH3" s="1962"/>
      <c r="MFI3" s="1962"/>
      <c r="MFJ3" s="1962"/>
      <c r="MFK3" s="1962"/>
      <c r="MFL3" s="1962"/>
      <c r="MFM3" s="1962"/>
      <c r="MFN3" s="1962"/>
      <c r="MFO3" s="1962"/>
      <c r="MFP3" s="1962"/>
      <c r="MFQ3" s="1962"/>
      <c r="MFR3" s="1962"/>
      <c r="MFS3" s="1962"/>
      <c r="MFT3" s="1962"/>
      <c r="MFU3" s="1962"/>
      <c r="MFV3" s="1962"/>
      <c r="MFW3" s="1962"/>
      <c r="MFX3" s="1962"/>
      <c r="MFY3" s="1962"/>
      <c r="MFZ3" s="1962"/>
      <c r="MGA3" s="1962"/>
      <c r="MGB3" s="1962"/>
      <c r="MGC3" s="1962"/>
      <c r="MGD3" s="1962"/>
      <c r="MGE3" s="1962"/>
      <c r="MGF3" s="1962"/>
      <c r="MGG3" s="1962"/>
      <c r="MGH3" s="1962"/>
      <c r="MGI3" s="1962"/>
      <c r="MGJ3" s="1962"/>
      <c r="MGK3" s="1962"/>
      <c r="MGL3" s="1962"/>
      <c r="MGM3" s="1962"/>
      <c r="MGN3" s="1962"/>
      <c r="MGO3" s="1962"/>
      <c r="MGP3" s="1962"/>
      <c r="MGQ3" s="1962"/>
      <c r="MGR3" s="1962"/>
      <c r="MGS3" s="1962"/>
      <c r="MGT3" s="1962"/>
      <c r="MGU3" s="1962"/>
      <c r="MGV3" s="1962"/>
      <c r="MGW3" s="1962"/>
      <c r="MGX3" s="1962"/>
      <c r="MGY3" s="1962"/>
      <c r="MGZ3" s="1962"/>
      <c r="MHA3" s="1962"/>
      <c r="MHB3" s="1962"/>
      <c r="MHC3" s="1962"/>
      <c r="MHD3" s="1962"/>
      <c r="MHE3" s="1962"/>
      <c r="MHF3" s="1962"/>
      <c r="MHG3" s="1962"/>
      <c r="MHH3" s="1962"/>
      <c r="MHI3" s="1962"/>
      <c r="MHJ3" s="1962"/>
      <c r="MHK3" s="1962"/>
      <c r="MHL3" s="1962"/>
      <c r="MHM3" s="1962"/>
      <c r="MHN3" s="1962"/>
      <c r="MHO3" s="1962"/>
      <c r="MHP3" s="1962"/>
      <c r="MHQ3" s="1962"/>
      <c r="MHR3" s="1962"/>
      <c r="MHS3" s="1962"/>
      <c r="MHT3" s="1962"/>
      <c r="MHU3" s="1962"/>
      <c r="MHV3" s="1962"/>
      <c r="MHW3" s="1962"/>
      <c r="MHX3" s="1962"/>
      <c r="MHY3" s="1962"/>
      <c r="MHZ3" s="1962"/>
      <c r="MIA3" s="1962"/>
      <c r="MIB3" s="1962"/>
      <c r="MIC3" s="1962"/>
      <c r="MID3" s="1962"/>
      <c r="MIE3" s="1962"/>
      <c r="MIF3" s="1962"/>
      <c r="MIG3" s="1962"/>
      <c r="MIH3" s="1962"/>
      <c r="MII3" s="1962"/>
      <c r="MIJ3" s="1962"/>
      <c r="MIK3" s="1962"/>
      <c r="MIL3" s="1962"/>
      <c r="MIM3" s="1962"/>
      <c r="MIN3" s="1962"/>
      <c r="MIO3" s="1962"/>
      <c r="MIP3" s="1962"/>
      <c r="MIQ3" s="1962"/>
      <c r="MIR3" s="1962"/>
      <c r="MIS3" s="1962"/>
      <c r="MIT3" s="1962"/>
      <c r="MIU3" s="1962"/>
      <c r="MIV3" s="1962"/>
      <c r="MIW3" s="1962"/>
      <c r="MIX3" s="1962"/>
      <c r="MIY3" s="1962"/>
      <c r="MIZ3" s="1962"/>
      <c r="MJA3" s="1962"/>
      <c r="MJB3" s="1962"/>
      <c r="MJC3" s="1962"/>
      <c r="MJD3" s="1962"/>
      <c r="MJE3" s="1962"/>
      <c r="MJF3" s="1962"/>
      <c r="MJG3" s="1962"/>
      <c r="MJH3" s="1962"/>
      <c r="MJI3" s="1962"/>
      <c r="MJJ3" s="1962"/>
      <c r="MJK3" s="1962"/>
      <c r="MJL3" s="1962"/>
      <c r="MJM3" s="1962"/>
      <c r="MJN3" s="1962"/>
      <c r="MJO3" s="1962"/>
      <c r="MJP3" s="1962"/>
      <c r="MJQ3" s="1962"/>
      <c r="MJR3" s="1962"/>
      <c r="MJS3" s="1962"/>
      <c r="MJT3" s="1962"/>
      <c r="MJU3" s="1962"/>
      <c r="MJV3" s="1962"/>
      <c r="MJW3" s="1962"/>
      <c r="MJX3" s="1962"/>
      <c r="MJY3" s="1962"/>
      <c r="MJZ3" s="1962"/>
      <c r="MKA3" s="1962"/>
      <c r="MKB3" s="1962"/>
      <c r="MKC3" s="1962"/>
      <c r="MKD3" s="1962"/>
      <c r="MKE3" s="1962"/>
      <c r="MKF3" s="1962"/>
      <c r="MKG3" s="1962"/>
      <c r="MKH3" s="1962"/>
      <c r="MKI3" s="1962"/>
      <c r="MKJ3" s="1962"/>
      <c r="MKK3" s="1962"/>
      <c r="MKL3" s="1962"/>
      <c r="MKM3" s="1962"/>
      <c r="MKN3" s="1962"/>
      <c r="MKO3" s="1962"/>
      <c r="MKP3" s="1962"/>
      <c r="MKQ3" s="1962"/>
      <c r="MKR3" s="1962"/>
      <c r="MKS3" s="1962"/>
      <c r="MKT3" s="1962"/>
      <c r="MKU3" s="1962"/>
      <c r="MKV3" s="1962"/>
      <c r="MKW3" s="1962"/>
      <c r="MKX3" s="1962"/>
      <c r="MKY3" s="1962"/>
      <c r="MKZ3" s="1962"/>
      <c r="MLA3" s="1962"/>
      <c r="MLB3" s="1962"/>
      <c r="MLC3" s="1962"/>
      <c r="MLD3" s="1962"/>
      <c r="MLE3" s="1962"/>
      <c r="MLF3" s="1962"/>
      <c r="MLG3" s="1962"/>
      <c r="MLH3" s="1962"/>
      <c r="MLI3" s="1962"/>
      <c r="MLJ3" s="1962"/>
      <c r="MLK3" s="1962"/>
      <c r="MLL3" s="1962"/>
      <c r="MLM3" s="1962"/>
      <c r="MLN3" s="1962"/>
      <c r="MLO3" s="1962"/>
      <c r="MLP3" s="1962"/>
      <c r="MLQ3" s="1962"/>
      <c r="MLR3" s="1962"/>
      <c r="MLS3" s="1962"/>
      <c r="MLT3" s="1962"/>
      <c r="MLU3" s="1962"/>
      <c r="MLV3" s="1962"/>
      <c r="MLW3" s="1962"/>
      <c r="MLX3" s="1962"/>
      <c r="MLY3" s="1962"/>
      <c r="MLZ3" s="1962"/>
      <c r="MMA3" s="1962"/>
      <c r="MMB3" s="1962"/>
      <c r="MMC3" s="1962"/>
      <c r="MMD3" s="1962"/>
      <c r="MME3" s="1962"/>
      <c r="MMF3" s="1962"/>
      <c r="MMG3" s="1962"/>
      <c r="MMH3" s="1962"/>
      <c r="MMI3" s="1962"/>
      <c r="MMJ3" s="1962"/>
      <c r="MMK3" s="1962"/>
      <c r="MML3" s="1962"/>
      <c r="MMM3" s="1962"/>
      <c r="MMN3" s="1962"/>
      <c r="MMO3" s="1962"/>
      <c r="MMP3" s="1962"/>
      <c r="MMQ3" s="1962"/>
      <c r="MMR3" s="1962"/>
      <c r="MMS3" s="1962"/>
      <c r="MMT3" s="1962"/>
      <c r="MMU3" s="1962"/>
      <c r="MMV3" s="1962"/>
      <c r="MMW3" s="1962"/>
      <c r="MMX3" s="1962"/>
      <c r="MMY3" s="1962"/>
      <c r="MMZ3" s="1962"/>
      <c r="MNA3" s="1962"/>
      <c r="MNB3" s="1962"/>
      <c r="MNC3" s="1962"/>
      <c r="MND3" s="1962"/>
      <c r="MNE3" s="1962"/>
      <c r="MNF3" s="1962"/>
      <c r="MNG3" s="1962"/>
      <c r="MNH3" s="1962"/>
      <c r="MNI3" s="1962"/>
      <c r="MNJ3" s="1962"/>
      <c r="MNK3" s="1962"/>
      <c r="MNL3" s="1962"/>
      <c r="MNM3" s="1962"/>
      <c r="MNN3" s="1962"/>
      <c r="MNO3" s="1962"/>
      <c r="MNP3" s="1962"/>
      <c r="MNQ3" s="1962"/>
      <c r="MNR3" s="1962"/>
      <c r="MNS3" s="1962"/>
      <c r="MNT3" s="1962"/>
      <c r="MNU3" s="1962"/>
      <c r="MNV3" s="1962"/>
      <c r="MNW3" s="1962"/>
      <c r="MNX3" s="1962"/>
      <c r="MNY3" s="1962"/>
      <c r="MNZ3" s="1962"/>
      <c r="MOA3" s="1962"/>
      <c r="MOB3" s="1962"/>
      <c r="MOC3" s="1962"/>
      <c r="MOD3" s="1962"/>
      <c r="MOE3" s="1962"/>
      <c r="MOF3" s="1962"/>
      <c r="MOG3" s="1962"/>
      <c r="MOH3" s="1962"/>
      <c r="MOI3" s="1962"/>
      <c r="MOJ3" s="1962"/>
      <c r="MOK3" s="1962"/>
      <c r="MOL3" s="1962"/>
      <c r="MOM3" s="1962"/>
      <c r="MON3" s="1962"/>
      <c r="MOO3" s="1962"/>
      <c r="MOP3" s="1962"/>
      <c r="MOQ3" s="1962"/>
      <c r="MOR3" s="1962"/>
      <c r="MOS3" s="1962"/>
      <c r="MOT3" s="1962"/>
      <c r="MOU3" s="1962"/>
      <c r="MOV3" s="1962"/>
      <c r="MOW3" s="1962"/>
      <c r="MOX3" s="1962"/>
      <c r="MOY3" s="1962"/>
      <c r="MOZ3" s="1962"/>
      <c r="MPA3" s="1962"/>
      <c r="MPB3" s="1962"/>
      <c r="MPC3" s="1962"/>
      <c r="MPD3" s="1962"/>
      <c r="MPE3" s="1962"/>
      <c r="MPF3" s="1962"/>
      <c r="MPG3" s="1962"/>
      <c r="MPH3" s="1962"/>
      <c r="MPI3" s="1962"/>
      <c r="MPJ3" s="1962"/>
      <c r="MPK3" s="1962"/>
      <c r="MPL3" s="1962"/>
      <c r="MPM3" s="1962"/>
      <c r="MPN3" s="1962"/>
      <c r="MPO3" s="1962"/>
      <c r="MPP3" s="1962"/>
      <c r="MPQ3" s="1962"/>
      <c r="MPR3" s="1962"/>
      <c r="MPS3" s="1962"/>
      <c r="MPT3" s="1962"/>
      <c r="MPU3" s="1962"/>
      <c r="MPV3" s="1962"/>
      <c r="MPW3" s="1962"/>
      <c r="MPX3" s="1962"/>
      <c r="MPY3" s="1962"/>
      <c r="MPZ3" s="1962"/>
      <c r="MQA3" s="1962"/>
      <c r="MQB3" s="1962"/>
      <c r="MQC3" s="1962"/>
      <c r="MQD3" s="1962"/>
      <c r="MQE3" s="1962"/>
      <c r="MQF3" s="1962"/>
      <c r="MQG3" s="1962"/>
      <c r="MQH3" s="1962"/>
      <c r="MQI3" s="1962"/>
      <c r="MQJ3" s="1962"/>
      <c r="MQK3" s="1962"/>
      <c r="MQL3" s="1962"/>
      <c r="MQM3" s="1962"/>
      <c r="MQN3" s="1962"/>
      <c r="MQO3" s="1962"/>
      <c r="MQP3" s="1962"/>
      <c r="MQQ3" s="1962"/>
      <c r="MQR3" s="1962"/>
      <c r="MQS3" s="1962"/>
      <c r="MQT3" s="1962"/>
      <c r="MQU3" s="1962"/>
      <c r="MQV3" s="1962"/>
      <c r="MQW3" s="1962"/>
      <c r="MQX3" s="1962"/>
      <c r="MQY3" s="1962"/>
      <c r="MQZ3" s="1962"/>
      <c r="MRA3" s="1962"/>
      <c r="MRB3" s="1962"/>
      <c r="MRC3" s="1962"/>
      <c r="MRD3" s="1962"/>
      <c r="MRE3" s="1962"/>
      <c r="MRF3" s="1962"/>
      <c r="MRG3" s="1962"/>
      <c r="MRH3" s="1962"/>
      <c r="MRI3" s="1962"/>
      <c r="MRJ3" s="1962"/>
      <c r="MRK3" s="1962"/>
      <c r="MRL3" s="1962"/>
      <c r="MRM3" s="1962"/>
      <c r="MRN3" s="1962"/>
      <c r="MRO3" s="1962"/>
      <c r="MRP3" s="1962"/>
      <c r="MRQ3" s="1962"/>
      <c r="MRR3" s="1962"/>
      <c r="MRS3" s="1962"/>
      <c r="MRT3" s="1962"/>
      <c r="MRU3" s="1962"/>
      <c r="MRV3" s="1962"/>
      <c r="MRW3" s="1962"/>
      <c r="MRX3" s="1962"/>
      <c r="MRY3" s="1962"/>
      <c r="MRZ3" s="1962"/>
      <c r="MSA3" s="1962"/>
      <c r="MSB3" s="1962"/>
      <c r="MSC3" s="1962"/>
      <c r="MSD3" s="1962"/>
      <c r="MSE3" s="1962"/>
      <c r="MSF3" s="1962"/>
      <c r="MSG3" s="1962"/>
      <c r="MSH3" s="1962"/>
      <c r="MSI3" s="1962"/>
      <c r="MSJ3" s="1962"/>
      <c r="MSK3" s="1962"/>
      <c r="MSL3" s="1962"/>
      <c r="MSM3" s="1962"/>
      <c r="MSN3" s="1962"/>
      <c r="MSO3" s="1962"/>
      <c r="MSP3" s="1962"/>
      <c r="MSQ3" s="1962"/>
      <c r="MSR3" s="1962"/>
      <c r="MSS3" s="1962"/>
      <c r="MST3" s="1962"/>
      <c r="MSU3" s="1962"/>
      <c r="MSV3" s="1962"/>
      <c r="MSW3" s="1962"/>
      <c r="MSX3" s="1962"/>
      <c r="MSY3" s="1962"/>
      <c r="MSZ3" s="1962"/>
      <c r="MTA3" s="1962"/>
      <c r="MTB3" s="1962"/>
      <c r="MTC3" s="1962"/>
      <c r="MTD3" s="1962"/>
      <c r="MTE3" s="1962"/>
      <c r="MTF3" s="1962"/>
      <c r="MTG3" s="1962"/>
      <c r="MTH3" s="1962"/>
      <c r="MTI3" s="1962"/>
      <c r="MTJ3" s="1962"/>
      <c r="MTK3" s="1962"/>
      <c r="MTL3" s="1962"/>
      <c r="MTM3" s="1962"/>
      <c r="MTN3" s="1962"/>
      <c r="MTO3" s="1962"/>
      <c r="MTP3" s="1962"/>
      <c r="MTQ3" s="1962"/>
      <c r="MTR3" s="1962"/>
      <c r="MTS3" s="1962"/>
      <c r="MTT3" s="1962"/>
      <c r="MTU3" s="1962"/>
      <c r="MTV3" s="1962"/>
      <c r="MTW3" s="1962"/>
      <c r="MTX3" s="1962"/>
      <c r="MTY3" s="1962"/>
      <c r="MTZ3" s="1962"/>
      <c r="MUA3" s="1962"/>
      <c r="MUB3" s="1962"/>
      <c r="MUC3" s="1962"/>
      <c r="MUD3" s="1962"/>
      <c r="MUE3" s="1962"/>
      <c r="MUF3" s="1962"/>
      <c r="MUG3" s="1962"/>
      <c r="MUH3" s="1962"/>
      <c r="MUI3" s="1962"/>
      <c r="MUJ3" s="1962"/>
      <c r="MUK3" s="1962"/>
      <c r="MUL3" s="1962"/>
      <c r="MUM3" s="1962"/>
      <c r="MUN3" s="1962"/>
      <c r="MUO3" s="1962"/>
      <c r="MUP3" s="1962"/>
      <c r="MUQ3" s="1962"/>
      <c r="MUR3" s="1962"/>
      <c r="MUS3" s="1962"/>
      <c r="MUT3" s="1962"/>
      <c r="MUU3" s="1962"/>
      <c r="MUV3" s="1962"/>
      <c r="MUW3" s="1962"/>
      <c r="MUX3" s="1962"/>
      <c r="MUY3" s="1962"/>
      <c r="MUZ3" s="1962"/>
      <c r="MVA3" s="1962"/>
      <c r="MVB3" s="1962"/>
      <c r="MVC3" s="1962"/>
      <c r="MVD3" s="1962"/>
      <c r="MVE3" s="1962"/>
      <c r="MVF3" s="1962"/>
      <c r="MVG3" s="1962"/>
      <c r="MVH3" s="1962"/>
      <c r="MVI3" s="1962"/>
      <c r="MVJ3" s="1962"/>
      <c r="MVK3" s="1962"/>
      <c r="MVL3" s="1962"/>
      <c r="MVM3" s="1962"/>
      <c r="MVN3" s="1962"/>
      <c r="MVO3" s="1962"/>
      <c r="MVP3" s="1962"/>
      <c r="MVQ3" s="1962"/>
      <c r="MVR3" s="1962"/>
      <c r="MVS3" s="1962"/>
      <c r="MVT3" s="1962"/>
      <c r="MVU3" s="1962"/>
      <c r="MVV3" s="1962"/>
      <c r="MVW3" s="1962"/>
      <c r="MVX3" s="1962"/>
      <c r="MVY3" s="1962"/>
      <c r="MVZ3" s="1962"/>
      <c r="MWA3" s="1962"/>
      <c r="MWB3" s="1962"/>
      <c r="MWC3" s="1962"/>
      <c r="MWD3" s="1962"/>
      <c r="MWE3" s="1962"/>
      <c r="MWF3" s="1962"/>
      <c r="MWG3" s="1962"/>
      <c r="MWH3" s="1962"/>
      <c r="MWI3" s="1962"/>
      <c r="MWJ3" s="1962"/>
      <c r="MWK3" s="1962"/>
      <c r="MWL3" s="1962"/>
      <c r="MWM3" s="1962"/>
      <c r="MWN3" s="1962"/>
      <c r="MWO3" s="1962"/>
      <c r="MWP3" s="1962"/>
      <c r="MWQ3" s="1962"/>
      <c r="MWR3" s="1962"/>
      <c r="MWS3" s="1962"/>
      <c r="MWT3" s="1962"/>
      <c r="MWU3" s="1962"/>
      <c r="MWV3" s="1962"/>
      <c r="MWW3" s="1962"/>
      <c r="MWX3" s="1962"/>
      <c r="MWY3" s="1962"/>
      <c r="MWZ3" s="1962"/>
      <c r="MXA3" s="1962"/>
      <c r="MXB3" s="1962"/>
      <c r="MXC3" s="1962"/>
      <c r="MXD3" s="1962"/>
      <c r="MXE3" s="1962"/>
      <c r="MXF3" s="1962"/>
      <c r="MXG3" s="1962"/>
      <c r="MXH3" s="1962"/>
      <c r="MXI3" s="1962"/>
      <c r="MXJ3" s="1962"/>
      <c r="MXK3" s="1962"/>
      <c r="MXL3" s="1962"/>
      <c r="MXM3" s="1962"/>
      <c r="MXN3" s="1962"/>
      <c r="MXO3" s="1962"/>
      <c r="MXP3" s="1962"/>
      <c r="MXQ3" s="1962"/>
      <c r="MXR3" s="1962"/>
      <c r="MXS3" s="1962"/>
      <c r="MXT3" s="1962"/>
      <c r="MXU3" s="1962"/>
      <c r="MXV3" s="1962"/>
      <c r="MXW3" s="1962"/>
      <c r="MXX3" s="1962"/>
      <c r="MXY3" s="1962"/>
      <c r="MXZ3" s="1962"/>
      <c r="MYA3" s="1962"/>
      <c r="MYB3" s="1962"/>
      <c r="MYC3" s="1962"/>
      <c r="MYD3" s="1962"/>
      <c r="MYE3" s="1962"/>
      <c r="MYF3" s="1962"/>
      <c r="MYG3" s="1962"/>
      <c r="MYH3" s="1962"/>
      <c r="MYI3" s="1962"/>
      <c r="MYJ3" s="1962"/>
      <c r="MYK3" s="1962"/>
      <c r="MYL3" s="1962"/>
      <c r="MYM3" s="1962"/>
      <c r="MYN3" s="1962"/>
      <c r="MYO3" s="1962"/>
      <c r="MYP3" s="1962"/>
      <c r="MYQ3" s="1962"/>
      <c r="MYR3" s="1962"/>
      <c r="MYS3" s="1962"/>
      <c r="MYT3" s="1962"/>
      <c r="MYU3" s="1962"/>
      <c r="MYV3" s="1962"/>
      <c r="MYW3" s="1962"/>
      <c r="MYX3" s="1962"/>
      <c r="MYY3" s="1962"/>
      <c r="MYZ3" s="1962"/>
      <c r="MZA3" s="1962"/>
      <c r="MZB3" s="1962"/>
      <c r="MZC3" s="1962"/>
      <c r="MZD3" s="1962"/>
      <c r="MZE3" s="1962"/>
      <c r="MZF3" s="1962"/>
      <c r="MZG3" s="1962"/>
      <c r="MZH3" s="1962"/>
      <c r="MZI3" s="1962"/>
      <c r="MZJ3" s="1962"/>
      <c r="MZK3" s="1962"/>
      <c r="MZL3" s="1962"/>
      <c r="MZM3" s="1962"/>
      <c r="MZN3" s="1962"/>
      <c r="MZO3" s="1962"/>
      <c r="MZP3" s="1962"/>
      <c r="MZQ3" s="1962"/>
      <c r="MZR3" s="1962"/>
      <c r="MZS3" s="1962"/>
      <c r="MZT3" s="1962"/>
      <c r="MZU3" s="1962"/>
      <c r="MZV3" s="1962"/>
      <c r="MZW3" s="1962"/>
      <c r="MZX3" s="1962"/>
      <c r="MZY3" s="1962"/>
      <c r="MZZ3" s="1962"/>
      <c r="NAA3" s="1962"/>
      <c r="NAB3" s="1962"/>
      <c r="NAC3" s="1962"/>
      <c r="NAD3" s="1962"/>
      <c r="NAE3" s="1962"/>
      <c r="NAF3" s="1962"/>
      <c r="NAG3" s="1962"/>
      <c r="NAH3" s="1962"/>
      <c r="NAI3" s="1962"/>
      <c r="NAJ3" s="1962"/>
      <c r="NAK3" s="1962"/>
      <c r="NAL3" s="1962"/>
      <c r="NAM3" s="1962"/>
      <c r="NAN3" s="1962"/>
      <c r="NAO3" s="1962"/>
      <c r="NAP3" s="1962"/>
      <c r="NAQ3" s="1962"/>
      <c r="NAR3" s="1962"/>
      <c r="NAS3" s="1962"/>
      <c r="NAT3" s="1962"/>
      <c r="NAU3" s="1962"/>
      <c r="NAV3" s="1962"/>
      <c r="NAW3" s="1962"/>
      <c r="NAX3" s="1962"/>
      <c r="NAY3" s="1962"/>
      <c r="NAZ3" s="1962"/>
      <c r="NBA3" s="1962"/>
      <c r="NBB3" s="1962"/>
      <c r="NBC3" s="1962"/>
      <c r="NBD3" s="1962"/>
      <c r="NBE3" s="1962"/>
      <c r="NBF3" s="1962"/>
      <c r="NBG3" s="1962"/>
      <c r="NBH3" s="1962"/>
      <c r="NBI3" s="1962"/>
      <c r="NBJ3" s="1962"/>
      <c r="NBK3" s="1962"/>
      <c r="NBL3" s="1962"/>
      <c r="NBM3" s="1962"/>
      <c r="NBN3" s="1962"/>
      <c r="NBO3" s="1962"/>
      <c r="NBP3" s="1962"/>
      <c r="NBQ3" s="1962"/>
      <c r="NBR3" s="1962"/>
      <c r="NBS3" s="1962"/>
      <c r="NBT3" s="1962"/>
      <c r="NBU3" s="1962"/>
      <c r="NBV3" s="1962"/>
      <c r="NBW3" s="1962"/>
      <c r="NBX3" s="1962"/>
      <c r="NBY3" s="1962"/>
      <c r="NBZ3" s="1962"/>
      <c r="NCA3" s="1962"/>
      <c r="NCB3" s="1962"/>
      <c r="NCC3" s="1962"/>
      <c r="NCD3" s="1962"/>
      <c r="NCE3" s="1962"/>
      <c r="NCF3" s="1962"/>
      <c r="NCG3" s="1962"/>
      <c r="NCH3" s="1962"/>
      <c r="NCI3" s="1962"/>
      <c r="NCJ3" s="1962"/>
      <c r="NCK3" s="1962"/>
      <c r="NCL3" s="1962"/>
      <c r="NCM3" s="1962"/>
      <c r="NCN3" s="1962"/>
      <c r="NCO3" s="1962"/>
      <c r="NCP3" s="1962"/>
      <c r="NCQ3" s="1962"/>
      <c r="NCR3" s="1962"/>
      <c r="NCS3" s="1962"/>
      <c r="NCT3" s="1962"/>
      <c r="NCU3" s="1962"/>
      <c r="NCV3" s="1962"/>
      <c r="NCW3" s="1962"/>
      <c r="NCX3" s="1962"/>
      <c r="NCY3" s="1962"/>
      <c r="NCZ3" s="1962"/>
      <c r="NDA3" s="1962"/>
      <c r="NDB3" s="1962"/>
      <c r="NDC3" s="1962"/>
      <c r="NDD3" s="1962"/>
      <c r="NDE3" s="1962"/>
      <c r="NDF3" s="1962"/>
      <c r="NDG3" s="1962"/>
      <c r="NDH3" s="1962"/>
      <c r="NDI3" s="1962"/>
      <c r="NDJ3" s="1962"/>
      <c r="NDK3" s="1962"/>
      <c r="NDL3" s="1962"/>
      <c r="NDM3" s="1962"/>
      <c r="NDN3" s="1962"/>
      <c r="NDO3" s="1962"/>
      <c r="NDP3" s="1962"/>
      <c r="NDQ3" s="1962"/>
      <c r="NDR3" s="1962"/>
      <c r="NDS3" s="1962"/>
      <c r="NDT3" s="1962"/>
      <c r="NDU3" s="1962"/>
      <c r="NDV3" s="1962"/>
      <c r="NDW3" s="1962"/>
      <c r="NDX3" s="1962"/>
      <c r="NDY3" s="1962"/>
      <c r="NDZ3" s="1962"/>
      <c r="NEA3" s="1962"/>
      <c r="NEB3" s="1962"/>
      <c r="NEC3" s="1962"/>
      <c r="NED3" s="1962"/>
      <c r="NEE3" s="1962"/>
      <c r="NEF3" s="1962"/>
      <c r="NEG3" s="1962"/>
      <c r="NEH3" s="1962"/>
      <c r="NEI3" s="1962"/>
      <c r="NEJ3" s="1962"/>
      <c r="NEK3" s="1962"/>
      <c r="NEL3" s="1962"/>
      <c r="NEM3" s="1962"/>
      <c r="NEN3" s="1962"/>
      <c r="NEO3" s="1962"/>
      <c r="NEP3" s="1962"/>
      <c r="NEQ3" s="1962"/>
      <c r="NER3" s="1962"/>
      <c r="NES3" s="1962"/>
      <c r="NET3" s="1962"/>
      <c r="NEU3" s="1962"/>
      <c r="NEV3" s="1962"/>
      <c r="NEW3" s="1962"/>
      <c r="NEX3" s="1962"/>
      <c r="NEY3" s="1962"/>
      <c r="NEZ3" s="1962"/>
      <c r="NFA3" s="1962"/>
      <c r="NFB3" s="1962"/>
      <c r="NFC3" s="1962"/>
      <c r="NFD3" s="1962"/>
      <c r="NFE3" s="1962"/>
      <c r="NFF3" s="1962"/>
      <c r="NFG3" s="1962"/>
      <c r="NFH3" s="1962"/>
      <c r="NFI3" s="1962"/>
      <c r="NFJ3" s="1962"/>
      <c r="NFK3" s="1962"/>
      <c r="NFL3" s="1962"/>
      <c r="NFM3" s="1962"/>
      <c r="NFN3" s="1962"/>
      <c r="NFO3" s="1962"/>
      <c r="NFP3" s="1962"/>
      <c r="NFQ3" s="1962"/>
      <c r="NFR3" s="1962"/>
      <c r="NFS3" s="1962"/>
      <c r="NFT3" s="1962"/>
      <c r="NFU3" s="1962"/>
      <c r="NFV3" s="1962"/>
      <c r="NFW3" s="1962"/>
      <c r="NFX3" s="1962"/>
      <c r="NFY3" s="1962"/>
      <c r="NFZ3" s="1962"/>
      <c r="NGA3" s="1962"/>
      <c r="NGB3" s="1962"/>
      <c r="NGC3" s="1962"/>
      <c r="NGD3" s="1962"/>
      <c r="NGE3" s="1962"/>
      <c r="NGF3" s="1962"/>
      <c r="NGG3" s="1962"/>
      <c r="NGH3" s="1962"/>
      <c r="NGI3" s="1962"/>
      <c r="NGJ3" s="1962"/>
      <c r="NGK3" s="1962"/>
      <c r="NGL3" s="1962"/>
      <c r="NGM3" s="1962"/>
      <c r="NGN3" s="1962"/>
      <c r="NGO3" s="1962"/>
      <c r="NGP3" s="1962"/>
      <c r="NGQ3" s="1962"/>
      <c r="NGR3" s="1962"/>
      <c r="NGS3" s="1962"/>
      <c r="NGT3" s="1962"/>
      <c r="NGU3" s="1962"/>
      <c r="NGV3" s="1962"/>
      <c r="NGW3" s="1962"/>
      <c r="NGX3" s="1962"/>
      <c r="NGY3" s="1962"/>
      <c r="NGZ3" s="1962"/>
      <c r="NHA3" s="1962"/>
      <c r="NHB3" s="1962"/>
      <c r="NHC3" s="1962"/>
      <c r="NHD3" s="1962"/>
      <c r="NHE3" s="1962"/>
      <c r="NHF3" s="1962"/>
      <c r="NHG3" s="1962"/>
      <c r="NHH3" s="1962"/>
      <c r="NHI3" s="1962"/>
      <c r="NHJ3" s="1962"/>
      <c r="NHK3" s="1962"/>
      <c r="NHL3" s="1962"/>
      <c r="NHM3" s="1962"/>
      <c r="NHN3" s="1962"/>
      <c r="NHO3" s="1962"/>
      <c r="NHP3" s="1962"/>
      <c r="NHQ3" s="1962"/>
      <c r="NHR3" s="1962"/>
      <c r="NHS3" s="1962"/>
      <c r="NHT3" s="1962"/>
      <c r="NHU3" s="1962"/>
      <c r="NHV3" s="1962"/>
      <c r="NHW3" s="1962"/>
      <c r="NHX3" s="1962"/>
      <c r="NHY3" s="1962"/>
      <c r="NHZ3" s="1962"/>
      <c r="NIA3" s="1962"/>
      <c r="NIB3" s="1962"/>
      <c r="NIC3" s="1962"/>
      <c r="NID3" s="1962"/>
      <c r="NIE3" s="1962"/>
      <c r="NIF3" s="1962"/>
      <c r="NIG3" s="1962"/>
      <c r="NIH3" s="1962"/>
      <c r="NII3" s="1962"/>
      <c r="NIJ3" s="1962"/>
      <c r="NIK3" s="1962"/>
      <c r="NIL3" s="1962"/>
      <c r="NIM3" s="1962"/>
      <c r="NIN3" s="1962"/>
      <c r="NIO3" s="1962"/>
      <c r="NIP3" s="1962"/>
      <c r="NIQ3" s="1962"/>
      <c r="NIR3" s="1962"/>
      <c r="NIS3" s="1962"/>
      <c r="NIT3" s="1962"/>
      <c r="NIU3" s="1962"/>
      <c r="NIV3" s="1962"/>
      <c r="NIW3" s="1962"/>
      <c r="NIX3" s="1962"/>
      <c r="NIY3" s="1962"/>
      <c r="NIZ3" s="1962"/>
      <c r="NJA3" s="1962"/>
      <c r="NJB3" s="1962"/>
      <c r="NJC3" s="1962"/>
      <c r="NJD3" s="1962"/>
      <c r="NJE3" s="1962"/>
      <c r="NJF3" s="1962"/>
      <c r="NJG3" s="1962"/>
      <c r="NJH3" s="1962"/>
      <c r="NJI3" s="1962"/>
      <c r="NJJ3" s="1962"/>
      <c r="NJK3" s="1962"/>
      <c r="NJL3" s="1962"/>
      <c r="NJM3" s="1962"/>
      <c r="NJN3" s="1962"/>
      <c r="NJO3" s="1962"/>
      <c r="NJP3" s="1962"/>
      <c r="NJQ3" s="1962"/>
      <c r="NJR3" s="1962"/>
      <c r="NJS3" s="1962"/>
      <c r="NJT3" s="1962"/>
      <c r="NJU3" s="1962"/>
      <c r="NJV3" s="1962"/>
      <c r="NJW3" s="1962"/>
      <c r="NJX3" s="1962"/>
      <c r="NJY3" s="1962"/>
      <c r="NJZ3" s="1962"/>
      <c r="NKA3" s="1962"/>
      <c r="NKB3" s="1962"/>
      <c r="NKC3" s="1962"/>
      <c r="NKD3" s="1962"/>
      <c r="NKE3" s="1962"/>
      <c r="NKF3" s="1962"/>
      <c r="NKG3" s="1962"/>
      <c r="NKH3" s="1962"/>
      <c r="NKI3" s="1962"/>
      <c r="NKJ3" s="1962"/>
      <c r="NKK3" s="1962"/>
      <c r="NKL3" s="1962"/>
      <c r="NKM3" s="1962"/>
      <c r="NKN3" s="1962"/>
      <c r="NKO3" s="1962"/>
      <c r="NKP3" s="1962"/>
      <c r="NKQ3" s="1962"/>
      <c r="NKR3" s="1962"/>
      <c r="NKS3" s="1962"/>
      <c r="NKT3" s="1962"/>
      <c r="NKU3" s="1962"/>
      <c r="NKV3" s="1962"/>
      <c r="NKW3" s="1962"/>
      <c r="NKX3" s="1962"/>
      <c r="NKY3" s="1962"/>
      <c r="NKZ3" s="1962"/>
      <c r="NLA3" s="1962"/>
      <c r="NLB3" s="1962"/>
      <c r="NLC3" s="1962"/>
      <c r="NLD3" s="1962"/>
      <c r="NLE3" s="1962"/>
      <c r="NLF3" s="1962"/>
      <c r="NLG3" s="1962"/>
      <c r="NLH3" s="1962"/>
      <c r="NLI3" s="1962"/>
      <c r="NLJ3" s="1962"/>
      <c r="NLK3" s="1962"/>
      <c r="NLL3" s="1962"/>
      <c r="NLM3" s="1962"/>
      <c r="NLN3" s="1962"/>
      <c r="NLO3" s="1962"/>
      <c r="NLP3" s="1962"/>
      <c r="NLQ3" s="1962"/>
      <c r="NLR3" s="1962"/>
      <c r="NLS3" s="1962"/>
      <c r="NLT3" s="1962"/>
      <c r="NLU3" s="1962"/>
      <c r="NLV3" s="1962"/>
      <c r="NLW3" s="1962"/>
      <c r="NLX3" s="1962"/>
      <c r="NLY3" s="1962"/>
      <c r="NLZ3" s="1962"/>
      <c r="NMA3" s="1962"/>
      <c r="NMB3" s="1962"/>
      <c r="NMC3" s="1962"/>
      <c r="NMD3" s="1962"/>
      <c r="NME3" s="1962"/>
      <c r="NMF3" s="1962"/>
      <c r="NMG3" s="1962"/>
      <c r="NMH3" s="1962"/>
      <c r="NMI3" s="1962"/>
      <c r="NMJ3" s="1962"/>
      <c r="NMK3" s="1962"/>
      <c r="NML3" s="1962"/>
      <c r="NMM3" s="1962"/>
      <c r="NMN3" s="1962"/>
      <c r="NMO3" s="1962"/>
      <c r="NMP3" s="1962"/>
      <c r="NMQ3" s="1962"/>
      <c r="NMR3" s="1962"/>
      <c r="NMS3" s="1962"/>
      <c r="NMT3" s="1962"/>
      <c r="NMU3" s="1962"/>
      <c r="NMV3" s="1962"/>
      <c r="NMW3" s="1962"/>
      <c r="NMX3" s="1962"/>
      <c r="NMY3" s="1962"/>
      <c r="NMZ3" s="1962"/>
      <c r="NNA3" s="1962"/>
      <c r="NNB3" s="1962"/>
      <c r="NNC3" s="1962"/>
      <c r="NND3" s="1962"/>
      <c r="NNE3" s="1962"/>
      <c r="NNF3" s="1962"/>
      <c r="NNG3" s="1962"/>
      <c r="NNH3" s="1962"/>
      <c r="NNI3" s="1962"/>
      <c r="NNJ3" s="1962"/>
      <c r="NNK3" s="1962"/>
      <c r="NNL3" s="1962"/>
      <c r="NNM3" s="1962"/>
      <c r="NNN3" s="1962"/>
      <c r="NNO3" s="1962"/>
      <c r="NNP3" s="1962"/>
      <c r="NNQ3" s="1962"/>
      <c r="NNR3" s="1962"/>
      <c r="NNS3" s="1962"/>
      <c r="NNT3" s="1962"/>
      <c r="NNU3" s="1962"/>
      <c r="NNV3" s="1962"/>
      <c r="NNW3" s="1962"/>
      <c r="NNX3" s="1962"/>
      <c r="NNY3" s="1962"/>
      <c r="NNZ3" s="1962"/>
      <c r="NOA3" s="1962"/>
      <c r="NOB3" s="1962"/>
      <c r="NOC3" s="1962"/>
      <c r="NOD3" s="1962"/>
      <c r="NOE3" s="1962"/>
      <c r="NOF3" s="1962"/>
      <c r="NOG3" s="1962"/>
      <c r="NOH3" s="1962"/>
      <c r="NOI3" s="1962"/>
      <c r="NOJ3" s="1962"/>
      <c r="NOK3" s="1962"/>
      <c r="NOL3" s="1962"/>
      <c r="NOM3" s="1962"/>
      <c r="NON3" s="1962"/>
      <c r="NOO3" s="1962"/>
      <c r="NOP3" s="1962"/>
      <c r="NOQ3" s="1962"/>
      <c r="NOR3" s="1962"/>
      <c r="NOS3" s="1962"/>
      <c r="NOT3" s="1962"/>
      <c r="NOU3" s="1962"/>
      <c r="NOV3" s="1962"/>
      <c r="NOW3" s="1962"/>
      <c r="NOX3" s="1962"/>
      <c r="NOY3" s="1962"/>
      <c r="NOZ3" s="1962"/>
      <c r="NPA3" s="1962"/>
      <c r="NPB3" s="1962"/>
      <c r="NPC3" s="1962"/>
      <c r="NPD3" s="1962"/>
      <c r="NPE3" s="1962"/>
      <c r="NPF3" s="1962"/>
      <c r="NPG3" s="1962"/>
      <c r="NPH3" s="1962"/>
      <c r="NPI3" s="1962"/>
      <c r="NPJ3" s="1962"/>
      <c r="NPK3" s="1962"/>
      <c r="NPL3" s="1962"/>
      <c r="NPM3" s="1962"/>
      <c r="NPN3" s="1962"/>
      <c r="NPO3" s="1962"/>
      <c r="NPP3" s="1962"/>
      <c r="NPQ3" s="1962"/>
      <c r="NPR3" s="1962"/>
      <c r="NPS3" s="1962"/>
      <c r="NPT3" s="1962"/>
      <c r="NPU3" s="1962"/>
      <c r="NPV3" s="1962"/>
      <c r="NPW3" s="1962"/>
      <c r="NPX3" s="1962"/>
      <c r="NPY3" s="1962"/>
      <c r="NPZ3" s="1962"/>
      <c r="NQA3" s="1962"/>
      <c r="NQB3" s="1962"/>
      <c r="NQC3" s="1962"/>
      <c r="NQD3" s="1962"/>
      <c r="NQE3" s="1962"/>
      <c r="NQF3" s="1962"/>
      <c r="NQG3" s="1962"/>
      <c r="NQH3" s="1962"/>
      <c r="NQI3" s="1962"/>
      <c r="NQJ3" s="1962"/>
      <c r="NQK3" s="1962"/>
      <c r="NQL3" s="1962"/>
      <c r="NQM3" s="1962"/>
      <c r="NQN3" s="1962"/>
      <c r="NQO3" s="1962"/>
      <c r="NQP3" s="1962"/>
      <c r="NQQ3" s="1962"/>
      <c r="NQR3" s="1962"/>
      <c r="NQS3" s="1962"/>
      <c r="NQT3" s="1962"/>
      <c r="NQU3" s="1962"/>
      <c r="NQV3" s="1962"/>
      <c r="NQW3" s="1962"/>
      <c r="NQX3" s="1962"/>
      <c r="NQY3" s="1962"/>
      <c r="NQZ3" s="1962"/>
      <c r="NRA3" s="1962"/>
      <c r="NRB3" s="1962"/>
      <c r="NRC3" s="1962"/>
      <c r="NRD3" s="1962"/>
      <c r="NRE3" s="1962"/>
      <c r="NRF3" s="1962"/>
      <c r="NRG3" s="1962"/>
      <c r="NRH3" s="1962"/>
      <c r="NRI3" s="1962"/>
      <c r="NRJ3" s="1962"/>
      <c r="NRK3" s="1962"/>
      <c r="NRL3" s="1962"/>
      <c r="NRM3" s="1962"/>
      <c r="NRN3" s="1962"/>
      <c r="NRO3" s="1962"/>
      <c r="NRP3" s="1962"/>
      <c r="NRQ3" s="1962"/>
      <c r="NRR3" s="1962"/>
      <c r="NRS3" s="1962"/>
      <c r="NRT3" s="1962"/>
      <c r="NRU3" s="1962"/>
      <c r="NRV3" s="1962"/>
      <c r="NRW3" s="1962"/>
      <c r="NRX3" s="1962"/>
      <c r="NRY3" s="1962"/>
      <c r="NRZ3" s="1962"/>
      <c r="NSA3" s="1962"/>
      <c r="NSB3" s="1962"/>
      <c r="NSC3" s="1962"/>
      <c r="NSD3" s="1962"/>
      <c r="NSE3" s="1962"/>
      <c r="NSF3" s="1962"/>
      <c r="NSG3" s="1962"/>
      <c r="NSH3" s="1962"/>
      <c r="NSI3" s="1962"/>
      <c r="NSJ3" s="1962"/>
      <c r="NSK3" s="1962"/>
      <c r="NSL3" s="1962"/>
      <c r="NSM3" s="1962"/>
      <c r="NSN3" s="1962"/>
      <c r="NSO3" s="1962"/>
      <c r="NSP3" s="1962"/>
      <c r="NSQ3" s="1962"/>
      <c r="NSR3" s="1962"/>
      <c r="NSS3" s="1962"/>
      <c r="NST3" s="1962"/>
      <c r="NSU3" s="1962"/>
      <c r="NSV3" s="1962"/>
      <c r="NSW3" s="1962"/>
      <c r="NSX3" s="1962"/>
      <c r="NSY3" s="1962"/>
      <c r="NSZ3" s="1962"/>
      <c r="NTA3" s="1962"/>
      <c r="NTB3" s="1962"/>
      <c r="NTC3" s="1962"/>
      <c r="NTD3" s="1962"/>
      <c r="NTE3" s="1962"/>
      <c r="NTF3" s="1962"/>
      <c r="NTG3" s="1962"/>
      <c r="NTH3" s="1962"/>
      <c r="NTI3" s="1962"/>
      <c r="NTJ3" s="1962"/>
      <c r="NTK3" s="1962"/>
      <c r="NTL3" s="1962"/>
      <c r="NTM3" s="1962"/>
      <c r="NTN3" s="1962"/>
      <c r="NTO3" s="1962"/>
      <c r="NTP3" s="1962"/>
      <c r="NTQ3" s="1962"/>
      <c r="NTR3" s="1962"/>
      <c r="NTS3" s="1962"/>
      <c r="NTT3" s="1962"/>
      <c r="NTU3" s="1962"/>
      <c r="NTV3" s="1962"/>
      <c r="NTW3" s="1962"/>
      <c r="NTX3" s="1962"/>
      <c r="NTY3" s="1962"/>
      <c r="NTZ3" s="1962"/>
      <c r="NUA3" s="1962"/>
      <c r="NUB3" s="1962"/>
      <c r="NUC3" s="1962"/>
      <c r="NUD3" s="1962"/>
      <c r="NUE3" s="1962"/>
      <c r="NUF3" s="1962"/>
      <c r="NUG3" s="1962"/>
      <c r="NUH3" s="1962"/>
      <c r="NUI3" s="1962"/>
      <c r="NUJ3" s="1962"/>
      <c r="NUK3" s="1962"/>
      <c r="NUL3" s="1962"/>
      <c r="NUM3" s="1962"/>
      <c r="NUN3" s="1962"/>
      <c r="NUO3" s="1962"/>
      <c r="NUP3" s="1962"/>
      <c r="NUQ3" s="1962"/>
      <c r="NUR3" s="1962"/>
      <c r="NUS3" s="1962"/>
      <c r="NUT3" s="1962"/>
      <c r="NUU3" s="1962"/>
      <c r="NUV3" s="1962"/>
      <c r="NUW3" s="1962"/>
      <c r="NUX3" s="1962"/>
      <c r="NUY3" s="1962"/>
      <c r="NUZ3" s="1962"/>
      <c r="NVA3" s="1962"/>
      <c r="NVB3" s="1962"/>
      <c r="NVC3" s="1962"/>
      <c r="NVD3" s="1962"/>
      <c r="NVE3" s="1962"/>
      <c r="NVF3" s="1962"/>
      <c r="NVG3" s="1962"/>
      <c r="NVH3" s="1962"/>
      <c r="NVI3" s="1962"/>
      <c r="NVJ3" s="1962"/>
      <c r="NVK3" s="1962"/>
      <c r="NVL3" s="1962"/>
      <c r="NVM3" s="1962"/>
      <c r="NVN3" s="1962"/>
      <c r="NVO3" s="1962"/>
      <c r="NVP3" s="1962"/>
      <c r="NVQ3" s="1962"/>
      <c r="NVR3" s="1962"/>
      <c r="NVS3" s="1962"/>
      <c r="NVT3" s="1962"/>
      <c r="NVU3" s="1962"/>
      <c r="NVV3" s="1962"/>
      <c r="NVW3" s="1962"/>
      <c r="NVX3" s="1962"/>
      <c r="NVY3" s="1962"/>
      <c r="NVZ3" s="1962"/>
      <c r="NWA3" s="1962"/>
      <c r="NWB3" s="1962"/>
      <c r="NWC3" s="1962"/>
      <c r="NWD3" s="1962"/>
      <c r="NWE3" s="1962"/>
      <c r="NWF3" s="1962"/>
      <c r="NWG3" s="1962"/>
      <c r="NWH3" s="1962"/>
      <c r="NWI3" s="1962"/>
      <c r="NWJ3" s="1962"/>
      <c r="NWK3" s="1962"/>
      <c r="NWL3" s="1962"/>
      <c r="NWM3" s="1962"/>
      <c r="NWN3" s="1962"/>
      <c r="NWO3" s="1962"/>
      <c r="NWP3" s="1962"/>
      <c r="NWQ3" s="1962"/>
      <c r="NWR3" s="1962"/>
      <c r="NWS3" s="1962"/>
      <c r="NWT3" s="1962"/>
      <c r="NWU3" s="1962"/>
      <c r="NWV3" s="1962"/>
      <c r="NWW3" s="1962"/>
      <c r="NWX3" s="1962"/>
      <c r="NWY3" s="1962"/>
      <c r="NWZ3" s="1962"/>
      <c r="NXA3" s="1962"/>
      <c r="NXB3" s="1962"/>
      <c r="NXC3" s="1962"/>
      <c r="NXD3" s="1962"/>
      <c r="NXE3" s="1962"/>
      <c r="NXF3" s="1962"/>
      <c r="NXG3" s="1962"/>
      <c r="NXH3" s="1962"/>
      <c r="NXI3" s="1962"/>
      <c r="NXJ3" s="1962"/>
      <c r="NXK3" s="1962"/>
      <c r="NXL3" s="1962"/>
      <c r="NXM3" s="1962"/>
      <c r="NXN3" s="1962"/>
      <c r="NXO3" s="1962"/>
      <c r="NXP3" s="1962"/>
      <c r="NXQ3" s="1962"/>
      <c r="NXR3" s="1962"/>
      <c r="NXS3" s="1962"/>
      <c r="NXT3" s="1962"/>
      <c r="NXU3" s="1962"/>
      <c r="NXV3" s="1962"/>
      <c r="NXW3" s="1962"/>
      <c r="NXX3" s="1962"/>
      <c r="NXY3" s="1962"/>
      <c r="NXZ3" s="1962"/>
      <c r="NYA3" s="1962"/>
      <c r="NYB3" s="1962"/>
      <c r="NYC3" s="1962"/>
      <c r="NYD3" s="1962"/>
      <c r="NYE3" s="1962"/>
      <c r="NYF3" s="1962"/>
      <c r="NYG3" s="1962"/>
      <c r="NYH3" s="1962"/>
      <c r="NYI3" s="1962"/>
      <c r="NYJ3" s="1962"/>
      <c r="NYK3" s="1962"/>
      <c r="NYL3" s="1962"/>
      <c r="NYM3" s="1962"/>
      <c r="NYN3" s="1962"/>
      <c r="NYO3" s="1962"/>
      <c r="NYP3" s="1962"/>
      <c r="NYQ3" s="1962"/>
      <c r="NYR3" s="1962"/>
      <c r="NYS3" s="1962"/>
      <c r="NYT3" s="1962"/>
      <c r="NYU3" s="1962"/>
      <c r="NYV3" s="1962"/>
      <c r="NYW3" s="1962"/>
      <c r="NYX3" s="1962"/>
      <c r="NYY3" s="1962"/>
      <c r="NYZ3" s="1962"/>
      <c r="NZA3" s="1962"/>
      <c r="NZB3" s="1962"/>
      <c r="NZC3" s="1962"/>
      <c r="NZD3" s="1962"/>
      <c r="NZE3" s="1962"/>
      <c r="NZF3" s="1962"/>
      <c r="NZG3" s="1962"/>
      <c r="NZH3" s="1962"/>
      <c r="NZI3" s="1962"/>
      <c r="NZJ3" s="1962"/>
      <c r="NZK3" s="1962"/>
      <c r="NZL3" s="1962"/>
      <c r="NZM3" s="1962"/>
      <c r="NZN3" s="1962"/>
      <c r="NZO3" s="1962"/>
      <c r="NZP3" s="1962"/>
      <c r="NZQ3" s="1962"/>
      <c r="NZR3" s="1962"/>
      <c r="NZS3" s="1962"/>
      <c r="NZT3" s="1962"/>
      <c r="NZU3" s="1962"/>
      <c r="NZV3" s="1962"/>
      <c r="NZW3" s="1962"/>
      <c r="NZX3" s="1962"/>
      <c r="NZY3" s="1962"/>
      <c r="NZZ3" s="1962"/>
      <c r="OAA3" s="1962"/>
      <c r="OAB3" s="1962"/>
      <c r="OAC3" s="1962"/>
      <c r="OAD3" s="1962"/>
      <c r="OAE3" s="1962"/>
      <c r="OAF3" s="1962"/>
      <c r="OAG3" s="1962"/>
      <c r="OAH3" s="1962"/>
      <c r="OAI3" s="1962"/>
      <c r="OAJ3" s="1962"/>
      <c r="OAK3" s="1962"/>
      <c r="OAL3" s="1962"/>
      <c r="OAM3" s="1962"/>
      <c r="OAN3" s="1962"/>
      <c r="OAO3" s="1962"/>
      <c r="OAP3" s="1962"/>
      <c r="OAQ3" s="1962"/>
      <c r="OAR3" s="1962"/>
      <c r="OAS3" s="1962"/>
      <c r="OAT3" s="1962"/>
      <c r="OAU3" s="1962"/>
      <c r="OAV3" s="1962"/>
      <c r="OAW3" s="1962"/>
      <c r="OAX3" s="1962"/>
      <c r="OAY3" s="1962"/>
      <c r="OAZ3" s="1962"/>
      <c r="OBA3" s="1962"/>
      <c r="OBB3" s="1962"/>
      <c r="OBC3" s="1962"/>
      <c r="OBD3" s="1962"/>
      <c r="OBE3" s="1962"/>
      <c r="OBF3" s="1962"/>
      <c r="OBG3" s="1962"/>
      <c r="OBH3" s="1962"/>
      <c r="OBI3" s="1962"/>
      <c r="OBJ3" s="1962"/>
      <c r="OBK3" s="1962"/>
      <c r="OBL3" s="1962"/>
      <c r="OBM3" s="1962"/>
      <c r="OBN3" s="1962"/>
      <c r="OBO3" s="1962"/>
      <c r="OBP3" s="1962"/>
      <c r="OBQ3" s="1962"/>
      <c r="OBR3" s="1962"/>
      <c r="OBS3" s="1962"/>
      <c r="OBT3" s="1962"/>
      <c r="OBU3" s="1962"/>
      <c r="OBV3" s="1962"/>
      <c r="OBW3" s="1962"/>
      <c r="OBX3" s="1962"/>
      <c r="OBY3" s="1962"/>
      <c r="OBZ3" s="1962"/>
      <c r="OCA3" s="1962"/>
      <c r="OCB3" s="1962"/>
      <c r="OCC3" s="1962"/>
      <c r="OCD3" s="1962"/>
      <c r="OCE3" s="1962"/>
      <c r="OCF3" s="1962"/>
      <c r="OCG3" s="1962"/>
      <c r="OCH3" s="1962"/>
      <c r="OCI3" s="1962"/>
      <c r="OCJ3" s="1962"/>
      <c r="OCK3" s="1962"/>
      <c r="OCL3" s="1962"/>
      <c r="OCM3" s="1962"/>
      <c r="OCN3" s="1962"/>
      <c r="OCO3" s="1962"/>
      <c r="OCP3" s="1962"/>
      <c r="OCQ3" s="1962"/>
      <c r="OCR3" s="1962"/>
      <c r="OCS3" s="1962"/>
      <c r="OCT3" s="1962"/>
      <c r="OCU3" s="1962"/>
      <c r="OCV3" s="1962"/>
      <c r="OCW3" s="1962"/>
      <c r="OCX3" s="1962"/>
      <c r="OCY3" s="1962"/>
      <c r="OCZ3" s="1962"/>
      <c r="ODA3" s="1962"/>
      <c r="ODB3" s="1962"/>
      <c r="ODC3" s="1962"/>
      <c r="ODD3" s="1962"/>
      <c r="ODE3" s="1962"/>
      <c r="ODF3" s="1962"/>
      <c r="ODG3" s="1962"/>
      <c r="ODH3" s="1962"/>
      <c r="ODI3" s="1962"/>
      <c r="ODJ3" s="1962"/>
      <c r="ODK3" s="1962"/>
      <c r="ODL3" s="1962"/>
      <c r="ODM3" s="1962"/>
      <c r="ODN3" s="1962"/>
      <c r="ODO3" s="1962"/>
      <c r="ODP3" s="1962"/>
      <c r="ODQ3" s="1962"/>
      <c r="ODR3" s="1962"/>
      <c r="ODS3" s="1962"/>
      <c r="ODT3" s="1962"/>
      <c r="ODU3" s="1962"/>
      <c r="ODV3" s="1962"/>
      <c r="ODW3" s="1962"/>
      <c r="ODX3" s="1962"/>
      <c r="ODY3" s="1962"/>
      <c r="ODZ3" s="1962"/>
      <c r="OEA3" s="1962"/>
      <c r="OEB3" s="1962"/>
      <c r="OEC3" s="1962"/>
      <c r="OED3" s="1962"/>
      <c r="OEE3" s="1962"/>
      <c r="OEF3" s="1962"/>
      <c r="OEG3" s="1962"/>
      <c r="OEH3" s="1962"/>
      <c r="OEI3" s="1962"/>
      <c r="OEJ3" s="1962"/>
      <c r="OEK3" s="1962"/>
      <c r="OEL3" s="1962"/>
      <c r="OEM3" s="1962"/>
      <c r="OEN3" s="1962"/>
      <c r="OEO3" s="1962"/>
      <c r="OEP3" s="1962"/>
      <c r="OEQ3" s="1962"/>
      <c r="OER3" s="1962"/>
      <c r="OES3" s="1962"/>
      <c r="OET3" s="1962"/>
      <c r="OEU3" s="1962"/>
      <c r="OEV3" s="1962"/>
      <c r="OEW3" s="1962"/>
      <c r="OEX3" s="1962"/>
      <c r="OEY3" s="1962"/>
      <c r="OEZ3" s="1962"/>
      <c r="OFA3" s="1962"/>
      <c r="OFB3" s="1962"/>
      <c r="OFC3" s="1962"/>
      <c r="OFD3" s="1962"/>
      <c r="OFE3" s="1962"/>
      <c r="OFF3" s="1962"/>
      <c r="OFG3" s="1962"/>
      <c r="OFH3" s="1962"/>
      <c r="OFI3" s="1962"/>
      <c r="OFJ3" s="1962"/>
      <c r="OFK3" s="1962"/>
      <c r="OFL3" s="1962"/>
      <c r="OFM3" s="1962"/>
      <c r="OFN3" s="1962"/>
      <c r="OFO3" s="1962"/>
      <c r="OFP3" s="1962"/>
      <c r="OFQ3" s="1962"/>
      <c r="OFR3" s="1962"/>
      <c r="OFS3" s="1962"/>
      <c r="OFT3" s="1962"/>
      <c r="OFU3" s="1962"/>
      <c r="OFV3" s="1962"/>
      <c r="OFW3" s="1962"/>
      <c r="OFX3" s="1962"/>
      <c r="OFY3" s="1962"/>
      <c r="OFZ3" s="1962"/>
      <c r="OGA3" s="1962"/>
      <c r="OGB3" s="1962"/>
      <c r="OGC3" s="1962"/>
      <c r="OGD3" s="1962"/>
      <c r="OGE3" s="1962"/>
      <c r="OGF3" s="1962"/>
      <c r="OGG3" s="1962"/>
      <c r="OGH3" s="1962"/>
      <c r="OGI3" s="1962"/>
      <c r="OGJ3" s="1962"/>
      <c r="OGK3" s="1962"/>
      <c r="OGL3" s="1962"/>
      <c r="OGM3" s="1962"/>
      <c r="OGN3" s="1962"/>
      <c r="OGO3" s="1962"/>
      <c r="OGP3" s="1962"/>
      <c r="OGQ3" s="1962"/>
      <c r="OGR3" s="1962"/>
      <c r="OGS3" s="1962"/>
      <c r="OGT3" s="1962"/>
      <c r="OGU3" s="1962"/>
      <c r="OGV3" s="1962"/>
      <c r="OGW3" s="1962"/>
      <c r="OGX3" s="1962"/>
      <c r="OGY3" s="1962"/>
      <c r="OGZ3" s="1962"/>
      <c r="OHA3" s="1962"/>
      <c r="OHB3" s="1962"/>
      <c r="OHC3" s="1962"/>
      <c r="OHD3" s="1962"/>
      <c r="OHE3" s="1962"/>
      <c r="OHF3" s="1962"/>
      <c r="OHG3" s="1962"/>
      <c r="OHH3" s="1962"/>
      <c r="OHI3" s="1962"/>
      <c r="OHJ3" s="1962"/>
      <c r="OHK3" s="1962"/>
      <c r="OHL3" s="1962"/>
      <c r="OHM3" s="1962"/>
      <c r="OHN3" s="1962"/>
      <c r="OHO3" s="1962"/>
      <c r="OHP3" s="1962"/>
      <c r="OHQ3" s="1962"/>
      <c r="OHR3" s="1962"/>
      <c r="OHS3" s="1962"/>
      <c r="OHT3" s="1962"/>
      <c r="OHU3" s="1962"/>
      <c r="OHV3" s="1962"/>
      <c r="OHW3" s="1962"/>
      <c r="OHX3" s="1962"/>
      <c r="OHY3" s="1962"/>
      <c r="OHZ3" s="1962"/>
      <c r="OIA3" s="1962"/>
      <c r="OIB3" s="1962"/>
      <c r="OIC3" s="1962"/>
      <c r="OID3" s="1962"/>
      <c r="OIE3" s="1962"/>
      <c r="OIF3" s="1962"/>
      <c r="OIG3" s="1962"/>
      <c r="OIH3" s="1962"/>
      <c r="OII3" s="1962"/>
      <c r="OIJ3" s="1962"/>
      <c r="OIK3" s="1962"/>
      <c r="OIL3" s="1962"/>
      <c r="OIM3" s="1962"/>
      <c r="OIN3" s="1962"/>
      <c r="OIO3" s="1962"/>
      <c r="OIP3" s="1962"/>
      <c r="OIQ3" s="1962"/>
      <c r="OIR3" s="1962"/>
      <c r="OIS3" s="1962"/>
      <c r="OIT3" s="1962"/>
      <c r="OIU3" s="1962"/>
      <c r="OIV3" s="1962"/>
      <c r="OIW3" s="1962"/>
      <c r="OIX3" s="1962"/>
      <c r="OIY3" s="1962"/>
      <c r="OIZ3" s="1962"/>
      <c r="OJA3" s="1962"/>
      <c r="OJB3" s="1962"/>
      <c r="OJC3" s="1962"/>
      <c r="OJD3" s="1962"/>
      <c r="OJE3" s="1962"/>
      <c r="OJF3" s="1962"/>
      <c r="OJG3" s="1962"/>
      <c r="OJH3" s="1962"/>
      <c r="OJI3" s="1962"/>
      <c r="OJJ3" s="1962"/>
      <c r="OJK3" s="1962"/>
      <c r="OJL3" s="1962"/>
      <c r="OJM3" s="1962"/>
      <c r="OJN3" s="1962"/>
      <c r="OJO3" s="1962"/>
      <c r="OJP3" s="1962"/>
      <c r="OJQ3" s="1962"/>
      <c r="OJR3" s="1962"/>
      <c r="OJS3" s="1962"/>
      <c r="OJT3" s="1962"/>
      <c r="OJU3" s="1962"/>
      <c r="OJV3" s="1962"/>
      <c r="OJW3" s="1962"/>
      <c r="OJX3" s="1962"/>
      <c r="OJY3" s="1962"/>
      <c r="OJZ3" s="1962"/>
      <c r="OKA3" s="1962"/>
      <c r="OKB3" s="1962"/>
      <c r="OKC3" s="1962"/>
      <c r="OKD3" s="1962"/>
      <c r="OKE3" s="1962"/>
      <c r="OKF3" s="1962"/>
      <c r="OKG3" s="1962"/>
      <c r="OKH3" s="1962"/>
      <c r="OKI3" s="1962"/>
      <c r="OKJ3" s="1962"/>
      <c r="OKK3" s="1962"/>
      <c r="OKL3" s="1962"/>
      <c r="OKM3" s="1962"/>
      <c r="OKN3" s="1962"/>
      <c r="OKO3" s="1962"/>
      <c r="OKP3" s="1962"/>
      <c r="OKQ3" s="1962"/>
      <c r="OKR3" s="1962"/>
      <c r="OKS3" s="1962"/>
      <c r="OKT3" s="1962"/>
      <c r="OKU3" s="1962"/>
      <c r="OKV3" s="1962"/>
      <c r="OKW3" s="1962"/>
      <c r="OKX3" s="1962"/>
      <c r="OKY3" s="1962"/>
      <c r="OKZ3" s="1962"/>
      <c r="OLA3" s="1962"/>
      <c r="OLB3" s="1962"/>
      <c r="OLC3" s="1962"/>
      <c r="OLD3" s="1962"/>
      <c r="OLE3" s="1962"/>
      <c r="OLF3" s="1962"/>
      <c r="OLG3" s="1962"/>
      <c r="OLH3" s="1962"/>
      <c r="OLI3" s="1962"/>
      <c r="OLJ3" s="1962"/>
      <c r="OLK3" s="1962"/>
      <c r="OLL3" s="1962"/>
      <c r="OLM3" s="1962"/>
      <c r="OLN3" s="1962"/>
      <c r="OLO3" s="1962"/>
      <c r="OLP3" s="1962"/>
      <c r="OLQ3" s="1962"/>
      <c r="OLR3" s="1962"/>
      <c r="OLS3" s="1962"/>
      <c r="OLT3" s="1962"/>
      <c r="OLU3" s="1962"/>
      <c r="OLV3" s="1962"/>
      <c r="OLW3" s="1962"/>
      <c r="OLX3" s="1962"/>
      <c r="OLY3" s="1962"/>
      <c r="OLZ3" s="1962"/>
      <c r="OMA3" s="1962"/>
      <c r="OMB3" s="1962"/>
      <c r="OMC3" s="1962"/>
      <c r="OMD3" s="1962"/>
      <c r="OME3" s="1962"/>
      <c r="OMF3" s="1962"/>
      <c r="OMG3" s="1962"/>
      <c r="OMH3" s="1962"/>
      <c r="OMI3" s="1962"/>
      <c r="OMJ3" s="1962"/>
      <c r="OMK3" s="1962"/>
      <c r="OML3" s="1962"/>
      <c r="OMM3" s="1962"/>
      <c r="OMN3" s="1962"/>
      <c r="OMO3" s="1962"/>
      <c r="OMP3" s="1962"/>
      <c r="OMQ3" s="1962"/>
      <c r="OMR3" s="1962"/>
      <c r="OMS3" s="1962"/>
      <c r="OMT3" s="1962"/>
      <c r="OMU3" s="1962"/>
      <c r="OMV3" s="1962"/>
      <c r="OMW3" s="1962"/>
      <c r="OMX3" s="1962"/>
      <c r="OMY3" s="1962"/>
      <c r="OMZ3" s="1962"/>
      <c r="ONA3" s="1962"/>
      <c r="ONB3" s="1962"/>
      <c r="ONC3" s="1962"/>
      <c r="OND3" s="1962"/>
      <c r="ONE3" s="1962"/>
      <c r="ONF3" s="1962"/>
      <c r="ONG3" s="1962"/>
      <c r="ONH3" s="1962"/>
      <c r="ONI3" s="1962"/>
      <c r="ONJ3" s="1962"/>
      <c r="ONK3" s="1962"/>
      <c r="ONL3" s="1962"/>
      <c r="ONM3" s="1962"/>
      <c r="ONN3" s="1962"/>
      <c r="ONO3" s="1962"/>
      <c r="ONP3" s="1962"/>
      <c r="ONQ3" s="1962"/>
      <c r="ONR3" s="1962"/>
      <c r="ONS3" s="1962"/>
      <c r="ONT3" s="1962"/>
      <c r="ONU3" s="1962"/>
      <c r="ONV3" s="1962"/>
      <c r="ONW3" s="1962"/>
      <c r="ONX3" s="1962"/>
      <c r="ONY3" s="1962"/>
      <c r="ONZ3" s="1962"/>
      <c r="OOA3" s="1962"/>
      <c r="OOB3" s="1962"/>
      <c r="OOC3" s="1962"/>
      <c r="OOD3" s="1962"/>
      <c r="OOE3" s="1962"/>
      <c r="OOF3" s="1962"/>
      <c r="OOG3" s="1962"/>
      <c r="OOH3" s="1962"/>
      <c r="OOI3" s="1962"/>
      <c r="OOJ3" s="1962"/>
      <c r="OOK3" s="1962"/>
      <c r="OOL3" s="1962"/>
      <c r="OOM3" s="1962"/>
      <c r="OON3" s="1962"/>
      <c r="OOO3" s="1962"/>
      <c r="OOP3" s="1962"/>
      <c r="OOQ3" s="1962"/>
      <c r="OOR3" s="1962"/>
      <c r="OOS3" s="1962"/>
      <c r="OOT3" s="1962"/>
      <c r="OOU3" s="1962"/>
      <c r="OOV3" s="1962"/>
      <c r="OOW3" s="1962"/>
      <c r="OOX3" s="1962"/>
      <c r="OOY3" s="1962"/>
      <c r="OOZ3" s="1962"/>
      <c r="OPA3" s="1962"/>
      <c r="OPB3" s="1962"/>
      <c r="OPC3" s="1962"/>
      <c r="OPD3" s="1962"/>
      <c r="OPE3" s="1962"/>
      <c r="OPF3" s="1962"/>
      <c r="OPG3" s="1962"/>
      <c r="OPH3" s="1962"/>
      <c r="OPI3" s="1962"/>
      <c r="OPJ3" s="1962"/>
      <c r="OPK3" s="1962"/>
      <c r="OPL3" s="1962"/>
      <c r="OPM3" s="1962"/>
      <c r="OPN3" s="1962"/>
      <c r="OPO3" s="1962"/>
      <c r="OPP3" s="1962"/>
      <c r="OPQ3" s="1962"/>
      <c r="OPR3" s="1962"/>
      <c r="OPS3" s="1962"/>
      <c r="OPT3" s="1962"/>
      <c r="OPU3" s="1962"/>
      <c r="OPV3" s="1962"/>
      <c r="OPW3" s="1962"/>
      <c r="OPX3" s="1962"/>
      <c r="OPY3" s="1962"/>
      <c r="OPZ3" s="1962"/>
      <c r="OQA3" s="1962"/>
      <c r="OQB3" s="1962"/>
      <c r="OQC3" s="1962"/>
      <c r="OQD3" s="1962"/>
      <c r="OQE3" s="1962"/>
      <c r="OQF3" s="1962"/>
      <c r="OQG3" s="1962"/>
      <c r="OQH3" s="1962"/>
      <c r="OQI3" s="1962"/>
      <c r="OQJ3" s="1962"/>
      <c r="OQK3" s="1962"/>
      <c r="OQL3" s="1962"/>
      <c r="OQM3" s="1962"/>
      <c r="OQN3" s="1962"/>
      <c r="OQO3" s="1962"/>
      <c r="OQP3" s="1962"/>
      <c r="OQQ3" s="1962"/>
      <c r="OQR3" s="1962"/>
      <c r="OQS3" s="1962"/>
      <c r="OQT3" s="1962"/>
      <c r="OQU3" s="1962"/>
      <c r="OQV3" s="1962"/>
      <c r="OQW3" s="1962"/>
      <c r="OQX3" s="1962"/>
      <c r="OQY3" s="1962"/>
      <c r="OQZ3" s="1962"/>
      <c r="ORA3" s="1962"/>
      <c r="ORB3" s="1962"/>
      <c r="ORC3" s="1962"/>
      <c r="ORD3" s="1962"/>
      <c r="ORE3" s="1962"/>
      <c r="ORF3" s="1962"/>
      <c r="ORG3" s="1962"/>
      <c r="ORH3" s="1962"/>
      <c r="ORI3" s="1962"/>
      <c r="ORJ3" s="1962"/>
      <c r="ORK3" s="1962"/>
      <c r="ORL3" s="1962"/>
      <c r="ORM3" s="1962"/>
      <c r="ORN3" s="1962"/>
      <c r="ORO3" s="1962"/>
      <c r="ORP3" s="1962"/>
      <c r="ORQ3" s="1962"/>
      <c r="ORR3" s="1962"/>
      <c r="ORS3" s="1962"/>
      <c r="ORT3" s="1962"/>
      <c r="ORU3" s="1962"/>
      <c r="ORV3" s="1962"/>
      <c r="ORW3" s="1962"/>
      <c r="ORX3" s="1962"/>
      <c r="ORY3" s="1962"/>
      <c r="ORZ3" s="1962"/>
      <c r="OSA3" s="1962"/>
      <c r="OSB3" s="1962"/>
      <c r="OSC3" s="1962"/>
      <c r="OSD3" s="1962"/>
      <c r="OSE3" s="1962"/>
      <c r="OSF3" s="1962"/>
      <c r="OSG3" s="1962"/>
      <c r="OSH3" s="1962"/>
      <c r="OSI3" s="1962"/>
      <c r="OSJ3" s="1962"/>
      <c r="OSK3" s="1962"/>
      <c r="OSL3" s="1962"/>
      <c r="OSM3" s="1962"/>
      <c r="OSN3" s="1962"/>
      <c r="OSO3" s="1962"/>
      <c r="OSP3" s="1962"/>
      <c r="OSQ3" s="1962"/>
      <c r="OSR3" s="1962"/>
      <c r="OSS3" s="1962"/>
      <c r="OST3" s="1962"/>
      <c r="OSU3" s="1962"/>
      <c r="OSV3" s="1962"/>
      <c r="OSW3" s="1962"/>
      <c r="OSX3" s="1962"/>
      <c r="OSY3" s="1962"/>
      <c r="OSZ3" s="1962"/>
      <c r="OTA3" s="1962"/>
      <c r="OTB3" s="1962"/>
      <c r="OTC3" s="1962"/>
      <c r="OTD3" s="1962"/>
      <c r="OTE3" s="1962"/>
      <c r="OTF3" s="1962"/>
      <c r="OTG3" s="1962"/>
      <c r="OTH3" s="1962"/>
      <c r="OTI3" s="1962"/>
      <c r="OTJ3" s="1962"/>
      <c r="OTK3" s="1962"/>
      <c r="OTL3" s="1962"/>
      <c r="OTM3" s="1962"/>
      <c r="OTN3" s="1962"/>
      <c r="OTO3" s="1962"/>
      <c r="OTP3" s="1962"/>
      <c r="OTQ3" s="1962"/>
      <c r="OTR3" s="1962"/>
      <c r="OTS3" s="1962"/>
      <c r="OTT3" s="1962"/>
      <c r="OTU3" s="1962"/>
      <c r="OTV3" s="1962"/>
      <c r="OTW3" s="1962"/>
      <c r="OTX3" s="1962"/>
      <c r="OTY3" s="1962"/>
      <c r="OTZ3" s="1962"/>
      <c r="OUA3" s="1962"/>
      <c r="OUB3" s="1962"/>
      <c r="OUC3" s="1962"/>
      <c r="OUD3" s="1962"/>
      <c r="OUE3" s="1962"/>
      <c r="OUF3" s="1962"/>
      <c r="OUG3" s="1962"/>
      <c r="OUH3" s="1962"/>
      <c r="OUI3" s="1962"/>
      <c r="OUJ3" s="1962"/>
      <c r="OUK3" s="1962"/>
      <c r="OUL3" s="1962"/>
      <c r="OUM3" s="1962"/>
      <c r="OUN3" s="1962"/>
      <c r="OUO3" s="1962"/>
      <c r="OUP3" s="1962"/>
      <c r="OUQ3" s="1962"/>
      <c r="OUR3" s="1962"/>
      <c r="OUS3" s="1962"/>
      <c r="OUT3" s="1962"/>
      <c r="OUU3" s="1962"/>
      <c r="OUV3" s="1962"/>
      <c r="OUW3" s="1962"/>
      <c r="OUX3" s="1962"/>
      <c r="OUY3" s="1962"/>
      <c r="OUZ3" s="1962"/>
      <c r="OVA3" s="1962"/>
      <c r="OVB3" s="1962"/>
      <c r="OVC3" s="1962"/>
      <c r="OVD3" s="1962"/>
      <c r="OVE3" s="1962"/>
      <c r="OVF3" s="1962"/>
      <c r="OVG3" s="1962"/>
      <c r="OVH3" s="1962"/>
      <c r="OVI3" s="1962"/>
      <c r="OVJ3" s="1962"/>
      <c r="OVK3" s="1962"/>
      <c r="OVL3" s="1962"/>
      <c r="OVM3" s="1962"/>
      <c r="OVN3" s="1962"/>
      <c r="OVO3" s="1962"/>
      <c r="OVP3" s="1962"/>
      <c r="OVQ3" s="1962"/>
      <c r="OVR3" s="1962"/>
      <c r="OVS3" s="1962"/>
      <c r="OVT3" s="1962"/>
      <c r="OVU3" s="1962"/>
      <c r="OVV3" s="1962"/>
      <c r="OVW3" s="1962"/>
      <c r="OVX3" s="1962"/>
      <c r="OVY3" s="1962"/>
      <c r="OVZ3" s="1962"/>
      <c r="OWA3" s="1962"/>
      <c r="OWB3" s="1962"/>
      <c r="OWC3" s="1962"/>
      <c r="OWD3" s="1962"/>
      <c r="OWE3" s="1962"/>
      <c r="OWF3" s="1962"/>
      <c r="OWG3" s="1962"/>
      <c r="OWH3" s="1962"/>
      <c r="OWI3" s="1962"/>
      <c r="OWJ3" s="1962"/>
      <c r="OWK3" s="1962"/>
      <c r="OWL3" s="1962"/>
      <c r="OWM3" s="1962"/>
      <c r="OWN3" s="1962"/>
      <c r="OWO3" s="1962"/>
      <c r="OWP3" s="1962"/>
      <c r="OWQ3" s="1962"/>
      <c r="OWR3" s="1962"/>
      <c r="OWS3" s="1962"/>
      <c r="OWT3" s="1962"/>
      <c r="OWU3" s="1962"/>
      <c r="OWV3" s="1962"/>
      <c r="OWW3" s="1962"/>
      <c r="OWX3" s="1962"/>
      <c r="OWY3" s="1962"/>
      <c r="OWZ3" s="1962"/>
      <c r="OXA3" s="1962"/>
      <c r="OXB3" s="1962"/>
      <c r="OXC3" s="1962"/>
      <c r="OXD3" s="1962"/>
      <c r="OXE3" s="1962"/>
      <c r="OXF3" s="1962"/>
      <c r="OXG3" s="1962"/>
      <c r="OXH3" s="1962"/>
      <c r="OXI3" s="1962"/>
      <c r="OXJ3" s="1962"/>
      <c r="OXK3" s="1962"/>
      <c r="OXL3" s="1962"/>
      <c r="OXM3" s="1962"/>
      <c r="OXN3" s="1962"/>
      <c r="OXO3" s="1962"/>
      <c r="OXP3" s="1962"/>
      <c r="OXQ3" s="1962"/>
      <c r="OXR3" s="1962"/>
      <c r="OXS3" s="1962"/>
      <c r="OXT3" s="1962"/>
      <c r="OXU3" s="1962"/>
      <c r="OXV3" s="1962"/>
      <c r="OXW3" s="1962"/>
      <c r="OXX3" s="1962"/>
      <c r="OXY3" s="1962"/>
      <c r="OXZ3" s="1962"/>
      <c r="OYA3" s="1962"/>
      <c r="OYB3" s="1962"/>
      <c r="OYC3" s="1962"/>
      <c r="OYD3" s="1962"/>
      <c r="OYE3" s="1962"/>
      <c r="OYF3" s="1962"/>
      <c r="OYG3" s="1962"/>
      <c r="OYH3" s="1962"/>
      <c r="OYI3" s="1962"/>
      <c r="OYJ3" s="1962"/>
      <c r="OYK3" s="1962"/>
      <c r="OYL3" s="1962"/>
      <c r="OYM3" s="1962"/>
      <c r="OYN3" s="1962"/>
      <c r="OYO3" s="1962"/>
      <c r="OYP3" s="1962"/>
      <c r="OYQ3" s="1962"/>
      <c r="OYR3" s="1962"/>
      <c r="OYS3" s="1962"/>
      <c r="OYT3" s="1962"/>
      <c r="OYU3" s="1962"/>
      <c r="OYV3" s="1962"/>
      <c r="OYW3" s="1962"/>
      <c r="OYX3" s="1962"/>
      <c r="OYY3" s="1962"/>
      <c r="OYZ3" s="1962"/>
      <c r="OZA3" s="1962"/>
      <c r="OZB3" s="1962"/>
      <c r="OZC3" s="1962"/>
      <c r="OZD3" s="1962"/>
      <c r="OZE3" s="1962"/>
      <c r="OZF3" s="1962"/>
      <c r="OZG3" s="1962"/>
      <c r="OZH3" s="1962"/>
      <c r="OZI3" s="1962"/>
      <c r="OZJ3" s="1962"/>
      <c r="OZK3" s="1962"/>
      <c r="OZL3" s="1962"/>
      <c r="OZM3" s="1962"/>
      <c r="OZN3" s="1962"/>
      <c r="OZO3" s="1962"/>
      <c r="OZP3" s="1962"/>
      <c r="OZQ3" s="1962"/>
      <c r="OZR3" s="1962"/>
      <c r="OZS3" s="1962"/>
      <c r="OZT3" s="1962"/>
      <c r="OZU3" s="1962"/>
      <c r="OZV3" s="1962"/>
      <c r="OZW3" s="1962"/>
      <c r="OZX3" s="1962"/>
      <c r="OZY3" s="1962"/>
      <c r="OZZ3" s="1962"/>
      <c r="PAA3" s="1962"/>
      <c r="PAB3" s="1962"/>
      <c r="PAC3" s="1962"/>
      <c r="PAD3" s="1962"/>
      <c r="PAE3" s="1962"/>
      <c r="PAF3" s="1962"/>
      <c r="PAG3" s="1962"/>
      <c r="PAH3" s="1962"/>
      <c r="PAI3" s="1962"/>
      <c r="PAJ3" s="1962"/>
      <c r="PAK3" s="1962"/>
      <c r="PAL3" s="1962"/>
      <c r="PAM3" s="1962"/>
      <c r="PAN3" s="1962"/>
      <c r="PAO3" s="1962"/>
      <c r="PAP3" s="1962"/>
      <c r="PAQ3" s="1962"/>
      <c r="PAR3" s="1962"/>
      <c r="PAS3" s="1962"/>
      <c r="PAT3" s="1962"/>
      <c r="PAU3" s="1962"/>
      <c r="PAV3" s="1962"/>
      <c r="PAW3" s="1962"/>
      <c r="PAX3" s="1962"/>
      <c r="PAY3" s="1962"/>
      <c r="PAZ3" s="1962"/>
      <c r="PBA3" s="1962"/>
      <c r="PBB3" s="1962"/>
      <c r="PBC3" s="1962"/>
      <c r="PBD3" s="1962"/>
      <c r="PBE3" s="1962"/>
      <c r="PBF3" s="1962"/>
      <c r="PBG3" s="1962"/>
      <c r="PBH3" s="1962"/>
      <c r="PBI3" s="1962"/>
      <c r="PBJ3" s="1962"/>
      <c r="PBK3" s="1962"/>
      <c r="PBL3" s="1962"/>
      <c r="PBM3" s="1962"/>
      <c r="PBN3" s="1962"/>
      <c r="PBO3" s="1962"/>
      <c r="PBP3" s="1962"/>
      <c r="PBQ3" s="1962"/>
      <c r="PBR3" s="1962"/>
      <c r="PBS3" s="1962"/>
      <c r="PBT3" s="1962"/>
      <c r="PBU3" s="1962"/>
      <c r="PBV3" s="1962"/>
      <c r="PBW3" s="1962"/>
      <c r="PBX3" s="1962"/>
      <c r="PBY3" s="1962"/>
      <c r="PBZ3" s="1962"/>
      <c r="PCA3" s="1962"/>
      <c r="PCB3" s="1962"/>
      <c r="PCC3" s="1962"/>
      <c r="PCD3" s="1962"/>
      <c r="PCE3" s="1962"/>
      <c r="PCF3" s="1962"/>
      <c r="PCG3" s="1962"/>
      <c r="PCH3" s="1962"/>
      <c r="PCI3" s="1962"/>
      <c r="PCJ3" s="1962"/>
      <c r="PCK3" s="1962"/>
      <c r="PCL3" s="1962"/>
      <c r="PCM3" s="1962"/>
      <c r="PCN3" s="1962"/>
      <c r="PCO3" s="1962"/>
      <c r="PCP3" s="1962"/>
      <c r="PCQ3" s="1962"/>
      <c r="PCR3" s="1962"/>
      <c r="PCS3" s="1962"/>
      <c r="PCT3" s="1962"/>
      <c r="PCU3" s="1962"/>
      <c r="PCV3" s="1962"/>
      <c r="PCW3" s="1962"/>
      <c r="PCX3" s="1962"/>
      <c r="PCY3" s="1962"/>
      <c r="PCZ3" s="1962"/>
      <c r="PDA3" s="1962"/>
      <c r="PDB3" s="1962"/>
      <c r="PDC3" s="1962"/>
      <c r="PDD3" s="1962"/>
      <c r="PDE3" s="1962"/>
      <c r="PDF3" s="1962"/>
      <c r="PDG3" s="1962"/>
      <c r="PDH3" s="1962"/>
      <c r="PDI3" s="1962"/>
      <c r="PDJ3" s="1962"/>
      <c r="PDK3" s="1962"/>
      <c r="PDL3" s="1962"/>
      <c r="PDM3" s="1962"/>
      <c r="PDN3" s="1962"/>
      <c r="PDO3" s="1962"/>
      <c r="PDP3" s="1962"/>
      <c r="PDQ3" s="1962"/>
      <c r="PDR3" s="1962"/>
      <c r="PDS3" s="1962"/>
      <c r="PDT3" s="1962"/>
      <c r="PDU3" s="1962"/>
      <c r="PDV3" s="1962"/>
      <c r="PDW3" s="1962"/>
      <c r="PDX3" s="1962"/>
      <c r="PDY3" s="1962"/>
      <c r="PDZ3" s="1962"/>
      <c r="PEA3" s="1962"/>
      <c r="PEB3" s="1962"/>
      <c r="PEC3" s="1962"/>
      <c r="PED3" s="1962"/>
      <c r="PEE3" s="1962"/>
      <c r="PEF3" s="1962"/>
      <c r="PEG3" s="1962"/>
      <c r="PEH3" s="1962"/>
      <c r="PEI3" s="1962"/>
      <c r="PEJ3" s="1962"/>
      <c r="PEK3" s="1962"/>
      <c r="PEL3" s="1962"/>
      <c r="PEM3" s="1962"/>
      <c r="PEN3" s="1962"/>
      <c r="PEO3" s="1962"/>
      <c r="PEP3" s="1962"/>
      <c r="PEQ3" s="1962"/>
      <c r="PER3" s="1962"/>
      <c r="PES3" s="1962"/>
      <c r="PET3" s="1962"/>
      <c r="PEU3" s="1962"/>
      <c r="PEV3" s="1962"/>
      <c r="PEW3" s="1962"/>
      <c r="PEX3" s="1962"/>
      <c r="PEY3" s="1962"/>
      <c r="PEZ3" s="1962"/>
      <c r="PFA3" s="1962"/>
      <c r="PFB3" s="1962"/>
      <c r="PFC3" s="1962"/>
      <c r="PFD3" s="1962"/>
      <c r="PFE3" s="1962"/>
      <c r="PFF3" s="1962"/>
      <c r="PFG3" s="1962"/>
      <c r="PFH3" s="1962"/>
      <c r="PFI3" s="1962"/>
      <c r="PFJ3" s="1962"/>
      <c r="PFK3" s="1962"/>
      <c r="PFL3" s="1962"/>
      <c r="PFM3" s="1962"/>
      <c r="PFN3" s="1962"/>
      <c r="PFO3" s="1962"/>
      <c r="PFP3" s="1962"/>
      <c r="PFQ3" s="1962"/>
      <c r="PFR3" s="1962"/>
      <c r="PFS3" s="1962"/>
      <c r="PFT3" s="1962"/>
      <c r="PFU3" s="1962"/>
      <c r="PFV3" s="1962"/>
      <c r="PFW3" s="1962"/>
      <c r="PFX3" s="1962"/>
      <c r="PFY3" s="1962"/>
      <c r="PFZ3" s="1962"/>
      <c r="PGA3" s="1962"/>
      <c r="PGB3" s="1962"/>
      <c r="PGC3" s="1962"/>
      <c r="PGD3" s="1962"/>
      <c r="PGE3" s="1962"/>
      <c r="PGF3" s="1962"/>
      <c r="PGG3" s="1962"/>
      <c r="PGH3" s="1962"/>
      <c r="PGI3" s="1962"/>
      <c r="PGJ3" s="1962"/>
      <c r="PGK3" s="1962"/>
      <c r="PGL3" s="1962"/>
      <c r="PGM3" s="1962"/>
      <c r="PGN3" s="1962"/>
      <c r="PGO3" s="1962"/>
      <c r="PGP3" s="1962"/>
      <c r="PGQ3" s="1962"/>
      <c r="PGR3" s="1962"/>
      <c r="PGS3" s="1962"/>
      <c r="PGT3" s="1962"/>
      <c r="PGU3" s="1962"/>
      <c r="PGV3" s="1962"/>
      <c r="PGW3" s="1962"/>
      <c r="PGX3" s="1962"/>
      <c r="PGY3" s="1962"/>
      <c r="PGZ3" s="1962"/>
      <c r="PHA3" s="1962"/>
      <c r="PHB3" s="1962"/>
      <c r="PHC3" s="1962"/>
      <c r="PHD3" s="1962"/>
      <c r="PHE3" s="1962"/>
      <c r="PHF3" s="1962"/>
      <c r="PHG3" s="1962"/>
      <c r="PHH3" s="1962"/>
      <c r="PHI3" s="1962"/>
      <c r="PHJ3" s="1962"/>
      <c r="PHK3" s="1962"/>
      <c r="PHL3" s="1962"/>
      <c r="PHM3" s="1962"/>
      <c r="PHN3" s="1962"/>
      <c r="PHO3" s="1962"/>
      <c r="PHP3" s="1962"/>
      <c r="PHQ3" s="1962"/>
      <c r="PHR3" s="1962"/>
      <c r="PHS3" s="1962"/>
      <c r="PHT3" s="1962"/>
      <c r="PHU3" s="1962"/>
      <c r="PHV3" s="1962"/>
      <c r="PHW3" s="1962"/>
      <c r="PHX3" s="1962"/>
      <c r="PHY3" s="1962"/>
      <c r="PHZ3" s="1962"/>
      <c r="PIA3" s="1962"/>
      <c r="PIB3" s="1962"/>
      <c r="PIC3" s="1962"/>
      <c r="PID3" s="1962"/>
      <c r="PIE3" s="1962"/>
      <c r="PIF3" s="1962"/>
      <c r="PIG3" s="1962"/>
      <c r="PIH3" s="1962"/>
      <c r="PII3" s="1962"/>
      <c r="PIJ3" s="1962"/>
      <c r="PIK3" s="1962"/>
      <c r="PIL3" s="1962"/>
      <c r="PIM3" s="1962"/>
      <c r="PIN3" s="1962"/>
      <c r="PIO3" s="1962"/>
      <c r="PIP3" s="1962"/>
      <c r="PIQ3" s="1962"/>
      <c r="PIR3" s="1962"/>
      <c r="PIS3" s="1962"/>
      <c r="PIT3" s="1962"/>
      <c r="PIU3" s="1962"/>
      <c r="PIV3" s="1962"/>
      <c r="PIW3" s="1962"/>
      <c r="PIX3" s="1962"/>
      <c r="PIY3" s="1962"/>
      <c r="PIZ3" s="1962"/>
      <c r="PJA3" s="1962"/>
      <c r="PJB3" s="1962"/>
      <c r="PJC3" s="1962"/>
      <c r="PJD3" s="1962"/>
      <c r="PJE3" s="1962"/>
      <c r="PJF3" s="1962"/>
      <c r="PJG3" s="1962"/>
      <c r="PJH3" s="1962"/>
      <c r="PJI3" s="1962"/>
      <c r="PJJ3" s="1962"/>
      <c r="PJK3" s="1962"/>
      <c r="PJL3" s="1962"/>
      <c r="PJM3" s="1962"/>
      <c r="PJN3" s="1962"/>
      <c r="PJO3" s="1962"/>
      <c r="PJP3" s="1962"/>
      <c r="PJQ3" s="1962"/>
      <c r="PJR3" s="1962"/>
      <c r="PJS3" s="1962"/>
      <c r="PJT3" s="1962"/>
      <c r="PJU3" s="1962"/>
      <c r="PJV3" s="1962"/>
      <c r="PJW3" s="1962"/>
      <c r="PJX3" s="1962"/>
      <c r="PJY3" s="1962"/>
      <c r="PJZ3" s="1962"/>
      <c r="PKA3" s="1962"/>
      <c r="PKB3" s="1962"/>
      <c r="PKC3" s="1962"/>
      <c r="PKD3" s="1962"/>
      <c r="PKE3" s="1962"/>
      <c r="PKF3" s="1962"/>
      <c r="PKG3" s="1962"/>
      <c r="PKH3" s="1962"/>
      <c r="PKI3" s="1962"/>
      <c r="PKJ3" s="1962"/>
      <c r="PKK3" s="1962"/>
      <c r="PKL3" s="1962"/>
      <c r="PKM3" s="1962"/>
      <c r="PKN3" s="1962"/>
      <c r="PKO3" s="1962"/>
      <c r="PKP3" s="1962"/>
      <c r="PKQ3" s="1962"/>
      <c r="PKR3" s="1962"/>
      <c r="PKS3" s="1962"/>
      <c r="PKT3" s="1962"/>
      <c r="PKU3" s="1962"/>
      <c r="PKV3" s="1962"/>
      <c r="PKW3" s="1962"/>
      <c r="PKX3" s="1962"/>
      <c r="PKY3" s="1962"/>
      <c r="PKZ3" s="1962"/>
      <c r="PLA3" s="1962"/>
      <c r="PLB3" s="1962"/>
      <c r="PLC3" s="1962"/>
      <c r="PLD3" s="1962"/>
      <c r="PLE3" s="1962"/>
      <c r="PLF3" s="1962"/>
      <c r="PLG3" s="1962"/>
      <c r="PLH3" s="1962"/>
      <c r="PLI3" s="1962"/>
      <c r="PLJ3" s="1962"/>
      <c r="PLK3" s="1962"/>
      <c r="PLL3" s="1962"/>
      <c r="PLM3" s="1962"/>
      <c r="PLN3" s="1962"/>
      <c r="PLO3" s="1962"/>
      <c r="PLP3" s="1962"/>
      <c r="PLQ3" s="1962"/>
      <c r="PLR3" s="1962"/>
      <c r="PLS3" s="1962"/>
      <c r="PLT3" s="1962"/>
      <c r="PLU3" s="1962"/>
      <c r="PLV3" s="1962"/>
      <c r="PLW3" s="1962"/>
      <c r="PLX3" s="1962"/>
      <c r="PLY3" s="1962"/>
      <c r="PLZ3" s="1962"/>
      <c r="PMA3" s="1962"/>
      <c r="PMB3" s="1962"/>
      <c r="PMC3" s="1962"/>
      <c r="PMD3" s="1962"/>
      <c r="PME3" s="1962"/>
      <c r="PMF3" s="1962"/>
      <c r="PMG3" s="1962"/>
      <c r="PMH3" s="1962"/>
      <c r="PMI3" s="1962"/>
      <c r="PMJ3" s="1962"/>
      <c r="PMK3" s="1962"/>
      <c r="PML3" s="1962"/>
      <c r="PMM3" s="1962"/>
      <c r="PMN3" s="1962"/>
      <c r="PMO3" s="1962"/>
      <c r="PMP3" s="1962"/>
      <c r="PMQ3" s="1962"/>
      <c r="PMR3" s="1962"/>
      <c r="PMS3" s="1962"/>
      <c r="PMT3" s="1962"/>
      <c r="PMU3" s="1962"/>
      <c r="PMV3" s="1962"/>
      <c r="PMW3" s="1962"/>
      <c r="PMX3" s="1962"/>
      <c r="PMY3" s="1962"/>
      <c r="PMZ3" s="1962"/>
      <c r="PNA3" s="1962"/>
      <c r="PNB3" s="1962"/>
      <c r="PNC3" s="1962"/>
      <c r="PND3" s="1962"/>
      <c r="PNE3" s="1962"/>
      <c r="PNF3" s="1962"/>
      <c r="PNG3" s="1962"/>
      <c r="PNH3" s="1962"/>
      <c r="PNI3" s="1962"/>
      <c r="PNJ3" s="1962"/>
      <c r="PNK3" s="1962"/>
      <c r="PNL3" s="1962"/>
      <c r="PNM3" s="1962"/>
      <c r="PNN3" s="1962"/>
      <c r="PNO3" s="1962"/>
      <c r="PNP3" s="1962"/>
      <c r="PNQ3" s="1962"/>
      <c r="PNR3" s="1962"/>
      <c r="PNS3" s="1962"/>
      <c r="PNT3" s="1962"/>
      <c r="PNU3" s="1962"/>
      <c r="PNV3" s="1962"/>
      <c r="PNW3" s="1962"/>
      <c r="PNX3" s="1962"/>
      <c r="PNY3" s="1962"/>
      <c r="PNZ3" s="1962"/>
      <c r="POA3" s="1962"/>
      <c r="POB3" s="1962"/>
      <c r="POC3" s="1962"/>
      <c r="POD3" s="1962"/>
      <c r="POE3" s="1962"/>
      <c r="POF3" s="1962"/>
      <c r="POG3" s="1962"/>
      <c r="POH3" s="1962"/>
      <c r="POI3" s="1962"/>
      <c r="POJ3" s="1962"/>
      <c r="POK3" s="1962"/>
      <c r="POL3" s="1962"/>
      <c r="POM3" s="1962"/>
      <c r="PON3" s="1962"/>
      <c r="POO3" s="1962"/>
      <c r="POP3" s="1962"/>
      <c r="POQ3" s="1962"/>
      <c r="POR3" s="1962"/>
      <c r="POS3" s="1962"/>
      <c r="POT3" s="1962"/>
      <c r="POU3" s="1962"/>
      <c r="POV3" s="1962"/>
      <c r="POW3" s="1962"/>
      <c r="POX3" s="1962"/>
      <c r="POY3" s="1962"/>
      <c r="POZ3" s="1962"/>
      <c r="PPA3" s="1962"/>
      <c r="PPB3" s="1962"/>
      <c r="PPC3" s="1962"/>
      <c r="PPD3" s="1962"/>
      <c r="PPE3" s="1962"/>
      <c r="PPF3" s="1962"/>
      <c r="PPG3" s="1962"/>
      <c r="PPH3" s="1962"/>
      <c r="PPI3" s="1962"/>
      <c r="PPJ3" s="1962"/>
      <c r="PPK3" s="1962"/>
      <c r="PPL3" s="1962"/>
      <c r="PPM3" s="1962"/>
      <c r="PPN3" s="1962"/>
      <c r="PPO3" s="1962"/>
      <c r="PPP3" s="1962"/>
      <c r="PPQ3" s="1962"/>
      <c r="PPR3" s="1962"/>
      <c r="PPS3" s="1962"/>
      <c r="PPT3" s="1962"/>
      <c r="PPU3" s="1962"/>
      <c r="PPV3" s="1962"/>
      <c r="PPW3" s="1962"/>
      <c r="PPX3" s="1962"/>
      <c r="PPY3" s="1962"/>
      <c r="PPZ3" s="1962"/>
      <c r="PQA3" s="1962"/>
      <c r="PQB3" s="1962"/>
      <c r="PQC3" s="1962"/>
      <c r="PQD3" s="1962"/>
      <c r="PQE3" s="1962"/>
      <c r="PQF3" s="1962"/>
      <c r="PQG3" s="1962"/>
      <c r="PQH3" s="1962"/>
      <c r="PQI3" s="1962"/>
      <c r="PQJ3" s="1962"/>
      <c r="PQK3" s="1962"/>
      <c r="PQL3" s="1962"/>
      <c r="PQM3" s="1962"/>
      <c r="PQN3" s="1962"/>
      <c r="PQO3" s="1962"/>
      <c r="PQP3" s="1962"/>
      <c r="PQQ3" s="1962"/>
      <c r="PQR3" s="1962"/>
      <c r="PQS3" s="1962"/>
      <c r="PQT3" s="1962"/>
      <c r="PQU3" s="1962"/>
      <c r="PQV3" s="1962"/>
      <c r="PQW3" s="1962"/>
      <c r="PQX3" s="1962"/>
      <c r="PQY3" s="1962"/>
      <c r="PQZ3" s="1962"/>
      <c r="PRA3" s="1962"/>
      <c r="PRB3" s="1962"/>
      <c r="PRC3" s="1962"/>
      <c r="PRD3" s="1962"/>
      <c r="PRE3" s="1962"/>
      <c r="PRF3" s="1962"/>
      <c r="PRG3" s="1962"/>
      <c r="PRH3" s="1962"/>
      <c r="PRI3" s="1962"/>
      <c r="PRJ3" s="1962"/>
      <c r="PRK3" s="1962"/>
      <c r="PRL3" s="1962"/>
      <c r="PRM3" s="1962"/>
      <c r="PRN3" s="1962"/>
      <c r="PRO3" s="1962"/>
      <c r="PRP3" s="1962"/>
      <c r="PRQ3" s="1962"/>
      <c r="PRR3" s="1962"/>
      <c r="PRS3" s="1962"/>
      <c r="PRT3" s="1962"/>
      <c r="PRU3" s="1962"/>
      <c r="PRV3" s="1962"/>
      <c r="PRW3" s="1962"/>
      <c r="PRX3" s="1962"/>
      <c r="PRY3" s="1962"/>
      <c r="PRZ3" s="1962"/>
      <c r="PSA3" s="1962"/>
      <c r="PSB3" s="1962"/>
      <c r="PSC3" s="1962"/>
      <c r="PSD3" s="1962"/>
      <c r="PSE3" s="1962"/>
      <c r="PSF3" s="1962"/>
      <c r="PSG3" s="1962"/>
      <c r="PSH3" s="1962"/>
      <c r="PSI3" s="1962"/>
      <c r="PSJ3" s="1962"/>
      <c r="PSK3" s="1962"/>
      <c r="PSL3" s="1962"/>
      <c r="PSM3" s="1962"/>
      <c r="PSN3" s="1962"/>
      <c r="PSO3" s="1962"/>
      <c r="PSP3" s="1962"/>
      <c r="PSQ3" s="1962"/>
      <c r="PSR3" s="1962"/>
      <c r="PSS3" s="1962"/>
      <c r="PST3" s="1962"/>
      <c r="PSU3" s="1962"/>
      <c r="PSV3" s="1962"/>
      <c r="PSW3" s="1962"/>
      <c r="PSX3" s="1962"/>
      <c r="PSY3" s="1962"/>
      <c r="PSZ3" s="1962"/>
      <c r="PTA3" s="1962"/>
      <c r="PTB3" s="1962"/>
      <c r="PTC3" s="1962"/>
      <c r="PTD3" s="1962"/>
      <c r="PTE3" s="1962"/>
      <c r="PTF3" s="1962"/>
      <c r="PTG3" s="1962"/>
      <c r="PTH3" s="1962"/>
      <c r="PTI3" s="1962"/>
      <c r="PTJ3" s="1962"/>
      <c r="PTK3" s="1962"/>
      <c r="PTL3" s="1962"/>
      <c r="PTM3" s="1962"/>
      <c r="PTN3" s="1962"/>
      <c r="PTO3" s="1962"/>
      <c r="PTP3" s="1962"/>
      <c r="PTQ3" s="1962"/>
      <c r="PTR3" s="1962"/>
      <c r="PTS3" s="1962"/>
      <c r="PTT3" s="1962"/>
      <c r="PTU3" s="1962"/>
      <c r="PTV3" s="1962"/>
      <c r="PTW3" s="1962"/>
      <c r="PTX3" s="1962"/>
      <c r="PTY3" s="1962"/>
      <c r="PTZ3" s="1962"/>
      <c r="PUA3" s="1962"/>
      <c r="PUB3" s="1962"/>
      <c r="PUC3" s="1962"/>
      <c r="PUD3" s="1962"/>
      <c r="PUE3" s="1962"/>
      <c r="PUF3" s="1962"/>
      <c r="PUG3" s="1962"/>
      <c r="PUH3" s="1962"/>
      <c r="PUI3" s="1962"/>
      <c r="PUJ3" s="1962"/>
      <c r="PUK3" s="1962"/>
      <c r="PUL3" s="1962"/>
      <c r="PUM3" s="1962"/>
      <c r="PUN3" s="1962"/>
      <c r="PUO3" s="1962"/>
      <c r="PUP3" s="1962"/>
      <c r="PUQ3" s="1962"/>
      <c r="PUR3" s="1962"/>
      <c r="PUS3" s="1962"/>
      <c r="PUT3" s="1962"/>
      <c r="PUU3" s="1962"/>
      <c r="PUV3" s="1962"/>
      <c r="PUW3" s="1962"/>
      <c r="PUX3" s="1962"/>
      <c r="PUY3" s="1962"/>
      <c r="PUZ3" s="1962"/>
      <c r="PVA3" s="1962"/>
      <c r="PVB3" s="1962"/>
      <c r="PVC3" s="1962"/>
      <c r="PVD3" s="1962"/>
      <c r="PVE3" s="1962"/>
      <c r="PVF3" s="1962"/>
      <c r="PVG3" s="1962"/>
      <c r="PVH3" s="1962"/>
      <c r="PVI3" s="1962"/>
      <c r="PVJ3" s="1962"/>
      <c r="PVK3" s="1962"/>
      <c r="PVL3" s="1962"/>
      <c r="PVM3" s="1962"/>
      <c r="PVN3" s="1962"/>
      <c r="PVO3" s="1962"/>
      <c r="PVP3" s="1962"/>
      <c r="PVQ3" s="1962"/>
      <c r="PVR3" s="1962"/>
      <c r="PVS3" s="1962"/>
      <c r="PVT3" s="1962"/>
      <c r="PVU3" s="1962"/>
      <c r="PVV3" s="1962"/>
      <c r="PVW3" s="1962"/>
      <c r="PVX3" s="1962"/>
      <c r="PVY3" s="1962"/>
      <c r="PVZ3" s="1962"/>
      <c r="PWA3" s="1962"/>
      <c r="PWB3" s="1962"/>
      <c r="PWC3" s="1962"/>
      <c r="PWD3" s="1962"/>
      <c r="PWE3" s="1962"/>
      <c r="PWF3" s="1962"/>
      <c r="PWG3" s="1962"/>
      <c r="PWH3" s="1962"/>
      <c r="PWI3" s="1962"/>
      <c r="PWJ3" s="1962"/>
      <c r="PWK3" s="1962"/>
      <c r="PWL3" s="1962"/>
      <c r="PWM3" s="1962"/>
      <c r="PWN3" s="1962"/>
      <c r="PWO3" s="1962"/>
      <c r="PWP3" s="1962"/>
      <c r="PWQ3" s="1962"/>
      <c r="PWR3" s="1962"/>
      <c r="PWS3" s="1962"/>
      <c r="PWT3" s="1962"/>
      <c r="PWU3" s="1962"/>
      <c r="PWV3" s="1962"/>
      <c r="PWW3" s="1962"/>
      <c r="PWX3" s="1962"/>
      <c r="PWY3" s="1962"/>
      <c r="PWZ3" s="1962"/>
      <c r="PXA3" s="1962"/>
      <c r="PXB3" s="1962"/>
      <c r="PXC3" s="1962"/>
      <c r="PXD3" s="1962"/>
      <c r="PXE3" s="1962"/>
      <c r="PXF3" s="1962"/>
      <c r="PXG3" s="1962"/>
      <c r="PXH3" s="1962"/>
      <c r="PXI3" s="1962"/>
      <c r="PXJ3" s="1962"/>
      <c r="PXK3" s="1962"/>
      <c r="PXL3" s="1962"/>
      <c r="PXM3" s="1962"/>
      <c r="PXN3" s="1962"/>
      <c r="PXO3" s="1962"/>
      <c r="PXP3" s="1962"/>
      <c r="PXQ3" s="1962"/>
      <c r="PXR3" s="1962"/>
      <c r="PXS3" s="1962"/>
      <c r="PXT3" s="1962"/>
      <c r="PXU3" s="1962"/>
      <c r="PXV3" s="1962"/>
      <c r="PXW3" s="1962"/>
      <c r="PXX3" s="1962"/>
      <c r="PXY3" s="1962"/>
      <c r="PXZ3" s="1962"/>
      <c r="PYA3" s="1962"/>
      <c r="PYB3" s="1962"/>
      <c r="PYC3" s="1962"/>
      <c r="PYD3" s="1962"/>
      <c r="PYE3" s="1962"/>
      <c r="PYF3" s="1962"/>
      <c r="PYG3" s="1962"/>
      <c r="PYH3" s="1962"/>
      <c r="PYI3" s="1962"/>
      <c r="PYJ3" s="1962"/>
      <c r="PYK3" s="1962"/>
      <c r="PYL3" s="1962"/>
      <c r="PYM3" s="1962"/>
      <c r="PYN3" s="1962"/>
      <c r="PYO3" s="1962"/>
      <c r="PYP3" s="1962"/>
      <c r="PYQ3" s="1962"/>
      <c r="PYR3" s="1962"/>
      <c r="PYS3" s="1962"/>
      <c r="PYT3" s="1962"/>
      <c r="PYU3" s="1962"/>
      <c r="PYV3" s="1962"/>
      <c r="PYW3" s="1962"/>
      <c r="PYX3" s="1962"/>
      <c r="PYY3" s="1962"/>
      <c r="PYZ3" s="1962"/>
      <c r="PZA3" s="1962"/>
      <c r="PZB3" s="1962"/>
      <c r="PZC3" s="1962"/>
      <c r="PZD3" s="1962"/>
      <c r="PZE3" s="1962"/>
      <c r="PZF3" s="1962"/>
      <c r="PZG3" s="1962"/>
      <c r="PZH3" s="1962"/>
      <c r="PZI3" s="1962"/>
      <c r="PZJ3" s="1962"/>
      <c r="PZK3" s="1962"/>
      <c r="PZL3" s="1962"/>
      <c r="PZM3" s="1962"/>
      <c r="PZN3" s="1962"/>
      <c r="PZO3" s="1962"/>
      <c r="PZP3" s="1962"/>
      <c r="PZQ3" s="1962"/>
      <c r="PZR3" s="1962"/>
      <c r="PZS3" s="1962"/>
      <c r="PZT3" s="1962"/>
      <c r="PZU3" s="1962"/>
      <c r="PZV3" s="1962"/>
      <c r="PZW3" s="1962"/>
      <c r="PZX3" s="1962"/>
      <c r="PZY3" s="1962"/>
      <c r="PZZ3" s="1962"/>
      <c r="QAA3" s="1962"/>
      <c r="QAB3" s="1962"/>
      <c r="QAC3" s="1962"/>
      <c r="QAD3" s="1962"/>
      <c r="QAE3" s="1962"/>
      <c r="QAF3" s="1962"/>
      <c r="QAG3" s="1962"/>
      <c r="QAH3" s="1962"/>
      <c r="QAI3" s="1962"/>
      <c r="QAJ3" s="1962"/>
      <c r="QAK3" s="1962"/>
      <c r="QAL3" s="1962"/>
      <c r="QAM3" s="1962"/>
      <c r="QAN3" s="1962"/>
      <c r="QAO3" s="1962"/>
      <c r="QAP3" s="1962"/>
      <c r="QAQ3" s="1962"/>
      <c r="QAR3" s="1962"/>
      <c r="QAS3" s="1962"/>
      <c r="QAT3" s="1962"/>
      <c r="QAU3" s="1962"/>
      <c r="QAV3" s="1962"/>
      <c r="QAW3" s="1962"/>
      <c r="QAX3" s="1962"/>
      <c r="QAY3" s="1962"/>
      <c r="QAZ3" s="1962"/>
      <c r="QBA3" s="1962"/>
      <c r="QBB3" s="1962"/>
      <c r="QBC3" s="1962"/>
      <c r="QBD3" s="1962"/>
      <c r="QBE3" s="1962"/>
      <c r="QBF3" s="1962"/>
      <c r="QBG3" s="1962"/>
      <c r="QBH3" s="1962"/>
      <c r="QBI3" s="1962"/>
      <c r="QBJ3" s="1962"/>
      <c r="QBK3" s="1962"/>
      <c r="QBL3" s="1962"/>
      <c r="QBM3" s="1962"/>
      <c r="QBN3" s="1962"/>
      <c r="QBO3" s="1962"/>
      <c r="QBP3" s="1962"/>
      <c r="QBQ3" s="1962"/>
      <c r="QBR3" s="1962"/>
      <c r="QBS3" s="1962"/>
      <c r="QBT3" s="1962"/>
      <c r="QBU3" s="1962"/>
      <c r="QBV3" s="1962"/>
      <c r="QBW3" s="1962"/>
      <c r="QBX3" s="1962"/>
      <c r="QBY3" s="1962"/>
      <c r="QBZ3" s="1962"/>
      <c r="QCA3" s="1962"/>
      <c r="QCB3" s="1962"/>
      <c r="QCC3" s="1962"/>
      <c r="QCD3" s="1962"/>
      <c r="QCE3" s="1962"/>
      <c r="QCF3" s="1962"/>
      <c r="QCG3" s="1962"/>
      <c r="QCH3" s="1962"/>
      <c r="QCI3" s="1962"/>
      <c r="QCJ3" s="1962"/>
      <c r="QCK3" s="1962"/>
      <c r="QCL3" s="1962"/>
      <c r="QCM3" s="1962"/>
      <c r="QCN3" s="1962"/>
      <c r="QCO3" s="1962"/>
      <c r="QCP3" s="1962"/>
      <c r="QCQ3" s="1962"/>
      <c r="QCR3" s="1962"/>
      <c r="QCS3" s="1962"/>
      <c r="QCT3" s="1962"/>
      <c r="QCU3" s="1962"/>
      <c r="QCV3" s="1962"/>
      <c r="QCW3" s="1962"/>
      <c r="QCX3" s="1962"/>
      <c r="QCY3" s="1962"/>
      <c r="QCZ3" s="1962"/>
      <c r="QDA3" s="1962"/>
      <c r="QDB3" s="1962"/>
      <c r="QDC3" s="1962"/>
      <c r="QDD3" s="1962"/>
      <c r="QDE3" s="1962"/>
      <c r="QDF3" s="1962"/>
      <c r="QDG3" s="1962"/>
      <c r="QDH3" s="1962"/>
      <c r="QDI3" s="1962"/>
      <c r="QDJ3" s="1962"/>
      <c r="QDK3" s="1962"/>
      <c r="QDL3" s="1962"/>
      <c r="QDM3" s="1962"/>
      <c r="QDN3" s="1962"/>
      <c r="QDO3" s="1962"/>
      <c r="QDP3" s="1962"/>
      <c r="QDQ3" s="1962"/>
      <c r="QDR3" s="1962"/>
      <c r="QDS3" s="1962"/>
      <c r="QDT3" s="1962"/>
      <c r="QDU3" s="1962"/>
      <c r="QDV3" s="1962"/>
      <c r="QDW3" s="1962"/>
      <c r="QDX3" s="1962"/>
      <c r="QDY3" s="1962"/>
      <c r="QDZ3" s="1962"/>
      <c r="QEA3" s="1962"/>
      <c r="QEB3" s="1962"/>
      <c r="QEC3" s="1962"/>
      <c r="QED3" s="1962"/>
      <c r="QEE3" s="1962"/>
      <c r="QEF3" s="1962"/>
      <c r="QEG3" s="1962"/>
      <c r="QEH3" s="1962"/>
      <c r="QEI3" s="1962"/>
      <c r="QEJ3" s="1962"/>
      <c r="QEK3" s="1962"/>
      <c r="QEL3" s="1962"/>
      <c r="QEM3" s="1962"/>
      <c r="QEN3" s="1962"/>
      <c r="QEO3" s="1962"/>
      <c r="QEP3" s="1962"/>
      <c r="QEQ3" s="1962"/>
      <c r="QER3" s="1962"/>
      <c r="QES3" s="1962"/>
      <c r="QET3" s="1962"/>
      <c r="QEU3" s="1962"/>
      <c r="QEV3" s="1962"/>
      <c r="QEW3" s="1962"/>
      <c r="QEX3" s="1962"/>
      <c r="QEY3" s="1962"/>
      <c r="QEZ3" s="1962"/>
      <c r="QFA3" s="1962"/>
      <c r="QFB3" s="1962"/>
      <c r="QFC3" s="1962"/>
      <c r="QFD3" s="1962"/>
      <c r="QFE3" s="1962"/>
      <c r="QFF3" s="1962"/>
      <c r="QFG3" s="1962"/>
      <c r="QFH3" s="1962"/>
      <c r="QFI3" s="1962"/>
      <c r="QFJ3" s="1962"/>
      <c r="QFK3" s="1962"/>
      <c r="QFL3" s="1962"/>
      <c r="QFM3" s="1962"/>
      <c r="QFN3" s="1962"/>
      <c r="QFO3" s="1962"/>
      <c r="QFP3" s="1962"/>
      <c r="QFQ3" s="1962"/>
      <c r="QFR3" s="1962"/>
      <c r="QFS3" s="1962"/>
      <c r="QFT3" s="1962"/>
      <c r="QFU3" s="1962"/>
      <c r="QFV3" s="1962"/>
      <c r="QFW3" s="1962"/>
      <c r="QFX3" s="1962"/>
      <c r="QFY3" s="1962"/>
      <c r="QFZ3" s="1962"/>
      <c r="QGA3" s="1962"/>
      <c r="QGB3" s="1962"/>
      <c r="QGC3" s="1962"/>
      <c r="QGD3" s="1962"/>
      <c r="QGE3" s="1962"/>
      <c r="QGF3" s="1962"/>
      <c r="QGG3" s="1962"/>
      <c r="QGH3" s="1962"/>
      <c r="QGI3" s="1962"/>
      <c r="QGJ3" s="1962"/>
      <c r="QGK3" s="1962"/>
      <c r="QGL3" s="1962"/>
      <c r="QGM3" s="1962"/>
      <c r="QGN3" s="1962"/>
      <c r="QGO3" s="1962"/>
      <c r="QGP3" s="1962"/>
      <c r="QGQ3" s="1962"/>
      <c r="QGR3" s="1962"/>
      <c r="QGS3" s="1962"/>
      <c r="QGT3" s="1962"/>
      <c r="QGU3" s="1962"/>
      <c r="QGV3" s="1962"/>
      <c r="QGW3" s="1962"/>
      <c r="QGX3" s="1962"/>
      <c r="QGY3" s="1962"/>
      <c r="QGZ3" s="1962"/>
      <c r="QHA3" s="1962"/>
      <c r="QHB3" s="1962"/>
      <c r="QHC3" s="1962"/>
      <c r="QHD3" s="1962"/>
      <c r="QHE3" s="1962"/>
      <c r="QHF3" s="1962"/>
      <c r="QHG3" s="1962"/>
      <c r="QHH3" s="1962"/>
      <c r="QHI3" s="1962"/>
      <c r="QHJ3" s="1962"/>
      <c r="QHK3" s="1962"/>
      <c r="QHL3" s="1962"/>
      <c r="QHM3" s="1962"/>
      <c r="QHN3" s="1962"/>
      <c r="QHO3" s="1962"/>
      <c r="QHP3" s="1962"/>
      <c r="QHQ3" s="1962"/>
      <c r="QHR3" s="1962"/>
      <c r="QHS3" s="1962"/>
      <c r="QHT3" s="1962"/>
      <c r="QHU3" s="1962"/>
      <c r="QHV3" s="1962"/>
      <c r="QHW3" s="1962"/>
      <c r="QHX3" s="1962"/>
      <c r="QHY3" s="1962"/>
      <c r="QHZ3" s="1962"/>
      <c r="QIA3" s="1962"/>
      <c r="QIB3" s="1962"/>
      <c r="QIC3" s="1962"/>
      <c r="QID3" s="1962"/>
      <c r="QIE3" s="1962"/>
      <c r="QIF3" s="1962"/>
      <c r="QIG3" s="1962"/>
      <c r="QIH3" s="1962"/>
      <c r="QII3" s="1962"/>
      <c r="QIJ3" s="1962"/>
      <c r="QIK3" s="1962"/>
      <c r="QIL3" s="1962"/>
      <c r="QIM3" s="1962"/>
      <c r="QIN3" s="1962"/>
      <c r="QIO3" s="1962"/>
      <c r="QIP3" s="1962"/>
      <c r="QIQ3" s="1962"/>
      <c r="QIR3" s="1962"/>
      <c r="QIS3" s="1962"/>
      <c r="QIT3" s="1962"/>
      <c r="QIU3" s="1962"/>
      <c r="QIV3" s="1962"/>
      <c r="QIW3" s="1962"/>
      <c r="QIX3" s="1962"/>
      <c r="QIY3" s="1962"/>
      <c r="QIZ3" s="1962"/>
      <c r="QJA3" s="1962"/>
      <c r="QJB3" s="1962"/>
      <c r="QJC3" s="1962"/>
      <c r="QJD3" s="1962"/>
      <c r="QJE3" s="1962"/>
      <c r="QJF3" s="1962"/>
      <c r="QJG3" s="1962"/>
      <c r="QJH3" s="1962"/>
      <c r="QJI3" s="1962"/>
      <c r="QJJ3" s="1962"/>
      <c r="QJK3" s="1962"/>
      <c r="QJL3" s="1962"/>
      <c r="QJM3" s="1962"/>
      <c r="QJN3" s="1962"/>
      <c r="QJO3" s="1962"/>
      <c r="QJP3" s="1962"/>
      <c r="QJQ3" s="1962"/>
      <c r="QJR3" s="1962"/>
      <c r="QJS3" s="1962"/>
      <c r="QJT3" s="1962"/>
      <c r="QJU3" s="1962"/>
      <c r="QJV3" s="1962"/>
      <c r="QJW3" s="1962"/>
      <c r="QJX3" s="1962"/>
      <c r="QJY3" s="1962"/>
      <c r="QJZ3" s="1962"/>
      <c r="QKA3" s="1962"/>
      <c r="QKB3" s="1962"/>
      <c r="QKC3" s="1962"/>
      <c r="QKD3" s="1962"/>
      <c r="QKE3" s="1962"/>
      <c r="QKF3" s="1962"/>
      <c r="QKG3" s="1962"/>
      <c r="QKH3" s="1962"/>
      <c r="QKI3" s="1962"/>
      <c r="QKJ3" s="1962"/>
      <c r="QKK3" s="1962"/>
      <c r="QKL3" s="1962"/>
      <c r="QKM3" s="1962"/>
      <c r="QKN3" s="1962"/>
      <c r="QKO3" s="1962"/>
      <c r="QKP3" s="1962"/>
      <c r="QKQ3" s="1962"/>
      <c r="QKR3" s="1962"/>
      <c r="QKS3" s="1962"/>
      <c r="QKT3" s="1962"/>
      <c r="QKU3" s="1962"/>
      <c r="QKV3" s="1962"/>
      <c r="QKW3" s="1962"/>
      <c r="QKX3" s="1962"/>
      <c r="QKY3" s="1962"/>
      <c r="QKZ3" s="1962"/>
      <c r="QLA3" s="1962"/>
      <c r="QLB3" s="1962"/>
      <c r="QLC3" s="1962"/>
      <c r="QLD3" s="1962"/>
      <c r="QLE3" s="1962"/>
      <c r="QLF3" s="1962"/>
      <c r="QLG3" s="1962"/>
      <c r="QLH3" s="1962"/>
      <c r="QLI3" s="1962"/>
      <c r="QLJ3" s="1962"/>
      <c r="QLK3" s="1962"/>
      <c r="QLL3" s="1962"/>
      <c r="QLM3" s="1962"/>
      <c r="QLN3" s="1962"/>
      <c r="QLO3" s="1962"/>
      <c r="QLP3" s="1962"/>
      <c r="QLQ3" s="1962"/>
      <c r="QLR3" s="1962"/>
      <c r="QLS3" s="1962"/>
      <c r="QLT3" s="1962"/>
      <c r="QLU3" s="1962"/>
      <c r="QLV3" s="1962"/>
      <c r="QLW3" s="1962"/>
      <c r="QLX3" s="1962"/>
      <c r="QLY3" s="1962"/>
      <c r="QLZ3" s="1962"/>
      <c r="QMA3" s="1962"/>
      <c r="QMB3" s="1962"/>
      <c r="QMC3" s="1962"/>
      <c r="QMD3" s="1962"/>
      <c r="QME3" s="1962"/>
      <c r="QMF3" s="1962"/>
      <c r="QMG3" s="1962"/>
      <c r="QMH3" s="1962"/>
      <c r="QMI3" s="1962"/>
      <c r="QMJ3" s="1962"/>
      <c r="QMK3" s="1962"/>
      <c r="QML3" s="1962"/>
      <c r="QMM3" s="1962"/>
      <c r="QMN3" s="1962"/>
      <c r="QMO3" s="1962"/>
      <c r="QMP3" s="1962"/>
      <c r="QMQ3" s="1962"/>
      <c r="QMR3" s="1962"/>
      <c r="QMS3" s="1962"/>
      <c r="QMT3" s="1962"/>
      <c r="QMU3" s="1962"/>
      <c r="QMV3" s="1962"/>
      <c r="QMW3" s="1962"/>
      <c r="QMX3" s="1962"/>
      <c r="QMY3" s="1962"/>
      <c r="QMZ3" s="1962"/>
      <c r="QNA3" s="1962"/>
      <c r="QNB3" s="1962"/>
      <c r="QNC3" s="1962"/>
      <c r="QND3" s="1962"/>
      <c r="QNE3" s="1962"/>
      <c r="QNF3" s="1962"/>
      <c r="QNG3" s="1962"/>
      <c r="QNH3" s="1962"/>
      <c r="QNI3" s="1962"/>
      <c r="QNJ3" s="1962"/>
      <c r="QNK3" s="1962"/>
      <c r="QNL3" s="1962"/>
      <c r="QNM3" s="1962"/>
      <c r="QNN3" s="1962"/>
      <c r="QNO3" s="1962"/>
      <c r="QNP3" s="1962"/>
      <c r="QNQ3" s="1962"/>
      <c r="QNR3" s="1962"/>
      <c r="QNS3" s="1962"/>
      <c r="QNT3" s="1962"/>
      <c r="QNU3" s="1962"/>
      <c r="QNV3" s="1962"/>
      <c r="QNW3" s="1962"/>
      <c r="QNX3" s="1962"/>
      <c r="QNY3" s="1962"/>
      <c r="QNZ3" s="1962"/>
      <c r="QOA3" s="1962"/>
      <c r="QOB3" s="1962"/>
      <c r="QOC3" s="1962"/>
      <c r="QOD3" s="1962"/>
      <c r="QOE3" s="1962"/>
      <c r="QOF3" s="1962"/>
      <c r="QOG3" s="1962"/>
      <c r="QOH3" s="1962"/>
      <c r="QOI3" s="1962"/>
      <c r="QOJ3" s="1962"/>
      <c r="QOK3" s="1962"/>
      <c r="QOL3" s="1962"/>
      <c r="QOM3" s="1962"/>
      <c r="QON3" s="1962"/>
      <c r="QOO3" s="1962"/>
      <c r="QOP3" s="1962"/>
      <c r="QOQ3" s="1962"/>
      <c r="QOR3" s="1962"/>
      <c r="QOS3" s="1962"/>
      <c r="QOT3" s="1962"/>
      <c r="QOU3" s="1962"/>
      <c r="QOV3" s="1962"/>
      <c r="QOW3" s="1962"/>
      <c r="QOX3" s="1962"/>
      <c r="QOY3" s="1962"/>
      <c r="QOZ3" s="1962"/>
      <c r="QPA3" s="1962"/>
      <c r="QPB3" s="1962"/>
      <c r="QPC3" s="1962"/>
      <c r="QPD3" s="1962"/>
      <c r="QPE3" s="1962"/>
      <c r="QPF3" s="1962"/>
      <c r="QPG3" s="1962"/>
      <c r="QPH3" s="1962"/>
      <c r="QPI3" s="1962"/>
      <c r="QPJ3" s="1962"/>
      <c r="QPK3" s="1962"/>
      <c r="QPL3" s="1962"/>
      <c r="QPM3" s="1962"/>
      <c r="QPN3" s="1962"/>
      <c r="QPO3" s="1962"/>
      <c r="QPP3" s="1962"/>
      <c r="QPQ3" s="1962"/>
      <c r="QPR3" s="1962"/>
      <c r="QPS3" s="1962"/>
      <c r="QPT3" s="1962"/>
      <c r="QPU3" s="1962"/>
      <c r="QPV3" s="1962"/>
      <c r="QPW3" s="1962"/>
      <c r="QPX3" s="1962"/>
      <c r="QPY3" s="1962"/>
      <c r="QPZ3" s="1962"/>
      <c r="QQA3" s="1962"/>
      <c r="QQB3" s="1962"/>
      <c r="QQC3" s="1962"/>
      <c r="QQD3" s="1962"/>
      <c r="QQE3" s="1962"/>
      <c r="QQF3" s="1962"/>
      <c r="QQG3" s="1962"/>
      <c r="QQH3" s="1962"/>
      <c r="QQI3" s="1962"/>
      <c r="QQJ3" s="1962"/>
      <c r="QQK3" s="1962"/>
      <c r="QQL3" s="1962"/>
      <c r="QQM3" s="1962"/>
      <c r="QQN3" s="1962"/>
      <c r="QQO3" s="1962"/>
      <c r="QQP3" s="1962"/>
      <c r="QQQ3" s="1962"/>
      <c r="QQR3" s="1962"/>
      <c r="QQS3" s="1962"/>
      <c r="QQT3" s="1962"/>
      <c r="QQU3" s="1962"/>
      <c r="QQV3" s="1962"/>
      <c r="QQW3" s="1962"/>
      <c r="QQX3" s="1962"/>
      <c r="QQY3" s="1962"/>
      <c r="QQZ3" s="1962"/>
      <c r="QRA3" s="1962"/>
      <c r="QRB3" s="1962"/>
      <c r="QRC3" s="1962"/>
      <c r="QRD3" s="1962"/>
      <c r="QRE3" s="1962"/>
      <c r="QRF3" s="1962"/>
      <c r="QRG3" s="1962"/>
      <c r="QRH3" s="1962"/>
      <c r="QRI3" s="1962"/>
      <c r="QRJ3" s="1962"/>
      <c r="QRK3" s="1962"/>
      <c r="QRL3" s="1962"/>
      <c r="QRM3" s="1962"/>
      <c r="QRN3" s="1962"/>
      <c r="QRO3" s="1962"/>
      <c r="QRP3" s="1962"/>
      <c r="QRQ3" s="1962"/>
      <c r="QRR3" s="1962"/>
      <c r="QRS3" s="1962"/>
      <c r="QRT3" s="1962"/>
      <c r="QRU3" s="1962"/>
      <c r="QRV3" s="1962"/>
      <c r="QRW3" s="1962"/>
      <c r="QRX3" s="1962"/>
      <c r="QRY3" s="1962"/>
      <c r="QRZ3" s="1962"/>
      <c r="QSA3" s="1962"/>
      <c r="QSB3" s="1962"/>
      <c r="QSC3" s="1962"/>
      <c r="QSD3" s="1962"/>
      <c r="QSE3" s="1962"/>
      <c r="QSF3" s="1962"/>
      <c r="QSG3" s="1962"/>
      <c r="QSH3" s="1962"/>
      <c r="QSI3" s="1962"/>
      <c r="QSJ3" s="1962"/>
      <c r="QSK3" s="1962"/>
      <c r="QSL3" s="1962"/>
      <c r="QSM3" s="1962"/>
      <c r="QSN3" s="1962"/>
      <c r="QSO3" s="1962"/>
      <c r="QSP3" s="1962"/>
      <c r="QSQ3" s="1962"/>
      <c r="QSR3" s="1962"/>
      <c r="QSS3" s="1962"/>
      <c r="QST3" s="1962"/>
      <c r="QSU3" s="1962"/>
      <c r="QSV3" s="1962"/>
      <c r="QSW3" s="1962"/>
      <c r="QSX3" s="1962"/>
      <c r="QSY3" s="1962"/>
      <c r="QSZ3" s="1962"/>
      <c r="QTA3" s="1962"/>
      <c r="QTB3" s="1962"/>
      <c r="QTC3" s="1962"/>
      <c r="QTD3" s="1962"/>
      <c r="QTE3" s="1962"/>
      <c r="QTF3" s="1962"/>
      <c r="QTG3" s="1962"/>
      <c r="QTH3" s="1962"/>
      <c r="QTI3" s="1962"/>
      <c r="QTJ3" s="1962"/>
      <c r="QTK3" s="1962"/>
      <c r="QTL3" s="1962"/>
      <c r="QTM3" s="1962"/>
      <c r="QTN3" s="1962"/>
      <c r="QTO3" s="1962"/>
      <c r="QTP3" s="1962"/>
      <c r="QTQ3" s="1962"/>
      <c r="QTR3" s="1962"/>
      <c r="QTS3" s="1962"/>
      <c r="QTT3" s="1962"/>
      <c r="QTU3" s="1962"/>
      <c r="QTV3" s="1962"/>
      <c r="QTW3" s="1962"/>
      <c r="QTX3" s="1962"/>
      <c r="QTY3" s="1962"/>
      <c r="QTZ3" s="1962"/>
      <c r="QUA3" s="1962"/>
      <c r="QUB3" s="1962"/>
      <c r="QUC3" s="1962"/>
      <c r="QUD3" s="1962"/>
      <c r="QUE3" s="1962"/>
      <c r="QUF3" s="1962"/>
      <c r="QUG3" s="1962"/>
      <c r="QUH3" s="1962"/>
      <c r="QUI3" s="1962"/>
      <c r="QUJ3" s="1962"/>
      <c r="QUK3" s="1962"/>
      <c r="QUL3" s="1962"/>
      <c r="QUM3" s="1962"/>
      <c r="QUN3" s="1962"/>
      <c r="QUO3" s="1962"/>
      <c r="QUP3" s="1962"/>
      <c r="QUQ3" s="1962"/>
      <c r="QUR3" s="1962"/>
      <c r="QUS3" s="1962"/>
      <c r="QUT3" s="1962"/>
      <c r="QUU3" s="1962"/>
      <c r="QUV3" s="1962"/>
      <c r="QUW3" s="1962"/>
      <c r="QUX3" s="1962"/>
      <c r="QUY3" s="1962"/>
      <c r="QUZ3" s="1962"/>
      <c r="QVA3" s="1962"/>
      <c r="QVB3" s="1962"/>
      <c r="QVC3" s="1962"/>
      <c r="QVD3" s="1962"/>
      <c r="QVE3" s="1962"/>
      <c r="QVF3" s="1962"/>
      <c r="QVG3" s="1962"/>
      <c r="QVH3" s="1962"/>
      <c r="QVI3" s="1962"/>
      <c r="QVJ3" s="1962"/>
      <c r="QVK3" s="1962"/>
      <c r="QVL3" s="1962"/>
      <c r="QVM3" s="1962"/>
      <c r="QVN3" s="1962"/>
      <c r="QVO3" s="1962"/>
      <c r="QVP3" s="1962"/>
      <c r="QVQ3" s="1962"/>
      <c r="QVR3" s="1962"/>
      <c r="QVS3" s="1962"/>
      <c r="QVT3" s="1962"/>
      <c r="QVU3" s="1962"/>
      <c r="QVV3" s="1962"/>
      <c r="QVW3" s="1962"/>
      <c r="QVX3" s="1962"/>
      <c r="QVY3" s="1962"/>
      <c r="QVZ3" s="1962"/>
      <c r="QWA3" s="1962"/>
      <c r="QWB3" s="1962"/>
      <c r="QWC3" s="1962"/>
      <c r="QWD3" s="1962"/>
      <c r="QWE3" s="1962"/>
      <c r="QWF3" s="1962"/>
      <c r="QWG3" s="1962"/>
      <c r="QWH3" s="1962"/>
      <c r="QWI3" s="1962"/>
      <c r="QWJ3" s="1962"/>
      <c r="QWK3" s="1962"/>
      <c r="QWL3" s="1962"/>
      <c r="QWM3" s="1962"/>
      <c r="QWN3" s="1962"/>
      <c r="QWO3" s="1962"/>
      <c r="QWP3" s="1962"/>
      <c r="QWQ3" s="1962"/>
      <c r="QWR3" s="1962"/>
      <c r="QWS3" s="1962"/>
      <c r="QWT3" s="1962"/>
      <c r="QWU3" s="1962"/>
      <c r="QWV3" s="1962"/>
      <c r="QWW3" s="1962"/>
      <c r="QWX3" s="1962"/>
      <c r="QWY3" s="1962"/>
      <c r="QWZ3" s="1962"/>
      <c r="QXA3" s="1962"/>
      <c r="QXB3" s="1962"/>
      <c r="QXC3" s="1962"/>
      <c r="QXD3" s="1962"/>
      <c r="QXE3" s="1962"/>
      <c r="QXF3" s="1962"/>
      <c r="QXG3" s="1962"/>
      <c r="QXH3" s="1962"/>
      <c r="QXI3" s="1962"/>
      <c r="QXJ3" s="1962"/>
      <c r="QXK3" s="1962"/>
      <c r="QXL3" s="1962"/>
      <c r="QXM3" s="1962"/>
      <c r="QXN3" s="1962"/>
      <c r="QXO3" s="1962"/>
      <c r="QXP3" s="1962"/>
      <c r="QXQ3" s="1962"/>
      <c r="QXR3" s="1962"/>
      <c r="QXS3" s="1962"/>
      <c r="QXT3" s="1962"/>
      <c r="QXU3" s="1962"/>
      <c r="QXV3" s="1962"/>
      <c r="QXW3" s="1962"/>
      <c r="QXX3" s="1962"/>
      <c r="QXY3" s="1962"/>
      <c r="QXZ3" s="1962"/>
      <c r="QYA3" s="1962"/>
      <c r="QYB3" s="1962"/>
      <c r="QYC3" s="1962"/>
      <c r="QYD3" s="1962"/>
      <c r="QYE3" s="1962"/>
      <c r="QYF3" s="1962"/>
      <c r="QYG3" s="1962"/>
      <c r="QYH3" s="1962"/>
      <c r="QYI3" s="1962"/>
      <c r="QYJ3" s="1962"/>
      <c r="QYK3" s="1962"/>
      <c r="QYL3" s="1962"/>
      <c r="QYM3" s="1962"/>
      <c r="QYN3" s="1962"/>
      <c r="QYO3" s="1962"/>
      <c r="QYP3" s="1962"/>
      <c r="QYQ3" s="1962"/>
      <c r="QYR3" s="1962"/>
      <c r="QYS3" s="1962"/>
      <c r="QYT3" s="1962"/>
      <c r="QYU3" s="1962"/>
      <c r="QYV3" s="1962"/>
      <c r="QYW3" s="1962"/>
      <c r="QYX3" s="1962"/>
      <c r="QYY3" s="1962"/>
      <c r="QYZ3" s="1962"/>
      <c r="QZA3" s="1962"/>
      <c r="QZB3" s="1962"/>
      <c r="QZC3" s="1962"/>
      <c r="QZD3" s="1962"/>
      <c r="QZE3" s="1962"/>
      <c r="QZF3" s="1962"/>
      <c r="QZG3" s="1962"/>
      <c r="QZH3" s="1962"/>
      <c r="QZI3" s="1962"/>
      <c r="QZJ3" s="1962"/>
      <c r="QZK3" s="1962"/>
      <c r="QZL3" s="1962"/>
      <c r="QZM3" s="1962"/>
      <c r="QZN3" s="1962"/>
      <c r="QZO3" s="1962"/>
      <c r="QZP3" s="1962"/>
      <c r="QZQ3" s="1962"/>
      <c r="QZR3" s="1962"/>
      <c r="QZS3" s="1962"/>
      <c r="QZT3" s="1962"/>
      <c r="QZU3" s="1962"/>
      <c r="QZV3" s="1962"/>
      <c r="QZW3" s="1962"/>
      <c r="QZX3" s="1962"/>
      <c r="QZY3" s="1962"/>
      <c r="QZZ3" s="1962"/>
      <c r="RAA3" s="1962"/>
      <c r="RAB3" s="1962"/>
      <c r="RAC3" s="1962"/>
      <c r="RAD3" s="1962"/>
      <c r="RAE3" s="1962"/>
      <c r="RAF3" s="1962"/>
      <c r="RAG3" s="1962"/>
      <c r="RAH3" s="1962"/>
      <c r="RAI3" s="1962"/>
      <c r="RAJ3" s="1962"/>
      <c r="RAK3" s="1962"/>
      <c r="RAL3" s="1962"/>
      <c r="RAM3" s="1962"/>
      <c r="RAN3" s="1962"/>
      <c r="RAO3" s="1962"/>
      <c r="RAP3" s="1962"/>
      <c r="RAQ3" s="1962"/>
      <c r="RAR3" s="1962"/>
      <c r="RAS3" s="1962"/>
      <c r="RAT3" s="1962"/>
      <c r="RAU3" s="1962"/>
      <c r="RAV3" s="1962"/>
      <c r="RAW3" s="1962"/>
      <c r="RAX3" s="1962"/>
      <c r="RAY3" s="1962"/>
      <c r="RAZ3" s="1962"/>
      <c r="RBA3" s="1962"/>
      <c r="RBB3" s="1962"/>
      <c r="RBC3" s="1962"/>
      <c r="RBD3" s="1962"/>
      <c r="RBE3" s="1962"/>
      <c r="RBF3" s="1962"/>
      <c r="RBG3" s="1962"/>
      <c r="RBH3" s="1962"/>
      <c r="RBI3" s="1962"/>
      <c r="RBJ3" s="1962"/>
      <c r="RBK3" s="1962"/>
      <c r="RBL3" s="1962"/>
      <c r="RBM3" s="1962"/>
      <c r="RBN3" s="1962"/>
      <c r="RBO3" s="1962"/>
      <c r="RBP3" s="1962"/>
      <c r="RBQ3" s="1962"/>
      <c r="RBR3" s="1962"/>
      <c r="RBS3" s="1962"/>
      <c r="RBT3" s="1962"/>
      <c r="RBU3" s="1962"/>
      <c r="RBV3" s="1962"/>
      <c r="RBW3" s="1962"/>
      <c r="RBX3" s="1962"/>
      <c r="RBY3" s="1962"/>
      <c r="RBZ3" s="1962"/>
      <c r="RCA3" s="1962"/>
      <c r="RCB3" s="1962"/>
      <c r="RCC3" s="1962"/>
      <c r="RCD3" s="1962"/>
      <c r="RCE3" s="1962"/>
      <c r="RCF3" s="1962"/>
      <c r="RCG3" s="1962"/>
      <c r="RCH3" s="1962"/>
      <c r="RCI3" s="1962"/>
      <c r="RCJ3" s="1962"/>
      <c r="RCK3" s="1962"/>
      <c r="RCL3" s="1962"/>
      <c r="RCM3" s="1962"/>
      <c r="RCN3" s="1962"/>
      <c r="RCO3" s="1962"/>
      <c r="RCP3" s="1962"/>
      <c r="RCQ3" s="1962"/>
      <c r="RCR3" s="1962"/>
      <c r="RCS3" s="1962"/>
      <c r="RCT3" s="1962"/>
      <c r="RCU3" s="1962"/>
      <c r="RCV3" s="1962"/>
      <c r="RCW3" s="1962"/>
      <c r="RCX3" s="1962"/>
      <c r="RCY3" s="1962"/>
      <c r="RCZ3" s="1962"/>
      <c r="RDA3" s="1962"/>
      <c r="RDB3" s="1962"/>
      <c r="RDC3" s="1962"/>
      <c r="RDD3" s="1962"/>
      <c r="RDE3" s="1962"/>
      <c r="RDF3" s="1962"/>
      <c r="RDG3" s="1962"/>
      <c r="RDH3" s="1962"/>
      <c r="RDI3" s="1962"/>
      <c r="RDJ3" s="1962"/>
      <c r="RDK3" s="1962"/>
      <c r="RDL3" s="1962"/>
      <c r="RDM3" s="1962"/>
      <c r="RDN3" s="1962"/>
      <c r="RDO3" s="1962"/>
      <c r="RDP3" s="1962"/>
      <c r="RDQ3" s="1962"/>
      <c r="RDR3" s="1962"/>
      <c r="RDS3" s="1962"/>
      <c r="RDT3" s="1962"/>
      <c r="RDU3" s="1962"/>
      <c r="RDV3" s="1962"/>
      <c r="RDW3" s="1962"/>
      <c r="RDX3" s="1962"/>
      <c r="RDY3" s="1962"/>
      <c r="RDZ3" s="1962"/>
      <c r="REA3" s="1962"/>
      <c r="REB3" s="1962"/>
      <c r="REC3" s="1962"/>
      <c r="RED3" s="1962"/>
      <c r="REE3" s="1962"/>
      <c r="REF3" s="1962"/>
      <c r="REG3" s="1962"/>
      <c r="REH3" s="1962"/>
      <c r="REI3" s="1962"/>
      <c r="REJ3" s="1962"/>
      <c r="REK3" s="1962"/>
      <c r="REL3" s="1962"/>
      <c r="REM3" s="1962"/>
      <c r="REN3" s="1962"/>
      <c r="REO3" s="1962"/>
      <c r="REP3" s="1962"/>
      <c r="REQ3" s="1962"/>
      <c r="RER3" s="1962"/>
      <c r="RES3" s="1962"/>
      <c r="RET3" s="1962"/>
      <c r="REU3" s="1962"/>
      <c r="REV3" s="1962"/>
      <c r="REW3" s="1962"/>
      <c r="REX3" s="1962"/>
      <c r="REY3" s="1962"/>
      <c r="REZ3" s="1962"/>
      <c r="RFA3" s="1962"/>
      <c r="RFB3" s="1962"/>
      <c r="RFC3" s="1962"/>
      <c r="RFD3" s="1962"/>
      <c r="RFE3" s="1962"/>
      <c r="RFF3" s="1962"/>
      <c r="RFG3" s="1962"/>
      <c r="RFH3" s="1962"/>
      <c r="RFI3" s="1962"/>
      <c r="RFJ3" s="1962"/>
      <c r="RFK3" s="1962"/>
      <c r="RFL3" s="1962"/>
      <c r="RFM3" s="1962"/>
      <c r="RFN3" s="1962"/>
      <c r="RFO3" s="1962"/>
      <c r="RFP3" s="1962"/>
      <c r="RFQ3" s="1962"/>
      <c r="RFR3" s="1962"/>
      <c r="RFS3" s="1962"/>
      <c r="RFT3" s="1962"/>
      <c r="RFU3" s="1962"/>
      <c r="RFV3" s="1962"/>
      <c r="RFW3" s="1962"/>
      <c r="RFX3" s="1962"/>
      <c r="RFY3" s="1962"/>
      <c r="RFZ3" s="1962"/>
      <c r="RGA3" s="1962"/>
      <c r="RGB3" s="1962"/>
      <c r="RGC3" s="1962"/>
      <c r="RGD3" s="1962"/>
      <c r="RGE3" s="1962"/>
      <c r="RGF3" s="1962"/>
      <c r="RGG3" s="1962"/>
      <c r="RGH3" s="1962"/>
      <c r="RGI3" s="1962"/>
      <c r="RGJ3" s="1962"/>
      <c r="RGK3" s="1962"/>
      <c r="RGL3" s="1962"/>
      <c r="RGM3" s="1962"/>
      <c r="RGN3" s="1962"/>
      <c r="RGO3" s="1962"/>
      <c r="RGP3" s="1962"/>
      <c r="RGQ3" s="1962"/>
      <c r="RGR3" s="1962"/>
      <c r="RGS3" s="1962"/>
      <c r="RGT3" s="1962"/>
      <c r="RGU3" s="1962"/>
      <c r="RGV3" s="1962"/>
      <c r="RGW3" s="1962"/>
      <c r="RGX3" s="1962"/>
      <c r="RGY3" s="1962"/>
      <c r="RGZ3" s="1962"/>
      <c r="RHA3" s="1962"/>
      <c r="RHB3" s="1962"/>
      <c r="RHC3" s="1962"/>
      <c r="RHD3" s="1962"/>
      <c r="RHE3" s="1962"/>
      <c r="RHF3" s="1962"/>
      <c r="RHG3" s="1962"/>
      <c r="RHH3" s="1962"/>
      <c r="RHI3" s="1962"/>
      <c r="RHJ3" s="1962"/>
      <c r="RHK3" s="1962"/>
      <c r="RHL3" s="1962"/>
      <c r="RHM3" s="1962"/>
      <c r="RHN3" s="1962"/>
      <c r="RHO3" s="1962"/>
      <c r="RHP3" s="1962"/>
      <c r="RHQ3" s="1962"/>
      <c r="RHR3" s="1962"/>
      <c r="RHS3" s="1962"/>
      <c r="RHT3" s="1962"/>
      <c r="RHU3" s="1962"/>
      <c r="RHV3" s="1962"/>
      <c r="RHW3" s="1962"/>
      <c r="RHX3" s="1962"/>
      <c r="RHY3" s="1962"/>
      <c r="RHZ3" s="1962"/>
      <c r="RIA3" s="1962"/>
      <c r="RIB3" s="1962"/>
      <c r="RIC3" s="1962"/>
      <c r="RID3" s="1962"/>
      <c r="RIE3" s="1962"/>
      <c r="RIF3" s="1962"/>
      <c r="RIG3" s="1962"/>
      <c r="RIH3" s="1962"/>
      <c r="RII3" s="1962"/>
      <c r="RIJ3" s="1962"/>
      <c r="RIK3" s="1962"/>
      <c r="RIL3" s="1962"/>
      <c r="RIM3" s="1962"/>
      <c r="RIN3" s="1962"/>
      <c r="RIO3" s="1962"/>
      <c r="RIP3" s="1962"/>
      <c r="RIQ3" s="1962"/>
      <c r="RIR3" s="1962"/>
      <c r="RIS3" s="1962"/>
      <c r="RIT3" s="1962"/>
      <c r="RIU3" s="1962"/>
      <c r="RIV3" s="1962"/>
      <c r="RIW3" s="1962"/>
      <c r="RIX3" s="1962"/>
      <c r="RIY3" s="1962"/>
      <c r="RIZ3" s="1962"/>
      <c r="RJA3" s="1962"/>
      <c r="RJB3" s="1962"/>
      <c r="RJC3" s="1962"/>
      <c r="RJD3" s="1962"/>
      <c r="RJE3" s="1962"/>
      <c r="RJF3" s="1962"/>
      <c r="RJG3" s="1962"/>
      <c r="RJH3" s="1962"/>
      <c r="RJI3" s="1962"/>
      <c r="RJJ3" s="1962"/>
      <c r="RJK3" s="1962"/>
      <c r="RJL3" s="1962"/>
      <c r="RJM3" s="1962"/>
      <c r="RJN3" s="1962"/>
      <c r="RJO3" s="1962"/>
      <c r="RJP3" s="1962"/>
      <c r="RJQ3" s="1962"/>
      <c r="RJR3" s="1962"/>
      <c r="RJS3" s="1962"/>
      <c r="RJT3" s="1962"/>
      <c r="RJU3" s="1962"/>
      <c r="RJV3" s="1962"/>
      <c r="RJW3" s="1962"/>
      <c r="RJX3" s="1962"/>
      <c r="RJY3" s="1962"/>
      <c r="RJZ3" s="1962"/>
      <c r="RKA3" s="1962"/>
      <c r="RKB3" s="1962"/>
      <c r="RKC3" s="1962"/>
      <c r="RKD3" s="1962"/>
      <c r="RKE3" s="1962"/>
      <c r="RKF3" s="1962"/>
      <c r="RKG3" s="1962"/>
      <c r="RKH3" s="1962"/>
      <c r="RKI3" s="1962"/>
      <c r="RKJ3" s="1962"/>
      <c r="RKK3" s="1962"/>
      <c r="RKL3" s="1962"/>
      <c r="RKM3" s="1962"/>
      <c r="RKN3" s="1962"/>
      <c r="RKO3" s="1962"/>
      <c r="RKP3" s="1962"/>
      <c r="RKQ3" s="1962"/>
      <c r="RKR3" s="1962"/>
      <c r="RKS3" s="1962"/>
      <c r="RKT3" s="1962"/>
      <c r="RKU3" s="1962"/>
      <c r="RKV3" s="1962"/>
      <c r="RKW3" s="1962"/>
      <c r="RKX3" s="1962"/>
      <c r="RKY3" s="1962"/>
      <c r="RKZ3" s="1962"/>
      <c r="RLA3" s="1962"/>
      <c r="RLB3" s="1962"/>
      <c r="RLC3" s="1962"/>
      <c r="RLD3" s="1962"/>
      <c r="RLE3" s="1962"/>
      <c r="RLF3" s="1962"/>
      <c r="RLG3" s="1962"/>
      <c r="RLH3" s="1962"/>
      <c r="RLI3" s="1962"/>
      <c r="RLJ3" s="1962"/>
      <c r="RLK3" s="1962"/>
      <c r="RLL3" s="1962"/>
      <c r="RLM3" s="1962"/>
      <c r="RLN3" s="1962"/>
      <c r="RLO3" s="1962"/>
      <c r="RLP3" s="1962"/>
      <c r="RLQ3" s="1962"/>
      <c r="RLR3" s="1962"/>
      <c r="RLS3" s="1962"/>
      <c r="RLT3" s="1962"/>
      <c r="RLU3" s="1962"/>
      <c r="RLV3" s="1962"/>
      <c r="RLW3" s="1962"/>
      <c r="RLX3" s="1962"/>
      <c r="RLY3" s="1962"/>
      <c r="RLZ3" s="1962"/>
      <c r="RMA3" s="1962"/>
      <c r="RMB3" s="1962"/>
      <c r="RMC3" s="1962"/>
      <c r="RMD3" s="1962"/>
      <c r="RME3" s="1962"/>
      <c r="RMF3" s="1962"/>
      <c r="RMG3" s="1962"/>
      <c r="RMH3" s="1962"/>
      <c r="RMI3" s="1962"/>
      <c r="RMJ3" s="1962"/>
      <c r="RMK3" s="1962"/>
      <c r="RML3" s="1962"/>
      <c r="RMM3" s="1962"/>
      <c r="RMN3" s="1962"/>
      <c r="RMO3" s="1962"/>
      <c r="RMP3" s="1962"/>
      <c r="RMQ3" s="1962"/>
      <c r="RMR3" s="1962"/>
      <c r="RMS3" s="1962"/>
      <c r="RMT3" s="1962"/>
      <c r="RMU3" s="1962"/>
      <c r="RMV3" s="1962"/>
      <c r="RMW3" s="1962"/>
      <c r="RMX3" s="1962"/>
      <c r="RMY3" s="1962"/>
      <c r="RMZ3" s="1962"/>
      <c r="RNA3" s="1962"/>
      <c r="RNB3" s="1962"/>
      <c r="RNC3" s="1962"/>
      <c r="RND3" s="1962"/>
      <c r="RNE3" s="1962"/>
      <c r="RNF3" s="1962"/>
      <c r="RNG3" s="1962"/>
      <c r="RNH3" s="1962"/>
      <c r="RNI3" s="1962"/>
      <c r="RNJ3" s="1962"/>
      <c r="RNK3" s="1962"/>
      <c r="RNL3" s="1962"/>
      <c r="RNM3" s="1962"/>
      <c r="RNN3" s="1962"/>
      <c r="RNO3" s="1962"/>
      <c r="RNP3" s="1962"/>
      <c r="RNQ3" s="1962"/>
      <c r="RNR3" s="1962"/>
      <c r="RNS3" s="1962"/>
      <c r="RNT3" s="1962"/>
      <c r="RNU3" s="1962"/>
      <c r="RNV3" s="1962"/>
      <c r="RNW3" s="1962"/>
      <c r="RNX3" s="1962"/>
      <c r="RNY3" s="1962"/>
      <c r="RNZ3" s="1962"/>
      <c r="ROA3" s="1962"/>
      <c r="ROB3" s="1962"/>
      <c r="ROC3" s="1962"/>
      <c r="ROD3" s="1962"/>
      <c r="ROE3" s="1962"/>
      <c r="ROF3" s="1962"/>
      <c r="ROG3" s="1962"/>
      <c r="ROH3" s="1962"/>
      <c r="ROI3" s="1962"/>
      <c r="ROJ3" s="1962"/>
      <c r="ROK3" s="1962"/>
      <c r="ROL3" s="1962"/>
      <c r="ROM3" s="1962"/>
      <c r="RON3" s="1962"/>
      <c r="ROO3" s="1962"/>
      <c r="ROP3" s="1962"/>
      <c r="ROQ3" s="1962"/>
      <c r="ROR3" s="1962"/>
      <c r="ROS3" s="1962"/>
      <c r="ROT3" s="1962"/>
      <c r="ROU3" s="1962"/>
      <c r="ROV3" s="1962"/>
      <c r="ROW3" s="1962"/>
      <c r="ROX3" s="1962"/>
      <c r="ROY3" s="1962"/>
      <c r="ROZ3" s="1962"/>
      <c r="RPA3" s="1962"/>
      <c r="RPB3" s="1962"/>
      <c r="RPC3" s="1962"/>
      <c r="RPD3" s="1962"/>
      <c r="RPE3" s="1962"/>
      <c r="RPF3" s="1962"/>
      <c r="RPG3" s="1962"/>
      <c r="RPH3" s="1962"/>
      <c r="RPI3" s="1962"/>
      <c r="RPJ3" s="1962"/>
      <c r="RPK3" s="1962"/>
      <c r="RPL3" s="1962"/>
      <c r="RPM3" s="1962"/>
      <c r="RPN3" s="1962"/>
      <c r="RPO3" s="1962"/>
      <c r="RPP3" s="1962"/>
      <c r="RPQ3" s="1962"/>
      <c r="RPR3" s="1962"/>
      <c r="RPS3" s="1962"/>
      <c r="RPT3" s="1962"/>
      <c r="RPU3" s="1962"/>
      <c r="RPV3" s="1962"/>
      <c r="RPW3" s="1962"/>
      <c r="RPX3" s="1962"/>
      <c r="RPY3" s="1962"/>
      <c r="RPZ3" s="1962"/>
      <c r="RQA3" s="1962"/>
      <c r="RQB3" s="1962"/>
      <c r="RQC3" s="1962"/>
      <c r="RQD3" s="1962"/>
      <c r="RQE3" s="1962"/>
      <c r="RQF3" s="1962"/>
      <c r="RQG3" s="1962"/>
      <c r="RQH3" s="1962"/>
      <c r="RQI3" s="1962"/>
      <c r="RQJ3" s="1962"/>
      <c r="RQK3" s="1962"/>
      <c r="RQL3" s="1962"/>
      <c r="RQM3" s="1962"/>
      <c r="RQN3" s="1962"/>
      <c r="RQO3" s="1962"/>
      <c r="RQP3" s="1962"/>
      <c r="RQQ3" s="1962"/>
      <c r="RQR3" s="1962"/>
      <c r="RQS3" s="1962"/>
      <c r="RQT3" s="1962"/>
      <c r="RQU3" s="1962"/>
      <c r="RQV3" s="1962"/>
      <c r="RQW3" s="1962"/>
      <c r="RQX3" s="1962"/>
      <c r="RQY3" s="1962"/>
      <c r="RQZ3" s="1962"/>
      <c r="RRA3" s="1962"/>
      <c r="RRB3" s="1962"/>
      <c r="RRC3" s="1962"/>
      <c r="RRD3" s="1962"/>
      <c r="RRE3" s="1962"/>
      <c r="RRF3" s="1962"/>
      <c r="RRG3" s="1962"/>
      <c r="RRH3" s="1962"/>
      <c r="RRI3" s="1962"/>
      <c r="RRJ3" s="1962"/>
      <c r="RRK3" s="1962"/>
      <c r="RRL3" s="1962"/>
      <c r="RRM3" s="1962"/>
      <c r="RRN3" s="1962"/>
      <c r="RRO3" s="1962"/>
      <c r="RRP3" s="1962"/>
      <c r="RRQ3" s="1962"/>
      <c r="RRR3" s="1962"/>
      <c r="RRS3" s="1962"/>
      <c r="RRT3" s="1962"/>
      <c r="RRU3" s="1962"/>
      <c r="RRV3" s="1962"/>
      <c r="RRW3" s="1962"/>
      <c r="RRX3" s="1962"/>
      <c r="RRY3" s="1962"/>
      <c r="RRZ3" s="1962"/>
      <c r="RSA3" s="1962"/>
      <c r="RSB3" s="1962"/>
      <c r="RSC3" s="1962"/>
      <c r="RSD3" s="1962"/>
      <c r="RSE3" s="1962"/>
      <c r="RSF3" s="1962"/>
      <c r="RSG3" s="1962"/>
      <c r="RSH3" s="1962"/>
      <c r="RSI3" s="1962"/>
      <c r="RSJ3" s="1962"/>
      <c r="RSK3" s="1962"/>
      <c r="RSL3" s="1962"/>
      <c r="RSM3" s="1962"/>
      <c r="RSN3" s="1962"/>
      <c r="RSO3" s="1962"/>
      <c r="RSP3" s="1962"/>
      <c r="RSQ3" s="1962"/>
      <c r="RSR3" s="1962"/>
      <c r="RSS3" s="1962"/>
      <c r="RST3" s="1962"/>
      <c r="RSU3" s="1962"/>
      <c r="RSV3" s="1962"/>
      <c r="RSW3" s="1962"/>
      <c r="RSX3" s="1962"/>
      <c r="RSY3" s="1962"/>
      <c r="RSZ3" s="1962"/>
      <c r="RTA3" s="1962"/>
      <c r="RTB3" s="1962"/>
      <c r="RTC3" s="1962"/>
      <c r="RTD3" s="1962"/>
      <c r="RTE3" s="1962"/>
      <c r="RTF3" s="1962"/>
      <c r="RTG3" s="1962"/>
      <c r="RTH3" s="1962"/>
      <c r="RTI3" s="1962"/>
      <c r="RTJ3" s="1962"/>
      <c r="RTK3" s="1962"/>
      <c r="RTL3" s="1962"/>
      <c r="RTM3" s="1962"/>
      <c r="RTN3" s="1962"/>
      <c r="RTO3" s="1962"/>
      <c r="RTP3" s="1962"/>
      <c r="RTQ3" s="1962"/>
      <c r="RTR3" s="1962"/>
      <c r="RTS3" s="1962"/>
      <c r="RTT3" s="1962"/>
      <c r="RTU3" s="1962"/>
      <c r="RTV3" s="1962"/>
      <c r="RTW3" s="1962"/>
      <c r="RTX3" s="1962"/>
      <c r="RTY3" s="1962"/>
      <c r="RTZ3" s="1962"/>
      <c r="RUA3" s="1962"/>
      <c r="RUB3" s="1962"/>
      <c r="RUC3" s="1962"/>
      <c r="RUD3" s="1962"/>
      <c r="RUE3" s="1962"/>
      <c r="RUF3" s="1962"/>
      <c r="RUG3" s="1962"/>
      <c r="RUH3" s="1962"/>
      <c r="RUI3" s="1962"/>
      <c r="RUJ3" s="1962"/>
      <c r="RUK3" s="1962"/>
      <c r="RUL3" s="1962"/>
      <c r="RUM3" s="1962"/>
      <c r="RUN3" s="1962"/>
      <c r="RUO3" s="1962"/>
      <c r="RUP3" s="1962"/>
      <c r="RUQ3" s="1962"/>
      <c r="RUR3" s="1962"/>
      <c r="RUS3" s="1962"/>
      <c r="RUT3" s="1962"/>
      <c r="RUU3" s="1962"/>
      <c r="RUV3" s="1962"/>
      <c r="RUW3" s="1962"/>
      <c r="RUX3" s="1962"/>
      <c r="RUY3" s="1962"/>
      <c r="RUZ3" s="1962"/>
      <c r="RVA3" s="1962"/>
      <c r="RVB3" s="1962"/>
      <c r="RVC3" s="1962"/>
      <c r="RVD3" s="1962"/>
      <c r="RVE3" s="1962"/>
      <c r="RVF3" s="1962"/>
      <c r="RVG3" s="1962"/>
      <c r="RVH3" s="1962"/>
      <c r="RVI3" s="1962"/>
      <c r="RVJ3" s="1962"/>
      <c r="RVK3" s="1962"/>
      <c r="RVL3" s="1962"/>
      <c r="RVM3" s="1962"/>
      <c r="RVN3" s="1962"/>
      <c r="RVO3" s="1962"/>
      <c r="RVP3" s="1962"/>
      <c r="RVQ3" s="1962"/>
      <c r="RVR3" s="1962"/>
      <c r="RVS3" s="1962"/>
      <c r="RVT3" s="1962"/>
      <c r="RVU3" s="1962"/>
      <c r="RVV3" s="1962"/>
      <c r="RVW3" s="1962"/>
      <c r="RVX3" s="1962"/>
      <c r="RVY3" s="1962"/>
      <c r="RVZ3" s="1962"/>
      <c r="RWA3" s="1962"/>
      <c r="RWB3" s="1962"/>
      <c r="RWC3" s="1962"/>
      <c r="RWD3" s="1962"/>
      <c r="RWE3" s="1962"/>
      <c r="RWF3" s="1962"/>
      <c r="RWG3" s="1962"/>
      <c r="RWH3" s="1962"/>
      <c r="RWI3" s="1962"/>
      <c r="RWJ3" s="1962"/>
      <c r="RWK3" s="1962"/>
      <c r="RWL3" s="1962"/>
      <c r="RWM3" s="1962"/>
      <c r="RWN3" s="1962"/>
      <c r="RWO3" s="1962"/>
      <c r="RWP3" s="1962"/>
      <c r="RWQ3" s="1962"/>
      <c r="RWR3" s="1962"/>
      <c r="RWS3" s="1962"/>
      <c r="RWT3" s="1962"/>
      <c r="RWU3" s="1962"/>
      <c r="RWV3" s="1962"/>
      <c r="RWW3" s="1962"/>
      <c r="RWX3" s="1962"/>
      <c r="RWY3" s="1962"/>
      <c r="RWZ3" s="1962"/>
      <c r="RXA3" s="1962"/>
      <c r="RXB3" s="1962"/>
      <c r="RXC3" s="1962"/>
      <c r="RXD3" s="1962"/>
      <c r="RXE3" s="1962"/>
      <c r="RXF3" s="1962"/>
      <c r="RXG3" s="1962"/>
      <c r="RXH3" s="1962"/>
      <c r="RXI3" s="1962"/>
      <c r="RXJ3" s="1962"/>
      <c r="RXK3" s="1962"/>
      <c r="RXL3" s="1962"/>
      <c r="RXM3" s="1962"/>
      <c r="RXN3" s="1962"/>
      <c r="RXO3" s="1962"/>
      <c r="RXP3" s="1962"/>
      <c r="RXQ3" s="1962"/>
      <c r="RXR3" s="1962"/>
      <c r="RXS3" s="1962"/>
      <c r="RXT3" s="1962"/>
      <c r="RXU3" s="1962"/>
      <c r="RXV3" s="1962"/>
      <c r="RXW3" s="1962"/>
      <c r="RXX3" s="1962"/>
      <c r="RXY3" s="1962"/>
      <c r="RXZ3" s="1962"/>
      <c r="RYA3" s="1962"/>
      <c r="RYB3" s="1962"/>
      <c r="RYC3" s="1962"/>
      <c r="RYD3" s="1962"/>
      <c r="RYE3" s="1962"/>
      <c r="RYF3" s="1962"/>
      <c r="RYG3" s="1962"/>
      <c r="RYH3" s="1962"/>
      <c r="RYI3" s="1962"/>
      <c r="RYJ3" s="1962"/>
      <c r="RYK3" s="1962"/>
      <c r="RYL3" s="1962"/>
      <c r="RYM3" s="1962"/>
      <c r="RYN3" s="1962"/>
      <c r="RYO3" s="1962"/>
      <c r="RYP3" s="1962"/>
      <c r="RYQ3" s="1962"/>
      <c r="RYR3" s="1962"/>
      <c r="RYS3" s="1962"/>
      <c r="RYT3" s="1962"/>
      <c r="RYU3" s="1962"/>
      <c r="RYV3" s="1962"/>
      <c r="RYW3" s="1962"/>
      <c r="RYX3" s="1962"/>
      <c r="RYY3" s="1962"/>
      <c r="RYZ3" s="1962"/>
      <c r="RZA3" s="1962"/>
      <c r="RZB3" s="1962"/>
      <c r="RZC3" s="1962"/>
      <c r="RZD3" s="1962"/>
      <c r="RZE3" s="1962"/>
      <c r="RZF3" s="1962"/>
      <c r="RZG3" s="1962"/>
      <c r="RZH3" s="1962"/>
      <c r="RZI3" s="1962"/>
      <c r="RZJ3" s="1962"/>
      <c r="RZK3" s="1962"/>
      <c r="RZL3" s="1962"/>
      <c r="RZM3" s="1962"/>
      <c r="RZN3" s="1962"/>
      <c r="RZO3" s="1962"/>
      <c r="RZP3" s="1962"/>
      <c r="RZQ3" s="1962"/>
      <c r="RZR3" s="1962"/>
      <c r="RZS3" s="1962"/>
      <c r="RZT3" s="1962"/>
      <c r="RZU3" s="1962"/>
      <c r="RZV3" s="1962"/>
      <c r="RZW3" s="1962"/>
      <c r="RZX3" s="1962"/>
      <c r="RZY3" s="1962"/>
      <c r="RZZ3" s="1962"/>
      <c r="SAA3" s="1962"/>
      <c r="SAB3" s="1962"/>
      <c r="SAC3" s="1962"/>
      <c r="SAD3" s="1962"/>
      <c r="SAE3" s="1962"/>
      <c r="SAF3" s="1962"/>
      <c r="SAG3" s="1962"/>
      <c r="SAH3" s="1962"/>
      <c r="SAI3" s="1962"/>
      <c r="SAJ3" s="1962"/>
      <c r="SAK3" s="1962"/>
      <c r="SAL3" s="1962"/>
      <c r="SAM3" s="1962"/>
      <c r="SAN3" s="1962"/>
      <c r="SAO3" s="1962"/>
      <c r="SAP3" s="1962"/>
      <c r="SAQ3" s="1962"/>
      <c r="SAR3" s="1962"/>
      <c r="SAS3" s="1962"/>
      <c r="SAT3" s="1962"/>
      <c r="SAU3" s="1962"/>
      <c r="SAV3" s="1962"/>
      <c r="SAW3" s="1962"/>
      <c r="SAX3" s="1962"/>
      <c r="SAY3" s="1962"/>
      <c r="SAZ3" s="1962"/>
      <c r="SBA3" s="1962"/>
      <c r="SBB3" s="1962"/>
      <c r="SBC3" s="1962"/>
      <c r="SBD3" s="1962"/>
      <c r="SBE3" s="1962"/>
      <c r="SBF3" s="1962"/>
      <c r="SBG3" s="1962"/>
      <c r="SBH3" s="1962"/>
      <c r="SBI3" s="1962"/>
      <c r="SBJ3" s="1962"/>
      <c r="SBK3" s="1962"/>
      <c r="SBL3" s="1962"/>
      <c r="SBM3" s="1962"/>
      <c r="SBN3" s="1962"/>
      <c r="SBO3" s="1962"/>
      <c r="SBP3" s="1962"/>
      <c r="SBQ3" s="1962"/>
      <c r="SBR3" s="1962"/>
      <c r="SBS3" s="1962"/>
      <c r="SBT3" s="1962"/>
      <c r="SBU3" s="1962"/>
      <c r="SBV3" s="1962"/>
      <c r="SBW3" s="1962"/>
      <c r="SBX3" s="1962"/>
      <c r="SBY3" s="1962"/>
      <c r="SBZ3" s="1962"/>
      <c r="SCA3" s="1962"/>
      <c r="SCB3" s="1962"/>
      <c r="SCC3" s="1962"/>
      <c r="SCD3" s="1962"/>
      <c r="SCE3" s="1962"/>
      <c r="SCF3" s="1962"/>
      <c r="SCG3" s="1962"/>
      <c r="SCH3" s="1962"/>
      <c r="SCI3" s="1962"/>
      <c r="SCJ3" s="1962"/>
      <c r="SCK3" s="1962"/>
      <c r="SCL3" s="1962"/>
      <c r="SCM3" s="1962"/>
      <c r="SCN3" s="1962"/>
      <c r="SCO3" s="1962"/>
      <c r="SCP3" s="1962"/>
      <c r="SCQ3" s="1962"/>
      <c r="SCR3" s="1962"/>
      <c r="SCS3" s="1962"/>
      <c r="SCT3" s="1962"/>
      <c r="SCU3" s="1962"/>
      <c r="SCV3" s="1962"/>
      <c r="SCW3" s="1962"/>
      <c r="SCX3" s="1962"/>
      <c r="SCY3" s="1962"/>
      <c r="SCZ3" s="1962"/>
      <c r="SDA3" s="1962"/>
      <c r="SDB3" s="1962"/>
      <c r="SDC3" s="1962"/>
      <c r="SDD3" s="1962"/>
      <c r="SDE3" s="1962"/>
      <c r="SDF3" s="1962"/>
      <c r="SDG3" s="1962"/>
      <c r="SDH3" s="1962"/>
      <c r="SDI3" s="1962"/>
      <c r="SDJ3" s="1962"/>
      <c r="SDK3" s="1962"/>
      <c r="SDL3" s="1962"/>
      <c r="SDM3" s="1962"/>
      <c r="SDN3" s="1962"/>
      <c r="SDO3" s="1962"/>
      <c r="SDP3" s="1962"/>
      <c r="SDQ3" s="1962"/>
      <c r="SDR3" s="1962"/>
      <c r="SDS3" s="1962"/>
      <c r="SDT3" s="1962"/>
      <c r="SDU3" s="1962"/>
      <c r="SDV3" s="1962"/>
      <c r="SDW3" s="1962"/>
      <c r="SDX3" s="1962"/>
      <c r="SDY3" s="1962"/>
      <c r="SDZ3" s="1962"/>
      <c r="SEA3" s="1962"/>
      <c r="SEB3" s="1962"/>
      <c r="SEC3" s="1962"/>
      <c r="SED3" s="1962"/>
      <c r="SEE3" s="1962"/>
      <c r="SEF3" s="1962"/>
      <c r="SEG3" s="1962"/>
      <c r="SEH3" s="1962"/>
      <c r="SEI3" s="1962"/>
      <c r="SEJ3" s="1962"/>
      <c r="SEK3" s="1962"/>
      <c r="SEL3" s="1962"/>
      <c r="SEM3" s="1962"/>
      <c r="SEN3" s="1962"/>
      <c r="SEO3" s="1962"/>
      <c r="SEP3" s="1962"/>
      <c r="SEQ3" s="1962"/>
      <c r="SER3" s="1962"/>
      <c r="SES3" s="1962"/>
      <c r="SET3" s="1962"/>
      <c r="SEU3" s="1962"/>
      <c r="SEV3" s="1962"/>
      <c r="SEW3" s="1962"/>
      <c r="SEX3" s="1962"/>
      <c r="SEY3" s="1962"/>
      <c r="SEZ3" s="1962"/>
      <c r="SFA3" s="1962"/>
      <c r="SFB3" s="1962"/>
      <c r="SFC3" s="1962"/>
      <c r="SFD3" s="1962"/>
      <c r="SFE3" s="1962"/>
      <c r="SFF3" s="1962"/>
      <c r="SFG3" s="1962"/>
      <c r="SFH3" s="1962"/>
      <c r="SFI3" s="1962"/>
      <c r="SFJ3" s="1962"/>
      <c r="SFK3" s="1962"/>
      <c r="SFL3" s="1962"/>
      <c r="SFM3" s="1962"/>
      <c r="SFN3" s="1962"/>
      <c r="SFO3" s="1962"/>
      <c r="SFP3" s="1962"/>
      <c r="SFQ3" s="1962"/>
      <c r="SFR3" s="1962"/>
      <c r="SFS3" s="1962"/>
      <c r="SFT3" s="1962"/>
      <c r="SFU3" s="1962"/>
      <c r="SFV3" s="1962"/>
      <c r="SFW3" s="1962"/>
      <c r="SFX3" s="1962"/>
      <c r="SFY3" s="1962"/>
      <c r="SFZ3" s="1962"/>
      <c r="SGA3" s="1962"/>
      <c r="SGB3" s="1962"/>
      <c r="SGC3" s="1962"/>
      <c r="SGD3" s="1962"/>
      <c r="SGE3" s="1962"/>
      <c r="SGF3" s="1962"/>
      <c r="SGG3" s="1962"/>
      <c r="SGH3" s="1962"/>
      <c r="SGI3" s="1962"/>
      <c r="SGJ3" s="1962"/>
      <c r="SGK3" s="1962"/>
      <c r="SGL3" s="1962"/>
      <c r="SGM3" s="1962"/>
      <c r="SGN3" s="1962"/>
      <c r="SGO3" s="1962"/>
      <c r="SGP3" s="1962"/>
      <c r="SGQ3" s="1962"/>
      <c r="SGR3" s="1962"/>
      <c r="SGS3" s="1962"/>
      <c r="SGT3" s="1962"/>
      <c r="SGU3" s="1962"/>
      <c r="SGV3" s="1962"/>
      <c r="SGW3" s="1962"/>
      <c r="SGX3" s="1962"/>
      <c r="SGY3" s="1962"/>
      <c r="SGZ3" s="1962"/>
      <c r="SHA3" s="1962"/>
      <c r="SHB3" s="1962"/>
      <c r="SHC3" s="1962"/>
      <c r="SHD3" s="1962"/>
      <c r="SHE3" s="1962"/>
      <c r="SHF3" s="1962"/>
      <c r="SHG3" s="1962"/>
      <c r="SHH3" s="1962"/>
      <c r="SHI3" s="1962"/>
      <c r="SHJ3" s="1962"/>
      <c r="SHK3" s="1962"/>
      <c r="SHL3" s="1962"/>
      <c r="SHM3" s="1962"/>
      <c r="SHN3" s="1962"/>
      <c r="SHO3" s="1962"/>
      <c r="SHP3" s="1962"/>
      <c r="SHQ3" s="1962"/>
      <c r="SHR3" s="1962"/>
      <c r="SHS3" s="1962"/>
      <c r="SHT3" s="1962"/>
      <c r="SHU3" s="1962"/>
      <c r="SHV3" s="1962"/>
      <c r="SHW3" s="1962"/>
      <c r="SHX3" s="1962"/>
      <c r="SHY3" s="1962"/>
      <c r="SHZ3" s="1962"/>
      <c r="SIA3" s="1962"/>
      <c r="SIB3" s="1962"/>
      <c r="SIC3" s="1962"/>
      <c r="SID3" s="1962"/>
      <c r="SIE3" s="1962"/>
      <c r="SIF3" s="1962"/>
      <c r="SIG3" s="1962"/>
      <c r="SIH3" s="1962"/>
      <c r="SII3" s="1962"/>
      <c r="SIJ3" s="1962"/>
      <c r="SIK3" s="1962"/>
      <c r="SIL3" s="1962"/>
      <c r="SIM3" s="1962"/>
      <c r="SIN3" s="1962"/>
      <c r="SIO3" s="1962"/>
      <c r="SIP3" s="1962"/>
      <c r="SIQ3" s="1962"/>
      <c r="SIR3" s="1962"/>
      <c r="SIS3" s="1962"/>
      <c r="SIT3" s="1962"/>
      <c r="SIU3" s="1962"/>
      <c r="SIV3" s="1962"/>
      <c r="SIW3" s="1962"/>
      <c r="SIX3" s="1962"/>
      <c r="SIY3" s="1962"/>
      <c r="SIZ3" s="1962"/>
      <c r="SJA3" s="1962"/>
      <c r="SJB3" s="1962"/>
      <c r="SJC3" s="1962"/>
      <c r="SJD3" s="1962"/>
      <c r="SJE3" s="1962"/>
      <c r="SJF3" s="1962"/>
      <c r="SJG3" s="1962"/>
      <c r="SJH3" s="1962"/>
      <c r="SJI3" s="1962"/>
      <c r="SJJ3" s="1962"/>
      <c r="SJK3" s="1962"/>
      <c r="SJL3" s="1962"/>
      <c r="SJM3" s="1962"/>
      <c r="SJN3" s="1962"/>
      <c r="SJO3" s="1962"/>
      <c r="SJP3" s="1962"/>
      <c r="SJQ3" s="1962"/>
      <c r="SJR3" s="1962"/>
      <c r="SJS3" s="1962"/>
      <c r="SJT3" s="1962"/>
      <c r="SJU3" s="1962"/>
      <c r="SJV3" s="1962"/>
      <c r="SJW3" s="1962"/>
      <c r="SJX3" s="1962"/>
      <c r="SJY3" s="1962"/>
      <c r="SJZ3" s="1962"/>
      <c r="SKA3" s="1962"/>
      <c r="SKB3" s="1962"/>
      <c r="SKC3" s="1962"/>
      <c r="SKD3" s="1962"/>
      <c r="SKE3" s="1962"/>
      <c r="SKF3" s="1962"/>
      <c r="SKG3" s="1962"/>
      <c r="SKH3" s="1962"/>
      <c r="SKI3" s="1962"/>
      <c r="SKJ3" s="1962"/>
      <c r="SKK3" s="1962"/>
      <c r="SKL3" s="1962"/>
      <c r="SKM3" s="1962"/>
      <c r="SKN3" s="1962"/>
      <c r="SKO3" s="1962"/>
      <c r="SKP3" s="1962"/>
      <c r="SKQ3" s="1962"/>
      <c r="SKR3" s="1962"/>
      <c r="SKS3" s="1962"/>
      <c r="SKT3" s="1962"/>
      <c r="SKU3" s="1962"/>
      <c r="SKV3" s="1962"/>
      <c r="SKW3" s="1962"/>
      <c r="SKX3" s="1962"/>
      <c r="SKY3" s="1962"/>
      <c r="SKZ3" s="1962"/>
      <c r="SLA3" s="1962"/>
      <c r="SLB3" s="1962"/>
      <c r="SLC3" s="1962"/>
      <c r="SLD3" s="1962"/>
      <c r="SLE3" s="1962"/>
      <c r="SLF3" s="1962"/>
      <c r="SLG3" s="1962"/>
      <c r="SLH3" s="1962"/>
      <c r="SLI3" s="1962"/>
      <c r="SLJ3" s="1962"/>
      <c r="SLK3" s="1962"/>
      <c r="SLL3" s="1962"/>
      <c r="SLM3" s="1962"/>
      <c r="SLN3" s="1962"/>
      <c r="SLO3" s="1962"/>
      <c r="SLP3" s="1962"/>
      <c r="SLQ3" s="1962"/>
      <c r="SLR3" s="1962"/>
      <c r="SLS3" s="1962"/>
      <c r="SLT3" s="1962"/>
      <c r="SLU3" s="1962"/>
      <c r="SLV3" s="1962"/>
      <c r="SLW3" s="1962"/>
      <c r="SLX3" s="1962"/>
      <c r="SLY3" s="1962"/>
      <c r="SLZ3" s="1962"/>
      <c r="SMA3" s="1962"/>
      <c r="SMB3" s="1962"/>
      <c r="SMC3" s="1962"/>
      <c r="SMD3" s="1962"/>
      <c r="SME3" s="1962"/>
      <c r="SMF3" s="1962"/>
      <c r="SMG3" s="1962"/>
      <c r="SMH3" s="1962"/>
      <c r="SMI3" s="1962"/>
      <c r="SMJ3" s="1962"/>
      <c r="SMK3" s="1962"/>
      <c r="SML3" s="1962"/>
      <c r="SMM3" s="1962"/>
      <c r="SMN3" s="1962"/>
      <c r="SMO3" s="1962"/>
      <c r="SMP3" s="1962"/>
      <c r="SMQ3" s="1962"/>
      <c r="SMR3" s="1962"/>
      <c r="SMS3" s="1962"/>
      <c r="SMT3" s="1962"/>
      <c r="SMU3" s="1962"/>
      <c r="SMV3" s="1962"/>
      <c r="SMW3" s="1962"/>
      <c r="SMX3" s="1962"/>
      <c r="SMY3" s="1962"/>
      <c r="SMZ3" s="1962"/>
      <c r="SNA3" s="1962"/>
      <c r="SNB3" s="1962"/>
      <c r="SNC3" s="1962"/>
      <c r="SND3" s="1962"/>
      <c r="SNE3" s="1962"/>
      <c r="SNF3" s="1962"/>
      <c r="SNG3" s="1962"/>
      <c r="SNH3" s="1962"/>
      <c r="SNI3" s="1962"/>
      <c r="SNJ3" s="1962"/>
      <c r="SNK3" s="1962"/>
      <c r="SNL3" s="1962"/>
      <c r="SNM3" s="1962"/>
      <c r="SNN3" s="1962"/>
      <c r="SNO3" s="1962"/>
      <c r="SNP3" s="1962"/>
      <c r="SNQ3" s="1962"/>
      <c r="SNR3" s="1962"/>
      <c r="SNS3" s="1962"/>
      <c r="SNT3" s="1962"/>
      <c r="SNU3" s="1962"/>
      <c r="SNV3" s="1962"/>
      <c r="SNW3" s="1962"/>
      <c r="SNX3" s="1962"/>
      <c r="SNY3" s="1962"/>
      <c r="SNZ3" s="1962"/>
      <c r="SOA3" s="1962"/>
      <c r="SOB3" s="1962"/>
      <c r="SOC3" s="1962"/>
      <c r="SOD3" s="1962"/>
      <c r="SOE3" s="1962"/>
      <c r="SOF3" s="1962"/>
      <c r="SOG3" s="1962"/>
      <c r="SOH3" s="1962"/>
      <c r="SOI3" s="1962"/>
      <c r="SOJ3" s="1962"/>
      <c r="SOK3" s="1962"/>
      <c r="SOL3" s="1962"/>
      <c r="SOM3" s="1962"/>
      <c r="SON3" s="1962"/>
      <c r="SOO3" s="1962"/>
      <c r="SOP3" s="1962"/>
      <c r="SOQ3" s="1962"/>
      <c r="SOR3" s="1962"/>
      <c r="SOS3" s="1962"/>
      <c r="SOT3" s="1962"/>
      <c r="SOU3" s="1962"/>
      <c r="SOV3" s="1962"/>
      <c r="SOW3" s="1962"/>
      <c r="SOX3" s="1962"/>
      <c r="SOY3" s="1962"/>
      <c r="SOZ3" s="1962"/>
      <c r="SPA3" s="1962"/>
      <c r="SPB3" s="1962"/>
      <c r="SPC3" s="1962"/>
      <c r="SPD3" s="1962"/>
      <c r="SPE3" s="1962"/>
      <c r="SPF3" s="1962"/>
      <c r="SPG3" s="1962"/>
      <c r="SPH3" s="1962"/>
      <c r="SPI3" s="1962"/>
      <c r="SPJ3" s="1962"/>
      <c r="SPK3" s="1962"/>
      <c r="SPL3" s="1962"/>
      <c r="SPM3" s="1962"/>
      <c r="SPN3" s="1962"/>
      <c r="SPO3" s="1962"/>
      <c r="SPP3" s="1962"/>
      <c r="SPQ3" s="1962"/>
      <c r="SPR3" s="1962"/>
      <c r="SPS3" s="1962"/>
      <c r="SPT3" s="1962"/>
      <c r="SPU3" s="1962"/>
      <c r="SPV3" s="1962"/>
      <c r="SPW3" s="1962"/>
      <c r="SPX3" s="1962"/>
      <c r="SPY3" s="1962"/>
      <c r="SPZ3" s="1962"/>
      <c r="SQA3" s="1962"/>
      <c r="SQB3" s="1962"/>
      <c r="SQC3" s="1962"/>
      <c r="SQD3" s="1962"/>
      <c r="SQE3" s="1962"/>
      <c r="SQF3" s="1962"/>
      <c r="SQG3" s="1962"/>
      <c r="SQH3" s="1962"/>
      <c r="SQI3" s="1962"/>
      <c r="SQJ3" s="1962"/>
      <c r="SQK3" s="1962"/>
      <c r="SQL3" s="1962"/>
      <c r="SQM3" s="1962"/>
      <c r="SQN3" s="1962"/>
      <c r="SQO3" s="1962"/>
      <c r="SQP3" s="1962"/>
      <c r="SQQ3" s="1962"/>
      <c r="SQR3" s="1962"/>
      <c r="SQS3" s="1962"/>
      <c r="SQT3" s="1962"/>
      <c r="SQU3" s="1962"/>
      <c r="SQV3" s="1962"/>
      <c r="SQW3" s="1962"/>
      <c r="SQX3" s="1962"/>
      <c r="SQY3" s="1962"/>
      <c r="SQZ3" s="1962"/>
      <c r="SRA3" s="1962"/>
      <c r="SRB3" s="1962"/>
      <c r="SRC3" s="1962"/>
      <c r="SRD3" s="1962"/>
      <c r="SRE3" s="1962"/>
      <c r="SRF3" s="1962"/>
      <c r="SRG3" s="1962"/>
      <c r="SRH3" s="1962"/>
      <c r="SRI3" s="1962"/>
      <c r="SRJ3" s="1962"/>
      <c r="SRK3" s="1962"/>
      <c r="SRL3" s="1962"/>
      <c r="SRM3" s="1962"/>
      <c r="SRN3" s="1962"/>
      <c r="SRO3" s="1962"/>
      <c r="SRP3" s="1962"/>
      <c r="SRQ3" s="1962"/>
      <c r="SRR3" s="1962"/>
      <c r="SRS3" s="1962"/>
      <c r="SRT3" s="1962"/>
      <c r="SRU3" s="1962"/>
      <c r="SRV3" s="1962"/>
      <c r="SRW3" s="1962"/>
      <c r="SRX3" s="1962"/>
      <c r="SRY3" s="1962"/>
      <c r="SRZ3" s="1962"/>
      <c r="SSA3" s="1962"/>
      <c r="SSB3" s="1962"/>
      <c r="SSC3" s="1962"/>
      <c r="SSD3" s="1962"/>
      <c r="SSE3" s="1962"/>
      <c r="SSF3" s="1962"/>
      <c r="SSG3" s="1962"/>
      <c r="SSH3" s="1962"/>
      <c r="SSI3" s="1962"/>
      <c r="SSJ3" s="1962"/>
      <c r="SSK3" s="1962"/>
      <c r="SSL3" s="1962"/>
      <c r="SSM3" s="1962"/>
      <c r="SSN3" s="1962"/>
      <c r="SSO3" s="1962"/>
      <c r="SSP3" s="1962"/>
      <c r="SSQ3" s="1962"/>
      <c r="SSR3" s="1962"/>
      <c r="SSS3" s="1962"/>
      <c r="SST3" s="1962"/>
      <c r="SSU3" s="1962"/>
      <c r="SSV3" s="1962"/>
      <c r="SSW3" s="1962"/>
      <c r="SSX3" s="1962"/>
      <c r="SSY3" s="1962"/>
      <c r="SSZ3" s="1962"/>
      <c r="STA3" s="1962"/>
      <c r="STB3" s="1962"/>
      <c r="STC3" s="1962"/>
      <c r="STD3" s="1962"/>
      <c r="STE3" s="1962"/>
      <c r="STF3" s="1962"/>
      <c r="STG3" s="1962"/>
      <c r="STH3" s="1962"/>
      <c r="STI3" s="1962"/>
      <c r="STJ3" s="1962"/>
      <c r="STK3" s="1962"/>
      <c r="STL3" s="1962"/>
      <c r="STM3" s="1962"/>
      <c r="STN3" s="1962"/>
      <c r="STO3" s="1962"/>
      <c r="STP3" s="1962"/>
      <c r="STQ3" s="1962"/>
      <c r="STR3" s="1962"/>
      <c r="STS3" s="1962"/>
      <c r="STT3" s="1962"/>
      <c r="STU3" s="1962"/>
      <c r="STV3" s="1962"/>
      <c r="STW3" s="1962"/>
      <c r="STX3" s="1962"/>
      <c r="STY3" s="1962"/>
      <c r="STZ3" s="1962"/>
      <c r="SUA3" s="1962"/>
      <c r="SUB3" s="1962"/>
      <c r="SUC3" s="1962"/>
      <c r="SUD3" s="1962"/>
      <c r="SUE3" s="1962"/>
      <c r="SUF3" s="1962"/>
      <c r="SUG3" s="1962"/>
      <c r="SUH3" s="1962"/>
      <c r="SUI3" s="1962"/>
      <c r="SUJ3" s="1962"/>
      <c r="SUK3" s="1962"/>
      <c r="SUL3" s="1962"/>
      <c r="SUM3" s="1962"/>
      <c r="SUN3" s="1962"/>
      <c r="SUO3" s="1962"/>
      <c r="SUP3" s="1962"/>
      <c r="SUQ3" s="1962"/>
      <c r="SUR3" s="1962"/>
      <c r="SUS3" s="1962"/>
      <c r="SUT3" s="1962"/>
      <c r="SUU3" s="1962"/>
      <c r="SUV3" s="1962"/>
      <c r="SUW3" s="1962"/>
      <c r="SUX3" s="1962"/>
      <c r="SUY3" s="1962"/>
      <c r="SUZ3" s="1962"/>
      <c r="SVA3" s="1962"/>
      <c r="SVB3" s="1962"/>
      <c r="SVC3" s="1962"/>
      <c r="SVD3" s="1962"/>
      <c r="SVE3" s="1962"/>
      <c r="SVF3" s="1962"/>
      <c r="SVG3" s="1962"/>
      <c r="SVH3" s="1962"/>
      <c r="SVI3" s="1962"/>
      <c r="SVJ3" s="1962"/>
      <c r="SVK3" s="1962"/>
      <c r="SVL3" s="1962"/>
      <c r="SVM3" s="1962"/>
      <c r="SVN3" s="1962"/>
      <c r="SVO3" s="1962"/>
      <c r="SVP3" s="1962"/>
      <c r="SVQ3" s="1962"/>
      <c r="SVR3" s="1962"/>
      <c r="SVS3" s="1962"/>
      <c r="SVT3" s="1962"/>
      <c r="SVU3" s="1962"/>
      <c r="SVV3" s="1962"/>
      <c r="SVW3" s="1962"/>
      <c r="SVX3" s="1962"/>
      <c r="SVY3" s="1962"/>
      <c r="SVZ3" s="1962"/>
      <c r="SWA3" s="1962"/>
      <c r="SWB3" s="1962"/>
      <c r="SWC3" s="1962"/>
      <c r="SWD3" s="1962"/>
      <c r="SWE3" s="1962"/>
      <c r="SWF3" s="1962"/>
      <c r="SWG3" s="1962"/>
      <c r="SWH3" s="1962"/>
      <c r="SWI3" s="1962"/>
      <c r="SWJ3" s="1962"/>
      <c r="SWK3" s="1962"/>
      <c r="SWL3" s="1962"/>
      <c r="SWM3" s="1962"/>
      <c r="SWN3" s="1962"/>
      <c r="SWO3" s="1962"/>
      <c r="SWP3" s="1962"/>
      <c r="SWQ3" s="1962"/>
      <c r="SWR3" s="1962"/>
      <c r="SWS3" s="1962"/>
      <c r="SWT3" s="1962"/>
      <c r="SWU3" s="1962"/>
      <c r="SWV3" s="1962"/>
      <c r="SWW3" s="1962"/>
      <c r="SWX3" s="1962"/>
      <c r="SWY3" s="1962"/>
      <c r="SWZ3" s="1962"/>
      <c r="SXA3" s="1962"/>
      <c r="SXB3" s="1962"/>
      <c r="SXC3" s="1962"/>
      <c r="SXD3" s="1962"/>
      <c r="SXE3" s="1962"/>
      <c r="SXF3" s="1962"/>
      <c r="SXG3" s="1962"/>
      <c r="SXH3" s="1962"/>
      <c r="SXI3" s="1962"/>
      <c r="SXJ3" s="1962"/>
      <c r="SXK3" s="1962"/>
      <c r="SXL3" s="1962"/>
      <c r="SXM3" s="1962"/>
      <c r="SXN3" s="1962"/>
      <c r="SXO3" s="1962"/>
      <c r="SXP3" s="1962"/>
      <c r="SXQ3" s="1962"/>
      <c r="SXR3" s="1962"/>
      <c r="SXS3" s="1962"/>
      <c r="SXT3" s="1962"/>
      <c r="SXU3" s="1962"/>
      <c r="SXV3" s="1962"/>
      <c r="SXW3" s="1962"/>
      <c r="SXX3" s="1962"/>
      <c r="SXY3" s="1962"/>
      <c r="SXZ3" s="1962"/>
      <c r="SYA3" s="1962"/>
      <c r="SYB3" s="1962"/>
      <c r="SYC3" s="1962"/>
      <c r="SYD3" s="1962"/>
      <c r="SYE3" s="1962"/>
      <c r="SYF3" s="1962"/>
      <c r="SYG3" s="1962"/>
      <c r="SYH3" s="1962"/>
      <c r="SYI3" s="1962"/>
      <c r="SYJ3" s="1962"/>
      <c r="SYK3" s="1962"/>
      <c r="SYL3" s="1962"/>
      <c r="SYM3" s="1962"/>
      <c r="SYN3" s="1962"/>
      <c r="SYO3" s="1962"/>
      <c r="SYP3" s="1962"/>
      <c r="SYQ3" s="1962"/>
      <c r="SYR3" s="1962"/>
      <c r="SYS3" s="1962"/>
      <c r="SYT3" s="1962"/>
      <c r="SYU3" s="1962"/>
      <c r="SYV3" s="1962"/>
      <c r="SYW3" s="1962"/>
      <c r="SYX3" s="1962"/>
      <c r="SYY3" s="1962"/>
      <c r="SYZ3" s="1962"/>
      <c r="SZA3" s="1962"/>
      <c r="SZB3" s="1962"/>
      <c r="SZC3" s="1962"/>
      <c r="SZD3" s="1962"/>
      <c r="SZE3" s="1962"/>
      <c r="SZF3" s="1962"/>
      <c r="SZG3" s="1962"/>
      <c r="SZH3" s="1962"/>
      <c r="SZI3" s="1962"/>
      <c r="SZJ3" s="1962"/>
      <c r="SZK3" s="1962"/>
      <c r="SZL3" s="1962"/>
      <c r="SZM3" s="1962"/>
      <c r="SZN3" s="1962"/>
      <c r="SZO3" s="1962"/>
      <c r="SZP3" s="1962"/>
      <c r="SZQ3" s="1962"/>
      <c r="SZR3" s="1962"/>
      <c r="SZS3" s="1962"/>
      <c r="SZT3" s="1962"/>
      <c r="SZU3" s="1962"/>
      <c r="SZV3" s="1962"/>
      <c r="SZW3" s="1962"/>
      <c r="SZX3" s="1962"/>
      <c r="SZY3" s="1962"/>
      <c r="SZZ3" s="1962"/>
      <c r="TAA3" s="1962"/>
      <c r="TAB3" s="1962"/>
      <c r="TAC3" s="1962"/>
      <c r="TAD3" s="1962"/>
      <c r="TAE3" s="1962"/>
      <c r="TAF3" s="1962"/>
      <c r="TAG3" s="1962"/>
      <c r="TAH3" s="1962"/>
      <c r="TAI3" s="1962"/>
      <c r="TAJ3" s="1962"/>
      <c r="TAK3" s="1962"/>
      <c r="TAL3" s="1962"/>
      <c r="TAM3" s="1962"/>
      <c r="TAN3" s="1962"/>
      <c r="TAO3" s="1962"/>
      <c r="TAP3" s="1962"/>
      <c r="TAQ3" s="1962"/>
      <c r="TAR3" s="1962"/>
      <c r="TAS3" s="1962"/>
      <c r="TAT3" s="1962"/>
      <c r="TAU3" s="1962"/>
      <c r="TAV3" s="1962"/>
      <c r="TAW3" s="1962"/>
      <c r="TAX3" s="1962"/>
      <c r="TAY3" s="1962"/>
      <c r="TAZ3" s="1962"/>
      <c r="TBA3" s="1962"/>
      <c r="TBB3" s="1962"/>
      <c r="TBC3" s="1962"/>
      <c r="TBD3" s="1962"/>
      <c r="TBE3" s="1962"/>
      <c r="TBF3" s="1962"/>
      <c r="TBG3" s="1962"/>
      <c r="TBH3" s="1962"/>
      <c r="TBI3" s="1962"/>
      <c r="TBJ3" s="1962"/>
      <c r="TBK3" s="1962"/>
      <c r="TBL3" s="1962"/>
      <c r="TBM3" s="1962"/>
      <c r="TBN3" s="1962"/>
      <c r="TBO3" s="1962"/>
      <c r="TBP3" s="1962"/>
      <c r="TBQ3" s="1962"/>
      <c r="TBR3" s="1962"/>
      <c r="TBS3" s="1962"/>
      <c r="TBT3" s="1962"/>
      <c r="TBU3" s="1962"/>
      <c r="TBV3" s="1962"/>
      <c r="TBW3" s="1962"/>
      <c r="TBX3" s="1962"/>
      <c r="TBY3" s="1962"/>
      <c r="TBZ3" s="1962"/>
      <c r="TCA3" s="1962"/>
      <c r="TCB3" s="1962"/>
      <c r="TCC3" s="1962"/>
      <c r="TCD3" s="1962"/>
      <c r="TCE3" s="1962"/>
      <c r="TCF3" s="1962"/>
      <c r="TCG3" s="1962"/>
      <c r="TCH3" s="1962"/>
      <c r="TCI3" s="1962"/>
      <c r="TCJ3" s="1962"/>
      <c r="TCK3" s="1962"/>
      <c r="TCL3" s="1962"/>
      <c r="TCM3" s="1962"/>
      <c r="TCN3" s="1962"/>
      <c r="TCO3" s="1962"/>
      <c r="TCP3" s="1962"/>
      <c r="TCQ3" s="1962"/>
      <c r="TCR3" s="1962"/>
      <c r="TCS3" s="1962"/>
      <c r="TCT3" s="1962"/>
      <c r="TCU3" s="1962"/>
      <c r="TCV3" s="1962"/>
      <c r="TCW3" s="1962"/>
      <c r="TCX3" s="1962"/>
      <c r="TCY3" s="1962"/>
      <c r="TCZ3" s="1962"/>
      <c r="TDA3" s="1962"/>
      <c r="TDB3" s="1962"/>
      <c r="TDC3" s="1962"/>
      <c r="TDD3" s="1962"/>
      <c r="TDE3" s="1962"/>
      <c r="TDF3" s="1962"/>
      <c r="TDG3" s="1962"/>
      <c r="TDH3" s="1962"/>
      <c r="TDI3" s="1962"/>
      <c r="TDJ3" s="1962"/>
      <c r="TDK3" s="1962"/>
      <c r="TDL3" s="1962"/>
      <c r="TDM3" s="1962"/>
      <c r="TDN3" s="1962"/>
      <c r="TDO3" s="1962"/>
      <c r="TDP3" s="1962"/>
      <c r="TDQ3" s="1962"/>
      <c r="TDR3" s="1962"/>
      <c r="TDS3" s="1962"/>
      <c r="TDT3" s="1962"/>
      <c r="TDU3" s="1962"/>
      <c r="TDV3" s="1962"/>
      <c r="TDW3" s="1962"/>
      <c r="TDX3" s="1962"/>
      <c r="TDY3" s="1962"/>
      <c r="TDZ3" s="1962"/>
      <c r="TEA3" s="1962"/>
      <c r="TEB3" s="1962"/>
      <c r="TEC3" s="1962"/>
      <c r="TED3" s="1962"/>
      <c r="TEE3" s="1962"/>
      <c r="TEF3" s="1962"/>
      <c r="TEG3" s="1962"/>
      <c r="TEH3" s="1962"/>
      <c r="TEI3" s="1962"/>
      <c r="TEJ3" s="1962"/>
      <c r="TEK3" s="1962"/>
      <c r="TEL3" s="1962"/>
      <c r="TEM3" s="1962"/>
      <c r="TEN3" s="1962"/>
      <c r="TEO3" s="1962"/>
      <c r="TEP3" s="1962"/>
      <c r="TEQ3" s="1962"/>
      <c r="TER3" s="1962"/>
      <c r="TES3" s="1962"/>
      <c r="TET3" s="1962"/>
      <c r="TEU3" s="1962"/>
      <c r="TEV3" s="1962"/>
      <c r="TEW3" s="1962"/>
      <c r="TEX3" s="1962"/>
      <c r="TEY3" s="1962"/>
      <c r="TEZ3" s="1962"/>
      <c r="TFA3" s="1962"/>
      <c r="TFB3" s="1962"/>
      <c r="TFC3" s="1962"/>
      <c r="TFD3" s="1962"/>
      <c r="TFE3" s="1962"/>
      <c r="TFF3" s="1962"/>
      <c r="TFG3" s="1962"/>
      <c r="TFH3" s="1962"/>
      <c r="TFI3" s="1962"/>
      <c r="TFJ3" s="1962"/>
      <c r="TFK3" s="1962"/>
      <c r="TFL3" s="1962"/>
      <c r="TFM3" s="1962"/>
      <c r="TFN3" s="1962"/>
      <c r="TFO3" s="1962"/>
      <c r="TFP3" s="1962"/>
      <c r="TFQ3" s="1962"/>
      <c r="TFR3" s="1962"/>
      <c r="TFS3" s="1962"/>
      <c r="TFT3" s="1962"/>
      <c r="TFU3" s="1962"/>
      <c r="TFV3" s="1962"/>
      <c r="TFW3" s="1962"/>
      <c r="TFX3" s="1962"/>
      <c r="TFY3" s="1962"/>
      <c r="TFZ3" s="1962"/>
      <c r="TGA3" s="1962"/>
      <c r="TGB3" s="1962"/>
      <c r="TGC3" s="1962"/>
      <c r="TGD3" s="1962"/>
      <c r="TGE3" s="1962"/>
      <c r="TGF3" s="1962"/>
      <c r="TGG3" s="1962"/>
      <c r="TGH3" s="1962"/>
      <c r="TGI3" s="1962"/>
      <c r="TGJ3" s="1962"/>
      <c r="TGK3" s="1962"/>
      <c r="TGL3" s="1962"/>
      <c r="TGM3" s="1962"/>
      <c r="TGN3" s="1962"/>
      <c r="TGO3" s="1962"/>
      <c r="TGP3" s="1962"/>
      <c r="TGQ3" s="1962"/>
      <c r="TGR3" s="1962"/>
      <c r="TGS3" s="1962"/>
      <c r="TGT3" s="1962"/>
      <c r="TGU3" s="1962"/>
      <c r="TGV3" s="1962"/>
      <c r="TGW3" s="1962"/>
      <c r="TGX3" s="1962"/>
      <c r="TGY3" s="1962"/>
      <c r="TGZ3" s="1962"/>
      <c r="THA3" s="1962"/>
      <c r="THB3" s="1962"/>
      <c r="THC3" s="1962"/>
      <c r="THD3" s="1962"/>
      <c r="THE3" s="1962"/>
      <c r="THF3" s="1962"/>
      <c r="THG3" s="1962"/>
      <c r="THH3" s="1962"/>
      <c r="THI3" s="1962"/>
      <c r="THJ3" s="1962"/>
      <c r="THK3" s="1962"/>
      <c r="THL3" s="1962"/>
      <c r="THM3" s="1962"/>
      <c r="THN3" s="1962"/>
      <c r="THO3" s="1962"/>
      <c r="THP3" s="1962"/>
      <c r="THQ3" s="1962"/>
      <c r="THR3" s="1962"/>
      <c r="THS3" s="1962"/>
      <c r="THT3" s="1962"/>
      <c r="THU3" s="1962"/>
      <c r="THV3" s="1962"/>
      <c r="THW3" s="1962"/>
      <c r="THX3" s="1962"/>
      <c r="THY3" s="1962"/>
      <c r="THZ3" s="1962"/>
      <c r="TIA3" s="1962"/>
      <c r="TIB3" s="1962"/>
      <c r="TIC3" s="1962"/>
      <c r="TID3" s="1962"/>
      <c r="TIE3" s="1962"/>
      <c r="TIF3" s="1962"/>
      <c r="TIG3" s="1962"/>
      <c r="TIH3" s="1962"/>
      <c r="TII3" s="1962"/>
      <c r="TIJ3" s="1962"/>
      <c r="TIK3" s="1962"/>
      <c r="TIL3" s="1962"/>
      <c r="TIM3" s="1962"/>
      <c r="TIN3" s="1962"/>
      <c r="TIO3" s="1962"/>
      <c r="TIP3" s="1962"/>
      <c r="TIQ3" s="1962"/>
      <c r="TIR3" s="1962"/>
      <c r="TIS3" s="1962"/>
      <c r="TIT3" s="1962"/>
      <c r="TIU3" s="1962"/>
      <c r="TIV3" s="1962"/>
      <c r="TIW3" s="1962"/>
      <c r="TIX3" s="1962"/>
      <c r="TIY3" s="1962"/>
      <c r="TIZ3" s="1962"/>
      <c r="TJA3" s="1962"/>
      <c r="TJB3" s="1962"/>
      <c r="TJC3" s="1962"/>
      <c r="TJD3" s="1962"/>
      <c r="TJE3" s="1962"/>
      <c r="TJF3" s="1962"/>
      <c r="TJG3" s="1962"/>
      <c r="TJH3" s="1962"/>
      <c r="TJI3" s="1962"/>
      <c r="TJJ3" s="1962"/>
      <c r="TJK3" s="1962"/>
      <c r="TJL3" s="1962"/>
      <c r="TJM3" s="1962"/>
      <c r="TJN3" s="1962"/>
      <c r="TJO3" s="1962"/>
      <c r="TJP3" s="1962"/>
      <c r="TJQ3" s="1962"/>
      <c r="TJR3" s="1962"/>
      <c r="TJS3" s="1962"/>
      <c r="TJT3" s="1962"/>
      <c r="TJU3" s="1962"/>
      <c r="TJV3" s="1962"/>
      <c r="TJW3" s="1962"/>
      <c r="TJX3" s="1962"/>
      <c r="TJY3" s="1962"/>
      <c r="TJZ3" s="1962"/>
      <c r="TKA3" s="1962"/>
      <c r="TKB3" s="1962"/>
      <c r="TKC3" s="1962"/>
      <c r="TKD3" s="1962"/>
      <c r="TKE3" s="1962"/>
      <c r="TKF3" s="1962"/>
      <c r="TKG3" s="1962"/>
      <c r="TKH3" s="1962"/>
      <c r="TKI3" s="1962"/>
      <c r="TKJ3" s="1962"/>
      <c r="TKK3" s="1962"/>
      <c r="TKL3" s="1962"/>
      <c r="TKM3" s="1962"/>
      <c r="TKN3" s="1962"/>
      <c r="TKO3" s="1962"/>
      <c r="TKP3" s="1962"/>
      <c r="TKQ3" s="1962"/>
      <c r="TKR3" s="1962"/>
      <c r="TKS3" s="1962"/>
      <c r="TKT3" s="1962"/>
      <c r="TKU3" s="1962"/>
      <c r="TKV3" s="1962"/>
      <c r="TKW3" s="1962"/>
      <c r="TKX3" s="1962"/>
      <c r="TKY3" s="1962"/>
      <c r="TKZ3" s="1962"/>
      <c r="TLA3" s="1962"/>
      <c r="TLB3" s="1962"/>
      <c r="TLC3" s="1962"/>
      <c r="TLD3" s="1962"/>
      <c r="TLE3" s="1962"/>
      <c r="TLF3" s="1962"/>
      <c r="TLG3" s="1962"/>
      <c r="TLH3" s="1962"/>
      <c r="TLI3" s="1962"/>
      <c r="TLJ3" s="1962"/>
      <c r="TLK3" s="1962"/>
      <c r="TLL3" s="1962"/>
      <c r="TLM3" s="1962"/>
      <c r="TLN3" s="1962"/>
      <c r="TLO3" s="1962"/>
      <c r="TLP3" s="1962"/>
      <c r="TLQ3" s="1962"/>
      <c r="TLR3" s="1962"/>
      <c r="TLS3" s="1962"/>
      <c r="TLT3" s="1962"/>
      <c r="TLU3" s="1962"/>
      <c r="TLV3" s="1962"/>
      <c r="TLW3" s="1962"/>
      <c r="TLX3" s="1962"/>
      <c r="TLY3" s="1962"/>
      <c r="TLZ3" s="1962"/>
      <c r="TMA3" s="1962"/>
      <c r="TMB3" s="1962"/>
      <c r="TMC3" s="1962"/>
      <c r="TMD3" s="1962"/>
      <c r="TME3" s="1962"/>
      <c r="TMF3" s="1962"/>
      <c r="TMG3" s="1962"/>
      <c r="TMH3" s="1962"/>
      <c r="TMI3" s="1962"/>
      <c r="TMJ3" s="1962"/>
      <c r="TMK3" s="1962"/>
      <c r="TML3" s="1962"/>
      <c r="TMM3" s="1962"/>
      <c r="TMN3" s="1962"/>
      <c r="TMO3" s="1962"/>
      <c r="TMP3" s="1962"/>
      <c r="TMQ3" s="1962"/>
      <c r="TMR3" s="1962"/>
      <c r="TMS3" s="1962"/>
      <c r="TMT3" s="1962"/>
      <c r="TMU3" s="1962"/>
      <c r="TMV3" s="1962"/>
      <c r="TMW3" s="1962"/>
      <c r="TMX3" s="1962"/>
      <c r="TMY3" s="1962"/>
      <c r="TMZ3" s="1962"/>
      <c r="TNA3" s="1962"/>
      <c r="TNB3" s="1962"/>
      <c r="TNC3" s="1962"/>
      <c r="TND3" s="1962"/>
      <c r="TNE3" s="1962"/>
      <c r="TNF3" s="1962"/>
      <c r="TNG3" s="1962"/>
      <c r="TNH3" s="1962"/>
      <c r="TNI3" s="1962"/>
      <c r="TNJ3" s="1962"/>
      <c r="TNK3" s="1962"/>
      <c r="TNL3" s="1962"/>
      <c r="TNM3" s="1962"/>
      <c r="TNN3" s="1962"/>
      <c r="TNO3" s="1962"/>
      <c r="TNP3" s="1962"/>
      <c r="TNQ3" s="1962"/>
      <c r="TNR3" s="1962"/>
      <c r="TNS3" s="1962"/>
      <c r="TNT3" s="1962"/>
      <c r="TNU3" s="1962"/>
      <c r="TNV3" s="1962"/>
      <c r="TNW3" s="1962"/>
      <c r="TNX3" s="1962"/>
      <c r="TNY3" s="1962"/>
      <c r="TNZ3" s="1962"/>
      <c r="TOA3" s="1962"/>
      <c r="TOB3" s="1962"/>
      <c r="TOC3" s="1962"/>
      <c r="TOD3" s="1962"/>
      <c r="TOE3" s="1962"/>
      <c r="TOF3" s="1962"/>
      <c r="TOG3" s="1962"/>
      <c r="TOH3" s="1962"/>
      <c r="TOI3" s="1962"/>
      <c r="TOJ3" s="1962"/>
      <c r="TOK3" s="1962"/>
      <c r="TOL3" s="1962"/>
      <c r="TOM3" s="1962"/>
      <c r="TON3" s="1962"/>
      <c r="TOO3" s="1962"/>
      <c r="TOP3" s="1962"/>
      <c r="TOQ3" s="1962"/>
      <c r="TOR3" s="1962"/>
      <c r="TOS3" s="1962"/>
      <c r="TOT3" s="1962"/>
      <c r="TOU3" s="1962"/>
      <c r="TOV3" s="1962"/>
      <c r="TOW3" s="1962"/>
      <c r="TOX3" s="1962"/>
      <c r="TOY3" s="1962"/>
      <c r="TOZ3" s="1962"/>
      <c r="TPA3" s="1962"/>
      <c r="TPB3" s="1962"/>
      <c r="TPC3" s="1962"/>
      <c r="TPD3" s="1962"/>
      <c r="TPE3" s="1962"/>
      <c r="TPF3" s="1962"/>
      <c r="TPG3" s="1962"/>
      <c r="TPH3" s="1962"/>
      <c r="TPI3" s="1962"/>
      <c r="TPJ3" s="1962"/>
      <c r="TPK3" s="1962"/>
      <c r="TPL3" s="1962"/>
      <c r="TPM3" s="1962"/>
      <c r="TPN3" s="1962"/>
      <c r="TPO3" s="1962"/>
      <c r="TPP3" s="1962"/>
      <c r="TPQ3" s="1962"/>
      <c r="TPR3" s="1962"/>
      <c r="TPS3" s="1962"/>
      <c r="TPT3" s="1962"/>
      <c r="TPU3" s="1962"/>
      <c r="TPV3" s="1962"/>
      <c r="TPW3" s="1962"/>
      <c r="TPX3" s="1962"/>
      <c r="TPY3" s="1962"/>
      <c r="TPZ3" s="1962"/>
      <c r="TQA3" s="1962"/>
      <c r="TQB3" s="1962"/>
      <c r="TQC3" s="1962"/>
      <c r="TQD3" s="1962"/>
      <c r="TQE3" s="1962"/>
      <c r="TQF3" s="1962"/>
      <c r="TQG3" s="1962"/>
      <c r="TQH3" s="1962"/>
      <c r="TQI3" s="1962"/>
      <c r="TQJ3" s="1962"/>
      <c r="TQK3" s="1962"/>
      <c r="TQL3" s="1962"/>
      <c r="TQM3" s="1962"/>
      <c r="TQN3" s="1962"/>
      <c r="TQO3" s="1962"/>
      <c r="TQP3" s="1962"/>
      <c r="TQQ3" s="1962"/>
      <c r="TQR3" s="1962"/>
      <c r="TQS3" s="1962"/>
      <c r="TQT3" s="1962"/>
      <c r="TQU3" s="1962"/>
      <c r="TQV3" s="1962"/>
      <c r="TQW3" s="1962"/>
      <c r="TQX3" s="1962"/>
      <c r="TQY3" s="1962"/>
      <c r="TQZ3" s="1962"/>
      <c r="TRA3" s="1962"/>
      <c r="TRB3" s="1962"/>
      <c r="TRC3" s="1962"/>
      <c r="TRD3" s="1962"/>
      <c r="TRE3" s="1962"/>
      <c r="TRF3" s="1962"/>
      <c r="TRG3" s="1962"/>
      <c r="TRH3" s="1962"/>
      <c r="TRI3" s="1962"/>
      <c r="TRJ3" s="1962"/>
      <c r="TRK3" s="1962"/>
      <c r="TRL3" s="1962"/>
      <c r="TRM3" s="1962"/>
      <c r="TRN3" s="1962"/>
      <c r="TRO3" s="1962"/>
      <c r="TRP3" s="1962"/>
      <c r="TRQ3" s="1962"/>
      <c r="TRR3" s="1962"/>
      <c r="TRS3" s="1962"/>
      <c r="TRT3" s="1962"/>
      <c r="TRU3" s="1962"/>
      <c r="TRV3" s="1962"/>
      <c r="TRW3" s="1962"/>
      <c r="TRX3" s="1962"/>
      <c r="TRY3" s="1962"/>
      <c r="TRZ3" s="1962"/>
      <c r="TSA3" s="1962"/>
      <c r="TSB3" s="1962"/>
      <c r="TSC3" s="1962"/>
      <c r="TSD3" s="1962"/>
      <c r="TSE3" s="1962"/>
      <c r="TSF3" s="1962"/>
      <c r="TSG3" s="1962"/>
      <c r="TSH3" s="1962"/>
      <c r="TSI3" s="1962"/>
      <c r="TSJ3" s="1962"/>
      <c r="TSK3" s="1962"/>
      <c r="TSL3" s="1962"/>
      <c r="TSM3" s="1962"/>
      <c r="TSN3" s="1962"/>
      <c r="TSO3" s="1962"/>
      <c r="TSP3" s="1962"/>
      <c r="TSQ3" s="1962"/>
      <c r="TSR3" s="1962"/>
      <c r="TSS3" s="1962"/>
      <c r="TST3" s="1962"/>
      <c r="TSU3" s="1962"/>
      <c r="TSV3" s="1962"/>
      <c r="TSW3" s="1962"/>
      <c r="TSX3" s="1962"/>
      <c r="TSY3" s="1962"/>
      <c r="TSZ3" s="1962"/>
      <c r="TTA3" s="1962"/>
      <c r="TTB3" s="1962"/>
      <c r="TTC3" s="1962"/>
      <c r="TTD3" s="1962"/>
      <c r="TTE3" s="1962"/>
      <c r="TTF3" s="1962"/>
      <c r="TTG3" s="1962"/>
      <c r="TTH3" s="1962"/>
      <c r="TTI3" s="1962"/>
      <c r="TTJ3" s="1962"/>
      <c r="TTK3" s="1962"/>
      <c r="TTL3" s="1962"/>
      <c r="TTM3" s="1962"/>
      <c r="TTN3" s="1962"/>
      <c r="TTO3" s="1962"/>
      <c r="TTP3" s="1962"/>
      <c r="TTQ3" s="1962"/>
      <c r="TTR3" s="1962"/>
      <c r="TTS3" s="1962"/>
      <c r="TTT3" s="1962"/>
      <c r="TTU3" s="1962"/>
      <c r="TTV3" s="1962"/>
      <c r="TTW3" s="1962"/>
      <c r="TTX3" s="1962"/>
      <c r="TTY3" s="1962"/>
      <c r="TTZ3" s="1962"/>
      <c r="TUA3" s="1962"/>
      <c r="TUB3" s="1962"/>
      <c r="TUC3" s="1962"/>
      <c r="TUD3" s="1962"/>
      <c r="TUE3" s="1962"/>
      <c r="TUF3" s="1962"/>
      <c r="TUG3" s="1962"/>
      <c r="TUH3" s="1962"/>
      <c r="TUI3" s="1962"/>
      <c r="TUJ3" s="1962"/>
      <c r="TUK3" s="1962"/>
      <c r="TUL3" s="1962"/>
      <c r="TUM3" s="1962"/>
      <c r="TUN3" s="1962"/>
      <c r="TUO3" s="1962"/>
      <c r="TUP3" s="1962"/>
      <c r="TUQ3" s="1962"/>
      <c r="TUR3" s="1962"/>
      <c r="TUS3" s="1962"/>
      <c r="TUT3" s="1962"/>
      <c r="TUU3" s="1962"/>
      <c r="TUV3" s="1962"/>
      <c r="TUW3" s="1962"/>
      <c r="TUX3" s="1962"/>
      <c r="TUY3" s="1962"/>
      <c r="TUZ3" s="1962"/>
      <c r="TVA3" s="1962"/>
      <c r="TVB3" s="1962"/>
      <c r="TVC3" s="1962"/>
      <c r="TVD3" s="1962"/>
      <c r="TVE3" s="1962"/>
      <c r="TVF3" s="1962"/>
      <c r="TVG3" s="1962"/>
      <c r="TVH3" s="1962"/>
      <c r="TVI3" s="1962"/>
      <c r="TVJ3" s="1962"/>
      <c r="TVK3" s="1962"/>
      <c r="TVL3" s="1962"/>
      <c r="TVM3" s="1962"/>
      <c r="TVN3" s="1962"/>
      <c r="TVO3" s="1962"/>
      <c r="TVP3" s="1962"/>
      <c r="TVQ3" s="1962"/>
      <c r="TVR3" s="1962"/>
      <c r="TVS3" s="1962"/>
      <c r="TVT3" s="1962"/>
      <c r="TVU3" s="1962"/>
      <c r="TVV3" s="1962"/>
      <c r="TVW3" s="1962"/>
      <c r="TVX3" s="1962"/>
      <c r="TVY3" s="1962"/>
      <c r="TVZ3" s="1962"/>
      <c r="TWA3" s="1962"/>
      <c r="TWB3" s="1962"/>
      <c r="TWC3" s="1962"/>
      <c r="TWD3" s="1962"/>
      <c r="TWE3" s="1962"/>
      <c r="TWF3" s="1962"/>
      <c r="TWG3" s="1962"/>
      <c r="TWH3" s="1962"/>
      <c r="TWI3" s="1962"/>
      <c r="TWJ3" s="1962"/>
      <c r="TWK3" s="1962"/>
      <c r="TWL3" s="1962"/>
      <c r="TWM3" s="1962"/>
      <c r="TWN3" s="1962"/>
      <c r="TWO3" s="1962"/>
      <c r="TWP3" s="1962"/>
      <c r="TWQ3" s="1962"/>
      <c r="TWR3" s="1962"/>
      <c r="TWS3" s="1962"/>
      <c r="TWT3" s="1962"/>
      <c r="TWU3" s="1962"/>
      <c r="TWV3" s="1962"/>
      <c r="TWW3" s="1962"/>
      <c r="TWX3" s="1962"/>
      <c r="TWY3" s="1962"/>
      <c r="TWZ3" s="1962"/>
      <c r="TXA3" s="1962"/>
      <c r="TXB3" s="1962"/>
      <c r="TXC3" s="1962"/>
      <c r="TXD3" s="1962"/>
      <c r="TXE3" s="1962"/>
      <c r="TXF3" s="1962"/>
      <c r="TXG3" s="1962"/>
      <c r="TXH3" s="1962"/>
      <c r="TXI3" s="1962"/>
      <c r="TXJ3" s="1962"/>
      <c r="TXK3" s="1962"/>
      <c r="TXL3" s="1962"/>
      <c r="TXM3" s="1962"/>
      <c r="TXN3" s="1962"/>
      <c r="TXO3" s="1962"/>
      <c r="TXP3" s="1962"/>
      <c r="TXQ3" s="1962"/>
      <c r="TXR3" s="1962"/>
      <c r="TXS3" s="1962"/>
      <c r="TXT3" s="1962"/>
      <c r="TXU3" s="1962"/>
      <c r="TXV3" s="1962"/>
      <c r="TXW3" s="1962"/>
      <c r="TXX3" s="1962"/>
      <c r="TXY3" s="1962"/>
      <c r="TXZ3" s="1962"/>
      <c r="TYA3" s="1962"/>
      <c r="TYB3" s="1962"/>
      <c r="TYC3" s="1962"/>
      <c r="TYD3" s="1962"/>
      <c r="TYE3" s="1962"/>
      <c r="TYF3" s="1962"/>
      <c r="TYG3" s="1962"/>
      <c r="TYH3" s="1962"/>
      <c r="TYI3" s="1962"/>
      <c r="TYJ3" s="1962"/>
      <c r="TYK3" s="1962"/>
      <c r="TYL3" s="1962"/>
      <c r="TYM3" s="1962"/>
      <c r="TYN3" s="1962"/>
      <c r="TYO3" s="1962"/>
      <c r="TYP3" s="1962"/>
      <c r="TYQ3" s="1962"/>
      <c r="TYR3" s="1962"/>
      <c r="TYS3" s="1962"/>
      <c r="TYT3" s="1962"/>
      <c r="TYU3" s="1962"/>
      <c r="TYV3" s="1962"/>
      <c r="TYW3" s="1962"/>
      <c r="TYX3" s="1962"/>
      <c r="TYY3" s="1962"/>
      <c r="TYZ3" s="1962"/>
      <c r="TZA3" s="1962"/>
      <c r="TZB3" s="1962"/>
      <c r="TZC3" s="1962"/>
      <c r="TZD3" s="1962"/>
      <c r="TZE3" s="1962"/>
      <c r="TZF3" s="1962"/>
      <c r="TZG3" s="1962"/>
      <c r="TZH3" s="1962"/>
      <c r="TZI3" s="1962"/>
      <c r="TZJ3" s="1962"/>
      <c r="TZK3" s="1962"/>
      <c r="TZL3" s="1962"/>
      <c r="TZM3" s="1962"/>
      <c r="TZN3" s="1962"/>
      <c r="TZO3" s="1962"/>
      <c r="TZP3" s="1962"/>
      <c r="TZQ3" s="1962"/>
      <c r="TZR3" s="1962"/>
      <c r="TZS3" s="1962"/>
      <c r="TZT3" s="1962"/>
      <c r="TZU3" s="1962"/>
      <c r="TZV3" s="1962"/>
      <c r="TZW3" s="1962"/>
      <c r="TZX3" s="1962"/>
      <c r="TZY3" s="1962"/>
      <c r="TZZ3" s="1962"/>
      <c r="UAA3" s="1962"/>
      <c r="UAB3" s="1962"/>
      <c r="UAC3" s="1962"/>
      <c r="UAD3" s="1962"/>
      <c r="UAE3" s="1962"/>
      <c r="UAF3" s="1962"/>
      <c r="UAG3" s="1962"/>
      <c r="UAH3" s="1962"/>
      <c r="UAI3" s="1962"/>
      <c r="UAJ3" s="1962"/>
      <c r="UAK3" s="1962"/>
      <c r="UAL3" s="1962"/>
      <c r="UAM3" s="1962"/>
      <c r="UAN3" s="1962"/>
      <c r="UAO3" s="1962"/>
      <c r="UAP3" s="1962"/>
      <c r="UAQ3" s="1962"/>
      <c r="UAR3" s="1962"/>
      <c r="UAS3" s="1962"/>
      <c r="UAT3" s="1962"/>
      <c r="UAU3" s="1962"/>
      <c r="UAV3" s="1962"/>
      <c r="UAW3" s="1962"/>
      <c r="UAX3" s="1962"/>
      <c r="UAY3" s="1962"/>
      <c r="UAZ3" s="1962"/>
      <c r="UBA3" s="1962"/>
      <c r="UBB3" s="1962"/>
      <c r="UBC3" s="1962"/>
      <c r="UBD3" s="1962"/>
      <c r="UBE3" s="1962"/>
      <c r="UBF3" s="1962"/>
      <c r="UBG3" s="1962"/>
      <c r="UBH3" s="1962"/>
      <c r="UBI3" s="1962"/>
      <c r="UBJ3" s="1962"/>
      <c r="UBK3" s="1962"/>
      <c r="UBL3" s="1962"/>
      <c r="UBM3" s="1962"/>
      <c r="UBN3" s="1962"/>
      <c r="UBO3" s="1962"/>
      <c r="UBP3" s="1962"/>
      <c r="UBQ3" s="1962"/>
      <c r="UBR3" s="1962"/>
      <c r="UBS3" s="1962"/>
      <c r="UBT3" s="1962"/>
      <c r="UBU3" s="1962"/>
      <c r="UBV3" s="1962"/>
      <c r="UBW3" s="1962"/>
      <c r="UBX3" s="1962"/>
      <c r="UBY3" s="1962"/>
      <c r="UBZ3" s="1962"/>
      <c r="UCA3" s="1962"/>
      <c r="UCB3" s="1962"/>
      <c r="UCC3" s="1962"/>
      <c r="UCD3" s="1962"/>
      <c r="UCE3" s="1962"/>
      <c r="UCF3" s="1962"/>
      <c r="UCG3" s="1962"/>
      <c r="UCH3" s="1962"/>
      <c r="UCI3" s="1962"/>
      <c r="UCJ3" s="1962"/>
      <c r="UCK3" s="1962"/>
      <c r="UCL3" s="1962"/>
      <c r="UCM3" s="1962"/>
      <c r="UCN3" s="1962"/>
      <c r="UCO3" s="1962"/>
      <c r="UCP3" s="1962"/>
      <c r="UCQ3" s="1962"/>
      <c r="UCR3" s="1962"/>
      <c r="UCS3" s="1962"/>
      <c r="UCT3" s="1962"/>
      <c r="UCU3" s="1962"/>
      <c r="UCV3" s="1962"/>
      <c r="UCW3" s="1962"/>
      <c r="UCX3" s="1962"/>
      <c r="UCY3" s="1962"/>
      <c r="UCZ3" s="1962"/>
      <c r="UDA3" s="1962"/>
      <c r="UDB3" s="1962"/>
      <c r="UDC3" s="1962"/>
      <c r="UDD3" s="1962"/>
      <c r="UDE3" s="1962"/>
      <c r="UDF3" s="1962"/>
      <c r="UDG3" s="1962"/>
      <c r="UDH3" s="1962"/>
      <c r="UDI3" s="1962"/>
      <c r="UDJ3" s="1962"/>
      <c r="UDK3" s="1962"/>
      <c r="UDL3" s="1962"/>
      <c r="UDM3" s="1962"/>
      <c r="UDN3" s="1962"/>
      <c r="UDO3" s="1962"/>
      <c r="UDP3" s="1962"/>
      <c r="UDQ3" s="1962"/>
      <c r="UDR3" s="1962"/>
      <c r="UDS3" s="1962"/>
      <c r="UDT3" s="1962"/>
      <c r="UDU3" s="1962"/>
      <c r="UDV3" s="1962"/>
      <c r="UDW3" s="1962"/>
      <c r="UDX3" s="1962"/>
      <c r="UDY3" s="1962"/>
      <c r="UDZ3" s="1962"/>
      <c r="UEA3" s="1962"/>
      <c r="UEB3" s="1962"/>
      <c r="UEC3" s="1962"/>
      <c r="UED3" s="1962"/>
      <c r="UEE3" s="1962"/>
      <c r="UEF3" s="1962"/>
      <c r="UEG3" s="1962"/>
      <c r="UEH3" s="1962"/>
      <c r="UEI3" s="1962"/>
      <c r="UEJ3" s="1962"/>
      <c r="UEK3" s="1962"/>
      <c r="UEL3" s="1962"/>
      <c r="UEM3" s="1962"/>
      <c r="UEN3" s="1962"/>
      <c r="UEO3" s="1962"/>
      <c r="UEP3" s="1962"/>
      <c r="UEQ3" s="1962"/>
      <c r="UER3" s="1962"/>
      <c r="UES3" s="1962"/>
      <c r="UET3" s="1962"/>
      <c r="UEU3" s="1962"/>
      <c r="UEV3" s="1962"/>
      <c r="UEW3" s="1962"/>
      <c r="UEX3" s="1962"/>
      <c r="UEY3" s="1962"/>
      <c r="UEZ3" s="1962"/>
      <c r="UFA3" s="1962"/>
      <c r="UFB3" s="1962"/>
      <c r="UFC3" s="1962"/>
      <c r="UFD3" s="1962"/>
      <c r="UFE3" s="1962"/>
      <c r="UFF3" s="1962"/>
      <c r="UFG3" s="1962"/>
      <c r="UFH3" s="1962"/>
      <c r="UFI3" s="1962"/>
      <c r="UFJ3" s="1962"/>
      <c r="UFK3" s="1962"/>
      <c r="UFL3" s="1962"/>
      <c r="UFM3" s="1962"/>
      <c r="UFN3" s="1962"/>
      <c r="UFO3" s="1962"/>
      <c r="UFP3" s="1962"/>
      <c r="UFQ3" s="1962"/>
      <c r="UFR3" s="1962"/>
      <c r="UFS3" s="1962"/>
      <c r="UFT3" s="1962"/>
      <c r="UFU3" s="1962"/>
      <c r="UFV3" s="1962"/>
      <c r="UFW3" s="1962"/>
      <c r="UFX3" s="1962"/>
      <c r="UFY3" s="1962"/>
      <c r="UFZ3" s="1962"/>
      <c r="UGA3" s="1962"/>
      <c r="UGB3" s="1962"/>
      <c r="UGC3" s="1962"/>
      <c r="UGD3" s="1962"/>
      <c r="UGE3" s="1962"/>
      <c r="UGF3" s="1962"/>
      <c r="UGG3" s="1962"/>
      <c r="UGH3" s="1962"/>
      <c r="UGI3" s="1962"/>
      <c r="UGJ3" s="1962"/>
      <c r="UGK3" s="1962"/>
      <c r="UGL3" s="1962"/>
      <c r="UGM3" s="1962"/>
      <c r="UGN3" s="1962"/>
      <c r="UGO3" s="1962"/>
      <c r="UGP3" s="1962"/>
      <c r="UGQ3" s="1962"/>
      <c r="UGR3" s="1962"/>
      <c r="UGS3" s="1962"/>
      <c r="UGT3" s="1962"/>
      <c r="UGU3" s="1962"/>
      <c r="UGV3" s="1962"/>
      <c r="UGW3" s="1962"/>
      <c r="UGX3" s="1962"/>
      <c r="UGY3" s="1962"/>
      <c r="UGZ3" s="1962"/>
      <c r="UHA3" s="1962"/>
      <c r="UHB3" s="1962"/>
      <c r="UHC3" s="1962"/>
      <c r="UHD3" s="1962"/>
      <c r="UHE3" s="1962"/>
      <c r="UHF3" s="1962"/>
      <c r="UHG3" s="1962"/>
      <c r="UHH3" s="1962"/>
      <c r="UHI3" s="1962"/>
      <c r="UHJ3" s="1962"/>
      <c r="UHK3" s="1962"/>
      <c r="UHL3" s="1962"/>
      <c r="UHM3" s="1962"/>
      <c r="UHN3" s="1962"/>
      <c r="UHO3" s="1962"/>
      <c r="UHP3" s="1962"/>
      <c r="UHQ3" s="1962"/>
      <c r="UHR3" s="1962"/>
      <c r="UHS3" s="1962"/>
      <c r="UHT3" s="1962"/>
      <c r="UHU3" s="1962"/>
      <c r="UHV3" s="1962"/>
      <c r="UHW3" s="1962"/>
      <c r="UHX3" s="1962"/>
      <c r="UHY3" s="1962"/>
      <c r="UHZ3" s="1962"/>
      <c r="UIA3" s="1962"/>
      <c r="UIB3" s="1962"/>
      <c r="UIC3" s="1962"/>
      <c r="UID3" s="1962"/>
      <c r="UIE3" s="1962"/>
      <c r="UIF3" s="1962"/>
      <c r="UIG3" s="1962"/>
      <c r="UIH3" s="1962"/>
      <c r="UII3" s="1962"/>
      <c r="UIJ3" s="1962"/>
      <c r="UIK3" s="1962"/>
      <c r="UIL3" s="1962"/>
      <c r="UIM3" s="1962"/>
      <c r="UIN3" s="1962"/>
      <c r="UIO3" s="1962"/>
      <c r="UIP3" s="1962"/>
      <c r="UIQ3" s="1962"/>
      <c r="UIR3" s="1962"/>
      <c r="UIS3" s="1962"/>
      <c r="UIT3" s="1962"/>
      <c r="UIU3" s="1962"/>
      <c r="UIV3" s="1962"/>
      <c r="UIW3" s="1962"/>
      <c r="UIX3" s="1962"/>
      <c r="UIY3" s="1962"/>
      <c r="UIZ3" s="1962"/>
      <c r="UJA3" s="1962"/>
      <c r="UJB3" s="1962"/>
      <c r="UJC3" s="1962"/>
      <c r="UJD3" s="1962"/>
      <c r="UJE3" s="1962"/>
      <c r="UJF3" s="1962"/>
      <c r="UJG3" s="1962"/>
      <c r="UJH3" s="1962"/>
      <c r="UJI3" s="1962"/>
      <c r="UJJ3" s="1962"/>
      <c r="UJK3" s="1962"/>
      <c r="UJL3" s="1962"/>
      <c r="UJM3" s="1962"/>
      <c r="UJN3" s="1962"/>
      <c r="UJO3" s="1962"/>
      <c r="UJP3" s="1962"/>
      <c r="UJQ3" s="1962"/>
      <c r="UJR3" s="1962"/>
      <c r="UJS3" s="1962"/>
      <c r="UJT3" s="1962"/>
      <c r="UJU3" s="1962"/>
      <c r="UJV3" s="1962"/>
      <c r="UJW3" s="1962"/>
      <c r="UJX3" s="1962"/>
      <c r="UJY3" s="1962"/>
      <c r="UJZ3" s="1962"/>
      <c r="UKA3" s="1962"/>
      <c r="UKB3" s="1962"/>
      <c r="UKC3" s="1962"/>
      <c r="UKD3" s="1962"/>
      <c r="UKE3" s="1962"/>
      <c r="UKF3" s="1962"/>
      <c r="UKG3" s="1962"/>
      <c r="UKH3" s="1962"/>
      <c r="UKI3" s="1962"/>
      <c r="UKJ3" s="1962"/>
      <c r="UKK3" s="1962"/>
      <c r="UKL3" s="1962"/>
      <c r="UKM3" s="1962"/>
      <c r="UKN3" s="1962"/>
      <c r="UKO3" s="1962"/>
      <c r="UKP3" s="1962"/>
      <c r="UKQ3" s="1962"/>
      <c r="UKR3" s="1962"/>
      <c r="UKS3" s="1962"/>
      <c r="UKT3" s="1962"/>
      <c r="UKU3" s="1962"/>
      <c r="UKV3" s="1962"/>
      <c r="UKW3" s="1962"/>
      <c r="UKX3" s="1962"/>
      <c r="UKY3" s="1962"/>
      <c r="UKZ3" s="1962"/>
      <c r="ULA3" s="1962"/>
      <c r="ULB3" s="1962"/>
      <c r="ULC3" s="1962"/>
      <c r="ULD3" s="1962"/>
      <c r="ULE3" s="1962"/>
      <c r="ULF3" s="1962"/>
      <c r="ULG3" s="1962"/>
      <c r="ULH3" s="1962"/>
      <c r="ULI3" s="1962"/>
      <c r="ULJ3" s="1962"/>
      <c r="ULK3" s="1962"/>
      <c r="ULL3" s="1962"/>
      <c r="ULM3" s="1962"/>
      <c r="ULN3" s="1962"/>
      <c r="ULO3" s="1962"/>
      <c r="ULP3" s="1962"/>
      <c r="ULQ3" s="1962"/>
      <c r="ULR3" s="1962"/>
      <c r="ULS3" s="1962"/>
      <c r="ULT3" s="1962"/>
      <c r="ULU3" s="1962"/>
      <c r="ULV3" s="1962"/>
      <c r="ULW3" s="1962"/>
      <c r="ULX3" s="1962"/>
      <c r="ULY3" s="1962"/>
      <c r="ULZ3" s="1962"/>
      <c r="UMA3" s="1962"/>
      <c r="UMB3" s="1962"/>
      <c r="UMC3" s="1962"/>
      <c r="UMD3" s="1962"/>
      <c r="UME3" s="1962"/>
      <c r="UMF3" s="1962"/>
      <c r="UMG3" s="1962"/>
      <c r="UMH3" s="1962"/>
      <c r="UMI3" s="1962"/>
      <c r="UMJ3" s="1962"/>
      <c r="UMK3" s="1962"/>
      <c r="UML3" s="1962"/>
      <c r="UMM3" s="1962"/>
      <c r="UMN3" s="1962"/>
      <c r="UMO3" s="1962"/>
      <c r="UMP3" s="1962"/>
      <c r="UMQ3" s="1962"/>
      <c r="UMR3" s="1962"/>
      <c r="UMS3" s="1962"/>
      <c r="UMT3" s="1962"/>
      <c r="UMU3" s="1962"/>
      <c r="UMV3" s="1962"/>
      <c r="UMW3" s="1962"/>
      <c r="UMX3" s="1962"/>
      <c r="UMY3" s="1962"/>
      <c r="UMZ3" s="1962"/>
      <c r="UNA3" s="1962"/>
      <c r="UNB3" s="1962"/>
      <c r="UNC3" s="1962"/>
      <c r="UND3" s="1962"/>
      <c r="UNE3" s="1962"/>
      <c r="UNF3" s="1962"/>
      <c r="UNG3" s="1962"/>
      <c r="UNH3" s="1962"/>
      <c r="UNI3" s="1962"/>
      <c r="UNJ3" s="1962"/>
      <c r="UNK3" s="1962"/>
      <c r="UNL3" s="1962"/>
      <c r="UNM3" s="1962"/>
      <c r="UNN3" s="1962"/>
      <c r="UNO3" s="1962"/>
      <c r="UNP3" s="1962"/>
      <c r="UNQ3" s="1962"/>
      <c r="UNR3" s="1962"/>
      <c r="UNS3" s="1962"/>
      <c r="UNT3" s="1962"/>
      <c r="UNU3" s="1962"/>
      <c r="UNV3" s="1962"/>
      <c r="UNW3" s="1962"/>
      <c r="UNX3" s="1962"/>
      <c r="UNY3" s="1962"/>
      <c r="UNZ3" s="1962"/>
      <c r="UOA3" s="1962"/>
      <c r="UOB3" s="1962"/>
      <c r="UOC3" s="1962"/>
      <c r="UOD3" s="1962"/>
      <c r="UOE3" s="1962"/>
      <c r="UOF3" s="1962"/>
      <c r="UOG3" s="1962"/>
      <c r="UOH3" s="1962"/>
      <c r="UOI3" s="1962"/>
      <c r="UOJ3" s="1962"/>
      <c r="UOK3" s="1962"/>
      <c r="UOL3" s="1962"/>
      <c r="UOM3" s="1962"/>
      <c r="UON3" s="1962"/>
      <c r="UOO3" s="1962"/>
      <c r="UOP3" s="1962"/>
      <c r="UOQ3" s="1962"/>
      <c r="UOR3" s="1962"/>
      <c r="UOS3" s="1962"/>
      <c r="UOT3" s="1962"/>
      <c r="UOU3" s="1962"/>
      <c r="UOV3" s="1962"/>
      <c r="UOW3" s="1962"/>
      <c r="UOX3" s="1962"/>
      <c r="UOY3" s="1962"/>
      <c r="UOZ3" s="1962"/>
      <c r="UPA3" s="1962"/>
      <c r="UPB3" s="1962"/>
      <c r="UPC3" s="1962"/>
      <c r="UPD3" s="1962"/>
      <c r="UPE3" s="1962"/>
      <c r="UPF3" s="1962"/>
      <c r="UPG3" s="1962"/>
      <c r="UPH3" s="1962"/>
      <c r="UPI3" s="1962"/>
      <c r="UPJ3" s="1962"/>
      <c r="UPK3" s="1962"/>
      <c r="UPL3" s="1962"/>
      <c r="UPM3" s="1962"/>
      <c r="UPN3" s="1962"/>
      <c r="UPO3" s="1962"/>
      <c r="UPP3" s="1962"/>
      <c r="UPQ3" s="1962"/>
      <c r="UPR3" s="1962"/>
      <c r="UPS3" s="1962"/>
      <c r="UPT3" s="1962"/>
      <c r="UPU3" s="1962"/>
      <c r="UPV3" s="1962"/>
      <c r="UPW3" s="1962"/>
      <c r="UPX3" s="1962"/>
      <c r="UPY3" s="1962"/>
      <c r="UPZ3" s="1962"/>
      <c r="UQA3" s="1962"/>
      <c r="UQB3" s="1962"/>
      <c r="UQC3" s="1962"/>
      <c r="UQD3" s="1962"/>
      <c r="UQE3" s="1962"/>
      <c r="UQF3" s="1962"/>
      <c r="UQG3" s="1962"/>
      <c r="UQH3" s="1962"/>
      <c r="UQI3" s="1962"/>
      <c r="UQJ3" s="1962"/>
      <c r="UQK3" s="1962"/>
      <c r="UQL3" s="1962"/>
      <c r="UQM3" s="1962"/>
      <c r="UQN3" s="1962"/>
      <c r="UQO3" s="1962"/>
      <c r="UQP3" s="1962"/>
      <c r="UQQ3" s="1962"/>
      <c r="UQR3" s="1962"/>
      <c r="UQS3" s="1962"/>
      <c r="UQT3" s="1962"/>
      <c r="UQU3" s="1962"/>
      <c r="UQV3" s="1962"/>
      <c r="UQW3" s="1962"/>
      <c r="UQX3" s="1962"/>
      <c r="UQY3" s="1962"/>
      <c r="UQZ3" s="1962"/>
      <c r="URA3" s="1962"/>
      <c r="URB3" s="1962"/>
      <c r="URC3" s="1962"/>
      <c r="URD3" s="1962"/>
      <c r="URE3" s="1962"/>
      <c r="URF3" s="1962"/>
      <c r="URG3" s="1962"/>
      <c r="URH3" s="1962"/>
      <c r="URI3" s="1962"/>
      <c r="URJ3" s="1962"/>
      <c r="URK3" s="1962"/>
      <c r="URL3" s="1962"/>
      <c r="URM3" s="1962"/>
      <c r="URN3" s="1962"/>
      <c r="URO3" s="1962"/>
      <c r="URP3" s="1962"/>
      <c r="URQ3" s="1962"/>
      <c r="URR3" s="1962"/>
      <c r="URS3" s="1962"/>
      <c r="URT3" s="1962"/>
      <c r="URU3" s="1962"/>
      <c r="URV3" s="1962"/>
      <c r="URW3" s="1962"/>
      <c r="URX3" s="1962"/>
      <c r="URY3" s="1962"/>
      <c r="URZ3" s="1962"/>
      <c r="USA3" s="1962"/>
      <c r="USB3" s="1962"/>
      <c r="USC3" s="1962"/>
      <c r="USD3" s="1962"/>
      <c r="USE3" s="1962"/>
      <c r="USF3" s="1962"/>
      <c r="USG3" s="1962"/>
      <c r="USH3" s="1962"/>
      <c r="USI3" s="1962"/>
      <c r="USJ3" s="1962"/>
      <c r="USK3" s="1962"/>
      <c r="USL3" s="1962"/>
      <c r="USM3" s="1962"/>
      <c r="USN3" s="1962"/>
      <c r="USO3" s="1962"/>
      <c r="USP3" s="1962"/>
      <c r="USQ3" s="1962"/>
      <c r="USR3" s="1962"/>
      <c r="USS3" s="1962"/>
      <c r="UST3" s="1962"/>
      <c r="USU3" s="1962"/>
      <c r="USV3" s="1962"/>
      <c r="USW3" s="1962"/>
      <c r="USX3" s="1962"/>
      <c r="USY3" s="1962"/>
      <c r="USZ3" s="1962"/>
      <c r="UTA3" s="1962"/>
      <c r="UTB3" s="1962"/>
      <c r="UTC3" s="1962"/>
      <c r="UTD3" s="1962"/>
      <c r="UTE3" s="1962"/>
      <c r="UTF3" s="1962"/>
      <c r="UTG3" s="1962"/>
      <c r="UTH3" s="1962"/>
      <c r="UTI3" s="1962"/>
      <c r="UTJ3" s="1962"/>
      <c r="UTK3" s="1962"/>
      <c r="UTL3" s="1962"/>
      <c r="UTM3" s="1962"/>
      <c r="UTN3" s="1962"/>
      <c r="UTO3" s="1962"/>
      <c r="UTP3" s="1962"/>
      <c r="UTQ3" s="1962"/>
      <c r="UTR3" s="1962"/>
      <c r="UTS3" s="1962"/>
      <c r="UTT3" s="1962"/>
      <c r="UTU3" s="1962"/>
      <c r="UTV3" s="1962"/>
      <c r="UTW3" s="1962"/>
      <c r="UTX3" s="1962"/>
      <c r="UTY3" s="1962"/>
      <c r="UTZ3" s="1962"/>
      <c r="UUA3" s="1962"/>
      <c r="UUB3" s="1962"/>
      <c r="UUC3" s="1962"/>
      <c r="UUD3" s="1962"/>
      <c r="UUE3" s="1962"/>
      <c r="UUF3" s="1962"/>
      <c r="UUG3" s="1962"/>
      <c r="UUH3" s="1962"/>
      <c r="UUI3" s="1962"/>
      <c r="UUJ3" s="1962"/>
      <c r="UUK3" s="1962"/>
      <c r="UUL3" s="1962"/>
      <c r="UUM3" s="1962"/>
      <c r="UUN3" s="1962"/>
      <c r="UUO3" s="1962"/>
      <c r="UUP3" s="1962"/>
      <c r="UUQ3" s="1962"/>
      <c r="UUR3" s="1962"/>
      <c r="UUS3" s="1962"/>
      <c r="UUT3" s="1962"/>
      <c r="UUU3" s="1962"/>
      <c r="UUV3" s="1962"/>
      <c r="UUW3" s="1962"/>
      <c r="UUX3" s="1962"/>
      <c r="UUY3" s="1962"/>
      <c r="UUZ3" s="1962"/>
      <c r="UVA3" s="1962"/>
      <c r="UVB3" s="1962"/>
      <c r="UVC3" s="1962"/>
      <c r="UVD3" s="1962"/>
      <c r="UVE3" s="1962"/>
      <c r="UVF3" s="1962"/>
      <c r="UVG3" s="1962"/>
      <c r="UVH3" s="1962"/>
      <c r="UVI3" s="1962"/>
      <c r="UVJ3" s="1962"/>
      <c r="UVK3" s="1962"/>
      <c r="UVL3" s="1962"/>
      <c r="UVM3" s="1962"/>
      <c r="UVN3" s="1962"/>
      <c r="UVO3" s="1962"/>
      <c r="UVP3" s="1962"/>
      <c r="UVQ3" s="1962"/>
      <c r="UVR3" s="1962"/>
      <c r="UVS3" s="1962"/>
      <c r="UVT3" s="1962"/>
      <c r="UVU3" s="1962"/>
      <c r="UVV3" s="1962"/>
      <c r="UVW3" s="1962"/>
      <c r="UVX3" s="1962"/>
      <c r="UVY3" s="1962"/>
      <c r="UVZ3" s="1962"/>
      <c r="UWA3" s="1962"/>
      <c r="UWB3" s="1962"/>
      <c r="UWC3" s="1962"/>
      <c r="UWD3" s="1962"/>
      <c r="UWE3" s="1962"/>
      <c r="UWF3" s="1962"/>
      <c r="UWG3" s="1962"/>
      <c r="UWH3" s="1962"/>
      <c r="UWI3" s="1962"/>
      <c r="UWJ3" s="1962"/>
      <c r="UWK3" s="1962"/>
      <c r="UWL3" s="1962"/>
      <c r="UWM3" s="1962"/>
      <c r="UWN3" s="1962"/>
      <c r="UWO3" s="1962"/>
      <c r="UWP3" s="1962"/>
      <c r="UWQ3" s="1962"/>
      <c r="UWR3" s="1962"/>
      <c r="UWS3" s="1962"/>
      <c r="UWT3" s="1962"/>
      <c r="UWU3" s="1962"/>
      <c r="UWV3" s="1962"/>
      <c r="UWW3" s="1962"/>
      <c r="UWX3" s="1962"/>
      <c r="UWY3" s="1962"/>
      <c r="UWZ3" s="1962"/>
      <c r="UXA3" s="1962"/>
      <c r="UXB3" s="1962"/>
      <c r="UXC3" s="1962"/>
      <c r="UXD3" s="1962"/>
      <c r="UXE3" s="1962"/>
      <c r="UXF3" s="1962"/>
      <c r="UXG3" s="1962"/>
      <c r="UXH3" s="1962"/>
      <c r="UXI3" s="1962"/>
      <c r="UXJ3" s="1962"/>
      <c r="UXK3" s="1962"/>
      <c r="UXL3" s="1962"/>
      <c r="UXM3" s="1962"/>
      <c r="UXN3" s="1962"/>
      <c r="UXO3" s="1962"/>
      <c r="UXP3" s="1962"/>
      <c r="UXQ3" s="1962"/>
      <c r="UXR3" s="1962"/>
      <c r="UXS3" s="1962"/>
      <c r="UXT3" s="1962"/>
      <c r="UXU3" s="1962"/>
      <c r="UXV3" s="1962"/>
      <c r="UXW3" s="1962"/>
      <c r="UXX3" s="1962"/>
      <c r="UXY3" s="1962"/>
      <c r="UXZ3" s="1962"/>
      <c r="UYA3" s="1962"/>
      <c r="UYB3" s="1962"/>
      <c r="UYC3" s="1962"/>
      <c r="UYD3" s="1962"/>
      <c r="UYE3" s="1962"/>
      <c r="UYF3" s="1962"/>
      <c r="UYG3" s="1962"/>
      <c r="UYH3" s="1962"/>
      <c r="UYI3" s="1962"/>
      <c r="UYJ3" s="1962"/>
      <c r="UYK3" s="1962"/>
      <c r="UYL3" s="1962"/>
      <c r="UYM3" s="1962"/>
      <c r="UYN3" s="1962"/>
      <c r="UYO3" s="1962"/>
      <c r="UYP3" s="1962"/>
      <c r="UYQ3" s="1962"/>
      <c r="UYR3" s="1962"/>
      <c r="UYS3" s="1962"/>
      <c r="UYT3" s="1962"/>
      <c r="UYU3" s="1962"/>
      <c r="UYV3" s="1962"/>
      <c r="UYW3" s="1962"/>
      <c r="UYX3" s="1962"/>
      <c r="UYY3" s="1962"/>
      <c r="UYZ3" s="1962"/>
      <c r="UZA3" s="1962"/>
      <c r="UZB3" s="1962"/>
      <c r="UZC3" s="1962"/>
      <c r="UZD3" s="1962"/>
      <c r="UZE3" s="1962"/>
      <c r="UZF3" s="1962"/>
      <c r="UZG3" s="1962"/>
      <c r="UZH3" s="1962"/>
      <c r="UZI3" s="1962"/>
      <c r="UZJ3" s="1962"/>
      <c r="UZK3" s="1962"/>
      <c r="UZL3" s="1962"/>
      <c r="UZM3" s="1962"/>
      <c r="UZN3" s="1962"/>
      <c r="UZO3" s="1962"/>
      <c r="UZP3" s="1962"/>
      <c r="UZQ3" s="1962"/>
      <c r="UZR3" s="1962"/>
      <c r="UZS3" s="1962"/>
      <c r="UZT3" s="1962"/>
      <c r="UZU3" s="1962"/>
      <c r="UZV3" s="1962"/>
      <c r="UZW3" s="1962"/>
      <c r="UZX3" s="1962"/>
      <c r="UZY3" s="1962"/>
      <c r="UZZ3" s="1962"/>
      <c r="VAA3" s="1962"/>
      <c r="VAB3" s="1962"/>
      <c r="VAC3" s="1962"/>
      <c r="VAD3" s="1962"/>
      <c r="VAE3" s="1962"/>
      <c r="VAF3" s="1962"/>
      <c r="VAG3" s="1962"/>
      <c r="VAH3" s="1962"/>
      <c r="VAI3" s="1962"/>
      <c r="VAJ3" s="1962"/>
      <c r="VAK3" s="1962"/>
      <c r="VAL3" s="1962"/>
      <c r="VAM3" s="1962"/>
      <c r="VAN3" s="1962"/>
      <c r="VAO3" s="1962"/>
      <c r="VAP3" s="1962"/>
      <c r="VAQ3" s="1962"/>
      <c r="VAR3" s="1962"/>
      <c r="VAS3" s="1962"/>
      <c r="VAT3" s="1962"/>
      <c r="VAU3" s="1962"/>
      <c r="VAV3" s="1962"/>
      <c r="VAW3" s="1962"/>
      <c r="VAX3" s="1962"/>
      <c r="VAY3" s="1962"/>
      <c r="VAZ3" s="1962"/>
      <c r="VBA3" s="1962"/>
      <c r="VBB3" s="1962"/>
      <c r="VBC3" s="1962"/>
      <c r="VBD3" s="1962"/>
      <c r="VBE3" s="1962"/>
      <c r="VBF3" s="1962"/>
      <c r="VBG3" s="1962"/>
      <c r="VBH3" s="1962"/>
      <c r="VBI3" s="1962"/>
      <c r="VBJ3" s="1962"/>
      <c r="VBK3" s="1962"/>
      <c r="VBL3" s="1962"/>
      <c r="VBM3" s="1962"/>
      <c r="VBN3" s="1962"/>
      <c r="VBO3" s="1962"/>
      <c r="VBP3" s="1962"/>
      <c r="VBQ3" s="1962"/>
      <c r="VBR3" s="1962"/>
      <c r="VBS3" s="1962"/>
      <c r="VBT3" s="1962"/>
      <c r="VBU3" s="1962"/>
      <c r="VBV3" s="1962"/>
      <c r="VBW3" s="1962"/>
      <c r="VBX3" s="1962"/>
      <c r="VBY3" s="1962"/>
      <c r="VBZ3" s="1962"/>
      <c r="VCA3" s="1962"/>
      <c r="VCB3" s="1962"/>
      <c r="VCC3" s="1962"/>
      <c r="VCD3" s="1962"/>
      <c r="VCE3" s="1962"/>
      <c r="VCF3" s="1962"/>
      <c r="VCG3" s="1962"/>
      <c r="VCH3" s="1962"/>
      <c r="VCI3" s="1962"/>
      <c r="VCJ3" s="1962"/>
      <c r="VCK3" s="1962"/>
      <c r="VCL3" s="1962"/>
      <c r="VCM3" s="1962"/>
      <c r="VCN3" s="1962"/>
      <c r="VCO3" s="1962"/>
      <c r="VCP3" s="1962"/>
      <c r="VCQ3" s="1962"/>
      <c r="VCR3" s="1962"/>
      <c r="VCS3" s="1962"/>
      <c r="VCT3" s="1962"/>
      <c r="VCU3" s="1962"/>
      <c r="VCV3" s="1962"/>
      <c r="VCW3" s="1962"/>
      <c r="VCX3" s="1962"/>
      <c r="VCY3" s="1962"/>
      <c r="VCZ3" s="1962"/>
      <c r="VDA3" s="1962"/>
      <c r="VDB3" s="1962"/>
      <c r="VDC3" s="1962"/>
      <c r="VDD3" s="1962"/>
      <c r="VDE3" s="1962"/>
      <c r="VDF3" s="1962"/>
      <c r="VDG3" s="1962"/>
      <c r="VDH3" s="1962"/>
      <c r="VDI3" s="1962"/>
      <c r="VDJ3" s="1962"/>
      <c r="VDK3" s="1962"/>
      <c r="VDL3" s="1962"/>
      <c r="VDM3" s="1962"/>
      <c r="VDN3" s="1962"/>
      <c r="VDO3" s="1962"/>
      <c r="VDP3" s="1962"/>
      <c r="VDQ3" s="1962"/>
      <c r="VDR3" s="1962"/>
      <c r="VDS3" s="1962"/>
      <c r="VDT3" s="1962"/>
      <c r="VDU3" s="1962"/>
      <c r="VDV3" s="1962"/>
      <c r="VDW3" s="1962"/>
      <c r="VDX3" s="1962"/>
      <c r="VDY3" s="1962"/>
      <c r="VDZ3" s="1962"/>
      <c r="VEA3" s="1962"/>
      <c r="VEB3" s="1962"/>
      <c r="VEC3" s="1962"/>
      <c r="VED3" s="1962"/>
      <c r="VEE3" s="1962"/>
      <c r="VEF3" s="1962"/>
      <c r="VEG3" s="1962"/>
      <c r="VEH3" s="1962"/>
      <c r="VEI3" s="1962"/>
      <c r="VEJ3" s="1962"/>
      <c r="VEK3" s="1962"/>
      <c r="VEL3" s="1962"/>
      <c r="VEM3" s="1962"/>
      <c r="VEN3" s="1962"/>
      <c r="VEO3" s="1962"/>
      <c r="VEP3" s="1962"/>
      <c r="VEQ3" s="1962"/>
      <c r="VER3" s="1962"/>
      <c r="VES3" s="1962"/>
      <c r="VET3" s="1962"/>
      <c r="VEU3" s="1962"/>
      <c r="VEV3" s="1962"/>
      <c r="VEW3" s="1962"/>
      <c r="VEX3" s="1962"/>
      <c r="VEY3" s="1962"/>
      <c r="VEZ3" s="1962"/>
      <c r="VFA3" s="1962"/>
      <c r="VFB3" s="1962"/>
      <c r="VFC3" s="1962"/>
      <c r="VFD3" s="1962"/>
      <c r="VFE3" s="1962"/>
      <c r="VFF3" s="1962"/>
      <c r="VFG3" s="1962"/>
      <c r="VFH3" s="1962"/>
      <c r="VFI3" s="1962"/>
      <c r="VFJ3" s="1962"/>
      <c r="VFK3" s="1962"/>
      <c r="VFL3" s="1962"/>
      <c r="VFM3" s="1962"/>
      <c r="VFN3" s="1962"/>
      <c r="VFO3" s="1962"/>
      <c r="VFP3" s="1962"/>
      <c r="VFQ3" s="1962"/>
      <c r="VFR3" s="1962"/>
      <c r="VFS3" s="1962"/>
      <c r="VFT3" s="1962"/>
      <c r="VFU3" s="1962"/>
      <c r="VFV3" s="1962"/>
      <c r="VFW3" s="1962"/>
      <c r="VFX3" s="1962"/>
      <c r="VFY3" s="1962"/>
      <c r="VFZ3" s="1962"/>
      <c r="VGA3" s="1962"/>
      <c r="VGB3" s="1962"/>
      <c r="VGC3" s="1962"/>
      <c r="VGD3" s="1962"/>
      <c r="VGE3" s="1962"/>
      <c r="VGF3" s="1962"/>
      <c r="VGG3" s="1962"/>
      <c r="VGH3" s="1962"/>
      <c r="VGI3" s="1962"/>
      <c r="VGJ3" s="1962"/>
      <c r="VGK3" s="1962"/>
      <c r="VGL3" s="1962"/>
      <c r="VGM3" s="1962"/>
      <c r="VGN3" s="1962"/>
      <c r="VGO3" s="1962"/>
      <c r="VGP3" s="1962"/>
      <c r="VGQ3" s="1962"/>
      <c r="VGR3" s="1962"/>
      <c r="VGS3" s="1962"/>
      <c r="VGT3" s="1962"/>
      <c r="VGU3" s="1962"/>
      <c r="VGV3" s="1962"/>
      <c r="VGW3" s="1962"/>
      <c r="VGX3" s="1962"/>
      <c r="VGY3" s="1962"/>
      <c r="VGZ3" s="1962"/>
      <c r="VHA3" s="1962"/>
      <c r="VHB3" s="1962"/>
      <c r="VHC3" s="1962"/>
      <c r="VHD3" s="1962"/>
      <c r="VHE3" s="1962"/>
      <c r="VHF3" s="1962"/>
      <c r="VHG3" s="1962"/>
      <c r="VHH3" s="1962"/>
      <c r="VHI3" s="1962"/>
      <c r="VHJ3" s="1962"/>
      <c r="VHK3" s="1962"/>
      <c r="VHL3" s="1962"/>
      <c r="VHM3" s="1962"/>
      <c r="VHN3" s="1962"/>
      <c r="VHO3" s="1962"/>
      <c r="VHP3" s="1962"/>
      <c r="VHQ3" s="1962"/>
      <c r="VHR3" s="1962"/>
      <c r="VHS3" s="1962"/>
      <c r="VHT3" s="1962"/>
      <c r="VHU3" s="1962"/>
      <c r="VHV3" s="1962"/>
      <c r="VHW3" s="1962"/>
      <c r="VHX3" s="1962"/>
      <c r="VHY3" s="1962"/>
      <c r="VHZ3" s="1962"/>
      <c r="VIA3" s="1962"/>
      <c r="VIB3" s="1962"/>
      <c r="VIC3" s="1962"/>
      <c r="VID3" s="1962"/>
      <c r="VIE3" s="1962"/>
      <c r="VIF3" s="1962"/>
      <c r="VIG3" s="1962"/>
      <c r="VIH3" s="1962"/>
      <c r="VII3" s="1962"/>
      <c r="VIJ3" s="1962"/>
      <c r="VIK3" s="1962"/>
      <c r="VIL3" s="1962"/>
      <c r="VIM3" s="1962"/>
      <c r="VIN3" s="1962"/>
      <c r="VIO3" s="1962"/>
      <c r="VIP3" s="1962"/>
      <c r="VIQ3" s="1962"/>
      <c r="VIR3" s="1962"/>
      <c r="VIS3" s="1962"/>
      <c r="VIT3" s="1962"/>
      <c r="VIU3" s="1962"/>
      <c r="VIV3" s="1962"/>
      <c r="VIW3" s="1962"/>
      <c r="VIX3" s="1962"/>
      <c r="VIY3" s="1962"/>
      <c r="VIZ3" s="1962"/>
      <c r="VJA3" s="1962"/>
      <c r="VJB3" s="1962"/>
      <c r="VJC3" s="1962"/>
      <c r="VJD3" s="1962"/>
      <c r="VJE3" s="1962"/>
      <c r="VJF3" s="1962"/>
      <c r="VJG3" s="1962"/>
      <c r="VJH3" s="1962"/>
      <c r="VJI3" s="1962"/>
      <c r="VJJ3" s="1962"/>
      <c r="VJK3" s="1962"/>
      <c r="VJL3" s="1962"/>
      <c r="VJM3" s="1962"/>
      <c r="VJN3" s="1962"/>
      <c r="VJO3" s="1962"/>
      <c r="VJP3" s="1962"/>
      <c r="VJQ3" s="1962"/>
      <c r="VJR3" s="1962"/>
      <c r="VJS3" s="1962"/>
      <c r="VJT3" s="1962"/>
      <c r="VJU3" s="1962"/>
      <c r="VJV3" s="1962"/>
      <c r="VJW3" s="1962"/>
      <c r="VJX3" s="1962"/>
      <c r="VJY3" s="1962"/>
      <c r="VJZ3" s="1962"/>
      <c r="VKA3" s="1962"/>
      <c r="VKB3" s="1962"/>
      <c r="VKC3" s="1962"/>
      <c r="VKD3" s="1962"/>
      <c r="VKE3" s="1962"/>
      <c r="VKF3" s="1962"/>
      <c r="VKG3" s="1962"/>
      <c r="VKH3" s="1962"/>
      <c r="VKI3" s="1962"/>
      <c r="VKJ3" s="1962"/>
      <c r="VKK3" s="1962"/>
      <c r="VKL3" s="1962"/>
      <c r="VKM3" s="1962"/>
      <c r="VKN3" s="1962"/>
      <c r="VKO3" s="1962"/>
      <c r="VKP3" s="1962"/>
      <c r="VKQ3" s="1962"/>
      <c r="VKR3" s="1962"/>
      <c r="VKS3" s="1962"/>
      <c r="VKT3" s="1962"/>
      <c r="VKU3" s="1962"/>
      <c r="VKV3" s="1962"/>
      <c r="VKW3" s="1962"/>
      <c r="VKX3" s="1962"/>
      <c r="VKY3" s="1962"/>
      <c r="VKZ3" s="1962"/>
      <c r="VLA3" s="1962"/>
      <c r="VLB3" s="1962"/>
      <c r="VLC3" s="1962"/>
      <c r="VLD3" s="1962"/>
      <c r="VLE3" s="1962"/>
      <c r="VLF3" s="1962"/>
      <c r="VLG3" s="1962"/>
      <c r="VLH3" s="1962"/>
      <c r="VLI3" s="1962"/>
      <c r="VLJ3" s="1962"/>
      <c r="VLK3" s="1962"/>
      <c r="VLL3" s="1962"/>
      <c r="VLM3" s="1962"/>
      <c r="VLN3" s="1962"/>
      <c r="VLO3" s="1962"/>
      <c r="VLP3" s="1962"/>
      <c r="VLQ3" s="1962"/>
      <c r="VLR3" s="1962"/>
      <c r="VLS3" s="1962"/>
      <c r="VLT3" s="1962"/>
      <c r="VLU3" s="1962"/>
      <c r="VLV3" s="1962"/>
      <c r="VLW3" s="1962"/>
      <c r="VLX3" s="1962"/>
      <c r="VLY3" s="1962"/>
      <c r="VLZ3" s="1962"/>
      <c r="VMA3" s="1962"/>
      <c r="VMB3" s="1962"/>
      <c r="VMC3" s="1962"/>
      <c r="VMD3" s="1962"/>
      <c r="VME3" s="1962"/>
      <c r="VMF3" s="1962"/>
      <c r="VMG3" s="1962"/>
      <c r="VMH3" s="1962"/>
      <c r="VMI3" s="1962"/>
      <c r="VMJ3" s="1962"/>
      <c r="VMK3" s="1962"/>
      <c r="VML3" s="1962"/>
      <c r="VMM3" s="1962"/>
      <c r="VMN3" s="1962"/>
      <c r="VMO3" s="1962"/>
      <c r="VMP3" s="1962"/>
      <c r="VMQ3" s="1962"/>
      <c r="VMR3" s="1962"/>
      <c r="VMS3" s="1962"/>
      <c r="VMT3" s="1962"/>
      <c r="VMU3" s="1962"/>
      <c r="VMV3" s="1962"/>
      <c r="VMW3" s="1962"/>
      <c r="VMX3" s="1962"/>
      <c r="VMY3" s="1962"/>
      <c r="VMZ3" s="1962"/>
      <c r="VNA3" s="1962"/>
      <c r="VNB3" s="1962"/>
      <c r="VNC3" s="1962"/>
      <c r="VND3" s="1962"/>
      <c r="VNE3" s="1962"/>
      <c r="VNF3" s="1962"/>
      <c r="VNG3" s="1962"/>
      <c r="VNH3" s="1962"/>
      <c r="VNI3" s="1962"/>
      <c r="VNJ3" s="1962"/>
      <c r="VNK3" s="1962"/>
      <c r="VNL3" s="1962"/>
      <c r="VNM3" s="1962"/>
      <c r="VNN3" s="1962"/>
      <c r="VNO3" s="1962"/>
      <c r="VNP3" s="1962"/>
      <c r="VNQ3" s="1962"/>
      <c r="VNR3" s="1962"/>
      <c r="VNS3" s="1962"/>
      <c r="VNT3" s="1962"/>
      <c r="VNU3" s="1962"/>
      <c r="VNV3" s="1962"/>
      <c r="VNW3" s="1962"/>
      <c r="VNX3" s="1962"/>
      <c r="VNY3" s="1962"/>
      <c r="VNZ3" s="1962"/>
      <c r="VOA3" s="1962"/>
      <c r="VOB3" s="1962"/>
      <c r="VOC3" s="1962"/>
      <c r="VOD3" s="1962"/>
      <c r="VOE3" s="1962"/>
      <c r="VOF3" s="1962"/>
      <c r="VOG3" s="1962"/>
      <c r="VOH3" s="1962"/>
      <c r="VOI3" s="1962"/>
      <c r="VOJ3" s="1962"/>
      <c r="VOK3" s="1962"/>
      <c r="VOL3" s="1962"/>
      <c r="VOM3" s="1962"/>
      <c r="VON3" s="1962"/>
      <c r="VOO3" s="1962"/>
      <c r="VOP3" s="1962"/>
      <c r="VOQ3" s="1962"/>
      <c r="VOR3" s="1962"/>
      <c r="VOS3" s="1962"/>
      <c r="VOT3" s="1962"/>
      <c r="VOU3" s="1962"/>
      <c r="VOV3" s="1962"/>
      <c r="VOW3" s="1962"/>
      <c r="VOX3" s="1962"/>
      <c r="VOY3" s="1962"/>
      <c r="VOZ3" s="1962"/>
      <c r="VPA3" s="1962"/>
      <c r="VPB3" s="1962"/>
      <c r="VPC3" s="1962"/>
      <c r="VPD3" s="1962"/>
      <c r="VPE3" s="1962"/>
      <c r="VPF3" s="1962"/>
      <c r="VPG3" s="1962"/>
      <c r="VPH3" s="1962"/>
      <c r="VPI3" s="1962"/>
      <c r="VPJ3" s="1962"/>
      <c r="VPK3" s="1962"/>
      <c r="VPL3" s="1962"/>
      <c r="VPM3" s="1962"/>
      <c r="VPN3" s="1962"/>
      <c r="VPO3" s="1962"/>
      <c r="VPP3" s="1962"/>
      <c r="VPQ3" s="1962"/>
      <c r="VPR3" s="1962"/>
      <c r="VPS3" s="1962"/>
      <c r="VPT3" s="1962"/>
      <c r="VPU3" s="1962"/>
      <c r="VPV3" s="1962"/>
      <c r="VPW3" s="1962"/>
      <c r="VPX3" s="1962"/>
      <c r="VPY3" s="1962"/>
      <c r="VPZ3" s="1962"/>
      <c r="VQA3" s="1962"/>
      <c r="VQB3" s="1962"/>
      <c r="VQC3" s="1962"/>
      <c r="VQD3" s="1962"/>
      <c r="VQE3" s="1962"/>
      <c r="VQF3" s="1962"/>
      <c r="VQG3" s="1962"/>
      <c r="VQH3" s="1962"/>
      <c r="VQI3" s="1962"/>
      <c r="VQJ3" s="1962"/>
      <c r="VQK3" s="1962"/>
      <c r="VQL3" s="1962"/>
      <c r="VQM3" s="1962"/>
      <c r="VQN3" s="1962"/>
      <c r="VQO3" s="1962"/>
      <c r="VQP3" s="1962"/>
      <c r="VQQ3" s="1962"/>
      <c r="VQR3" s="1962"/>
      <c r="VQS3" s="1962"/>
      <c r="VQT3" s="1962"/>
      <c r="VQU3" s="1962"/>
      <c r="VQV3" s="1962"/>
      <c r="VQW3" s="1962"/>
      <c r="VQX3" s="1962"/>
      <c r="VQY3" s="1962"/>
      <c r="VQZ3" s="1962"/>
      <c r="VRA3" s="1962"/>
      <c r="VRB3" s="1962"/>
      <c r="VRC3" s="1962"/>
      <c r="VRD3" s="1962"/>
      <c r="VRE3" s="1962"/>
      <c r="VRF3" s="1962"/>
      <c r="VRG3" s="1962"/>
      <c r="VRH3" s="1962"/>
      <c r="VRI3" s="1962"/>
      <c r="VRJ3" s="1962"/>
      <c r="VRK3" s="1962"/>
      <c r="VRL3" s="1962"/>
      <c r="VRM3" s="1962"/>
      <c r="VRN3" s="1962"/>
      <c r="VRO3" s="1962"/>
      <c r="VRP3" s="1962"/>
      <c r="VRQ3" s="1962"/>
      <c r="VRR3" s="1962"/>
      <c r="VRS3" s="1962"/>
      <c r="VRT3" s="1962"/>
      <c r="VRU3" s="1962"/>
      <c r="VRV3" s="1962"/>
      <c r="VRW3" s="1962"/>
      <c r="VRX3" s="1962"/>
      <c r="VRY3" s="1962"/>
      <c r="VRZ3" s="1962"/>
      <c r="VSA3" s="1962"/>
      <c r="VSB3" s="1962"/>
      <c r="VSC3" s="1962"/>
      <c r="VSD3" s="1962"/>
      <c r="VSE3" s="1962"/>
      <c r="VSF3" s="1962"/>
      <c r="VSG3" s="1962"/>
      <c r="VSH3" s="1962"/>
      <c r="VSI3" s="1962"/>
      <c r="VSJ3" s="1962"/>
      <c r="VSK3" s="1962"/>
      <c r="VSL3" s="1962"/>
      <c r="VSM3" s="1962"/>
      <c r="VSN3" s="1962"/>
      <c r="VSO3" s="1962"/>
      <c r="VSP3" s="1962"/>
      <c r="VSQ3" s="1962"/>
      <c r="VSR3" s="1962"/>
      <c r="VSS3" s="1962"/>
      <c r="VST3" s="1962"/>
      <c r="VSU3" s="1962"/>
      <c r="VSV3" s="1962"/>
      <c r="VSW3" s="1962"/>
      <c r="VSX3" s="1962"/>
      <c r="VSY3" s="1962"/>
      <c r="VSZ3" s="1962"/>
      <c r="VTA3" s="1962"/>
      <c r="VTB3" s="1962"/>
      <c r="VTC3" s="1962"/>
      <c r="VTD3" s="1962"/>
      <c r="VTE3" s="1962"/>
      <c r="VTF3" s="1962"/>
      <c r="VTG3" s="1962"/>
      <c r="VTH3" s="1962"/>
      <c r="VTI3" s="1962"/>
      <c r="VTJ3" s="1962"/>
      <c r="VTK3" s="1962"/>
      <c r="VTL3" s="1962"/>
      <c r="VTM3" s="1962"/>
      <c r="VTN3" s="1962"/>
      <c r="VTO3" s="1962"/>
      <c r="VTP3" s="1962"/>
      <c r="VTQ3" s="1962"/>
      <c r="VTR3" s="1962"/>
      <c r="VTS3" s="1962"/>
      <c r="VTT3" s="1962"/>
      <c r="VTU3" s="1962"/>
      <c r="VTV3" s="1962"/>
      <c r="VTW3" s="1962"/>
      <c r="VTX3" s="1962"/>
      <c r="VTY3" s="1962"/>
      <c r="VTZ3" s="1962"/>
      <c r="VUA3" s="1962"/>
      <c r="VUB3" s="1962"/>
      <c r="VUC3" s="1962"/>
      <c r="VUD3" s="1962"/>
      <c r="VUE3" s="1962"/>
      <c r="VUF3" s="1962"/>
      <c r="VUG3" s="1962"/>
      <c r="VUH3" s="1962"/>
      <c r="VUI3" s="1962"/>
      <c r="VUJ3" s="1962"/>
      <c r="VUK3" s="1962"/>
      <c r="VUL3" s="1962"/>
      <c r="VUM3" s="1962"/>
      <c r="VUN3" s="1962"/>
      <c r="VUO3" s="1962"/>
      <c r="VUP3" s="1962"/>
      <c r="VUQ3" s="1962"/>
      <c r="VUR3" s="1962"/>
      <c r="VUS3" s="1962"/>
      <c r="VUT3" s="1962"/>
      <c r="VUU3" s="1962"/>
      <c r="VUV3" s="1962"/>
      <c r="VUW3" s="1962"/>
      <c r="VUX3" s="1962"/>
      <c r="VUY3" s="1962"/>
      <c r="VUZ3" s="1962"/>
      <c r="VVA3" s="1962"/>
      <c r="VVB3" s="1962"/>
      <c r="VVC3" s="1962"/>
      <c r="VVD3" s="1962"/>
      <c r="VVE3" s="1962"/>
      <c r="VVF3" s="1962"/>
      <c r="VVG3" s="1962"/>
      <c r="VVH3" s="1962"/>
      <c r="VVI3" s="1962"/>
      <c r="VVJ3" s="1962"/>
      <c r="VVK3" s="1962"/>
      <c r="VVL3" s="1962"/>
      <c r="VVM3" s="1962"/>
      <c r="VVN3" s="1962"/>
      <c r="VVO3" s="1962"/>
      <c r="VVP3" s="1962"/>
      <c r="VVQ3" s="1962"/>
      <c r="VVR3" s="1962"/>
      <c r="VVS3" s="1962"/>
      <c r="VVT3" s="1962"/>
      <c r="VVU3" s="1962"/>
      <c r="VVV3" s="1962"/>
      <c r="VVW3" s="1962"/>
      <c r="VVX3" s="1962"/>
      <c r="VVY3" s="1962"/>
      <c r="VVZ3" s="1962"/>
      <c r="VWA3" s="1962"/>
      <c r="VWB3" s="1962"/>
      <c r="VWC3" s="1962"/>
      <c r="VWD3" s="1962"/>
      <c r="VWE3" s="1962"/>
      <c r="VWF3" s="1962"/>
      <c r="VWG3" s="1962"/>
      <c r="VWH3" s="1962"/>
      <c r="VWI3" s="1962"/>
      <c r="VWJ3" s="1962"/>
      <c r="VWK3" s="1962"/>
      <c r="VWL3" s="1962"/>
      <c r="VWM3" s="1962"/>
      <c r="VWN3" s="1962"/>
      <c r="VWO3" s="1962"/>
      <c r="VWP3" s="1962"/>
      <c r="VWQ3" s="1962"/>
      <c r="VWR3" s="1962"/>
      <c r="VWS3" s="1962"/>
      <c r="VWT3" s="1962"/>
      <c r="VWU3" s="1962"/>
      <c r="VWV3" s="1962"/>
      <c r="VWW3" s="1962"/>
      <c r="VWX3" s="1962"/>
      <c r="VWY3" s="1962"/>
      <c r="VWZ3" s="1962"/>
      <c r="VXA3" s="1962"/>
      <c r="VXB3" s="1962"/>
      <c r="VXC3" s="1962"/>
      <c r="VXD3" s="1962"/>
      <c r="VXE3" s="1962"/>
      <c r="VXF3" s="1962"/>
      <c r="VXG3" s="1962"/>
      <c r="VXH3" s="1962"/>
      <c r="VXI3" s="1962"/>
      <c r="VXJ3" s="1962"/>
      <c r="VXK3" s="1962"/>
      <c r="VXL3" s="1962"/>
      <c r="VXM3" s="1962"/>
      <c r="VXN3" s="1962"/>
      <c r="VXO3" s="1962"/>
      <c r="VXP3" s="1962"/>
      <c r="VXQ3" s="1962"/>
      <c r="VXR3" s="1962"/>
      <c r="VXS3" s="1962"/>
      <c r="VXT3" s="1962"/>
      <c r="VXU3" s="1962"/>
      <c r="VXV3" s="1962"/>
      <c r="VXW3" s="1962"/>
      <c r="VXX3" s="1962"/>
      <c r="VXY3" s="1962"/>
      <c r="VXZ3" s="1962"/>
      <c r="VYA3" s="1962"/>
      <c r="VYB3" s="1962"/>
      <c r="VYC3" s="1962"/>
      <c r="VYD3" s="1962"/>
      <c r="VYE3" s="1962"/>
      <c r="VYF3" s="1962"/>
      <c r="VYG3" s="1962"/>
      <c r="VYH3" s="1962"/>
      <c r="VYI3" s="1962"/>
      <c r="VYJ3" s="1962"/>
      <c r="VYK3" s="1962"/>
      <c r="VYL3" s="1962"/>
      <c r="VYM3" s="1962"/>
      <c r="VYN3" s="1962"/>
      <c r="VYO3" s="1962"/>
      <c r="VYP3" s="1962"/>
      <c r="VYQ3" s="1962"/>
      <c r="VYR3" s="1962"/>
      <c r="VYS3" s="1962"/>
      <c r="VYT3" s="1962"/>
      <c r="VYU3" s="1962"/>
      <c r="VYV3" s="1962"/>
      <c r="VYW3" s="1962"/>
      <c r="VYX3" s="1962"/>
      <c r="VYY3" s="1962"/>
      <c r="VYZ3" s="1962"/>
      <c r="VZA3" s="1962"/>
      <c r="VZB3" s="1962"/>
      <c r="VZC3" s="1962"/>
      <c r="VZD3" s="1962"/>
      <c r="VZE3" s="1962"/>
      <c r="VZF3" s="1962"/>
      <c r="VZG3" s="1962"/>
      <c r="VZH3" s="1962"/>
      <c r="VZI3" s="1962"/>
      <c r="VZJ3" s="1962"/>
      <c r="VZK3" s="1962"/>
      <c r="VZL3" s="1962"/>
      <c r="VZM3" s="1962"/>
      <c r="VZN3" s="1962"/>
      <c r="VZO3" s="1962"/>
      <c r="VZP3" s="1962"/>
      <c r="VZQ3" s="1962"/>
      <c r="VZR3" s="1962"/>
      <c r="VZS3" s="1962"/>
      <c r="VZT3" s="1962"/>
      <c r="VZU3" s="1962"/>
      <c r="VZV3" s="1962"/>
      <c r="VZW3" s="1962"/>
      <c r="VZX3" s="1962"/>
      <c r="VZY3" s="1962"/>
      <c r="VZZ3" s="1962"/>
      <c r="WAA3" s="1962"/>
      <c r="WAB3" s="1962"/>
      <c r="WAC3" s="1962"/>
      <c r="WAD3" s="1962"/>
      <c r="WAE3" s="1962"/>
      <c r="WAF3" s="1962"/>
      <c r="WAG3" s="1962"/>
      <c r="WAH3" s="1962"/>
      <c r="WAI3" s="1962"/>
      <c r="WAJ3" s="1962"/>
      <c r="WAK3" s="1962"/>
      <c r="WAL3" s="1962"/>
      <c r="WAM3" s="1962"/>
      <c r="WAN3" s="1962"/>
      <c r="WAO3" s="1962"/>
      <c r="WAP3" s="1962"/>
      <c r="WAQ3" s="1962"/>
      <c r="WAR3" s="1962"/>
      <c r="WAS3" s="1962"/>
      <c r="WAT3" s="1962"/>
      <c r="WAU3" s="1962"/>
      <c r="WAV3" s="1962"/>
      <c r="WAW3" s="1962"/>
      <c r="WAX3" s="1962"/>
      <c r="WAY3" s="1962"/>
      <c r="WAZ3" s="1962"/>
      <c r="WBA3" s="1962"/>
      <c r="WBB3" s="1962"/>
      <c r="WBC3" s="1962"/>
      <c r="WBD3" s="1962"/>
      <c r="WBE3" s="1962"/>
      <c r="WBF3" s="1962"/>
      <c r="WBG3" s="1962"/>
      <c r="WBH3" s="1962"/>
      <c r="WBI3" s="1962"/>
      <c r="WBJ3" s="1962"/>
      <c r="WBK3" s="1962"/>
      <c r="WBL3" s="1962"/>
      <c r="WBM3" s="1962"/>
      <c r="WBN3" s="1962"/>
      <c r="WBO3" s="1962"/>
      <c r="WBP3" s="1962"/>
      <c r="WBQ3" s="1962"/>
      <c r="WBR3" s="1962"/>
      <c r="WBS3" s="1962"/>
      <c r="WBT3" s="1962"/>
      <c r="WBU3" s="1962"/>
      <c r="WBV3" s="1962"/>
      <c r="WBW3" s="1962"/>
      <c r="WBX3" s="1962"/>
      <c r="WBY3" s="1962"/>
      <c r="WBZ3" s="1962"/>
      <c r="WCA3" s="1962"/>
      <c r="WCB3" s="1962"/>
      <c r="WCC3" s="1962"/>
      <c r="WCD3" s="1962"/>
      <c r="WCE3" s="1962"/>
      <c r="WCF3" s="1962"/>
      <c r="WCG3" s="1962"/>
      <c r="WCH3" s="1962"/>
      <c r="WCI3" s="1962"/>
      <c r="WCJ3" s="1962"/>
      <c r="WCK3" s="1962"/>
      <c r="WCL3" s="1962"/>
      <c r="WCM3" s="1962"/>
      <c r="WCN3" s="1962"/>
      <c r="WCO3" s="1962"/>
      <c r="WCP3" s="1962"/>
      <c r="WCQ3" s="1962"/>
      <c r="WCR3" s="1962"/>
      <c r="WCS3" s="1962"/>
      <c r="WCT3" s="1962"/>
      <c r="WCU3" s="1962"/>
      <c r="WCV3" s="1962"/>
      <c r="WCW3" s="1962"/>
      <c r="WCX3" s="1962"/>
      <c r="WCY3" s="1962"/>
      <c r="WCZ3" s="1962"/>
      <c r="WDA3" s="1962"/>
      <c r="WDB3" s="1962"/>
      <c r="WDC3" s="1962"/>
      <c r="WDD3" s="1962"/>
      <c r="WDE3" s="1962"/>
      <c r="WDF3" s="1962"/>
      <c r="WDG3" s="1962"/>
      <c r="WDH3" s="1962"/>
      <c r="WDI3" s="1962"/>
      <c r="WDJ3" s="1962"/>
      <c r="WDK3" s="1962"/>
      <c r="WDL3" s="1962"/>
      <c r="WDM3" s="1962"/>
      <c r="WDN3" s="1962"/>
      <c r="WDO3" s="1962"/>
      <c r="WDP3" s="1962"/>
      <c r="WDQ3" s="1962"/>
      <c r="WDR3" s="1962"/>
      <c r="WDS3" s="1962"/>
      <c r="WDT3" s="1962"/>
      <c r="WDU3" s="1962"/>
      <c r="WDV3" s="1962"/>
      <c r="WDW3" s="1962"/>
      <c r="WDX3" s="1962"/>
      <c r="WDY3" s="1962"/>
      <c r="WDZ3" s="1962"/>
      <c r="WEA3" s="1962"/>
      <c r="WEB3" s="1962"/>
      <c r="WEC3" s="1962"/>
      <c r="WED3" s="1962"/>
      <c r="WEE3" s="1962"/>
      <c r="WEF3" s="1962"/>
      <c r="WEG3" s="1962"/>
      <c r="WEH3" s="1962"/>
      <c r="WEI3" s="1962"/>
      <c r="WEJ3" s="1962"/>
      <c r="WEK3" s="1962"/>
      <c r="WEL3" s="1962"/>
      <c r="WEM3" s="1962"/>
      <c r="WEN3" s="1962"/>
      <c r="WEO3" s="1962"/>
      <c r="WEP3" s="1962"/>
      <c r="WEQ3" s="1962"/>
      <c r="WER3" s="1962"/>
      <c r="WES3" s="1962"/>
      <c r="WET3" s="1962"/>
      <c r="WEU3" s="1962"/>
      <c r="WEV3" s="1962"/>
      <c r="WEW3" s="1962"/>
      <c r="WEX3" s="1962"/>
      <c r="WEY3" s="1962"/>
      <c r="WEZ3" s="1962"/>
      <c r="WFA3" s="1962"/>
      <c r="WFB3" s="1962"/>
      <c r="WFC3" s="1962"/>
      <c r="WFD3" s="1962"/>
      <c r="WFE3" s="1962"/>
      <c r="WFF3" s="1962"/>
      <c r="WFG3" s="1962"/>
      <c r="WFH3" s="1962"/>
      <c r="WFI3" s="1962"/>
      <c r="WFJ3" s="1962"/>
      <c r="WFK3" s="1962"/>
      <c r="WFL3" s="1962"/>
      <c r="WFM3" s="1962"/>
      <c r="WFN3" s="1962"/>
      <c r="WFO3" s="1962"/>
      <c r="WFP3" s="1962"/>
      <c r="WFQ3" s="1962"/>
      <c r="WFR3" s="1962"/>
      <c r="WFS3" s="1962"/>
      <c r="WFT3" s="1962"/>
      <c r="WFU3" s="1962"/>
      <c r="WFV3" s="1962"/>
      <c r="WFW3" s="1962"/>
      <c r="WFX3" s="1962"/>
      <c r="WFY3" s="1962"/>
      <c r="WFZ3" s="1962"/>
      <c r="WGA3" s="1962"/>
      <c r="WGB3" s="1962"/>
      <c r="WGC3" s="1962"/>
      <c r="WGD3" s="1962"/>
      <c r="WGE3" s="1962"/>
      <c r="WGF3" s="1962"/>
      <c r="WGG3" s="1962"/>
      <c r="WGH3" s="1962"/>
      <c r="WGI3" s="1962"/>
      <c r="WGJ3" s="1962"/>
      <c r="WGK3" s="1962"/>
      <c r="WGL3" s="1962"/>
      <c r="WGM3" s="1962"/>
      <c r="WGN3" s="1962"/>
      <c r="WGO3" s="1962"/>
      <c r="WGP3" s="1962"/>
      <c r="WGQ3" s="1962"/>
      <c r="WGR3" s="1962"/>
      <c r="WGS3" s="1962"/>
      <c r="WGT3" s="1962"/>
      <c r="WGU3" s="1962"/>
      <c r="WGV3" s="1962"/>
      <c r="WGW3" s="1962"/>
      <c r="WGX3" s="1962"/>
      <c r="WGY3" s="1962"/>
      <c r="WGZ3" s="1962"/>
      <c r="WHA3" s="1962"/>
      <c r="WHB3" s="1962"/>
      <c r="WHC3" s="1962"/>
      <c r="WHD3" s="1962"/>
      <c r="WHE3" s="1962"/>
      <c r="WHF3" s="1962"/>
      <c r="WHG3" s="1962"/>
      <c r="WHH3" s="1962"/>
      <c r="WHI3" s="1962"/>
      <c r="WHJ3" s="1962"/>
      <c r="WHK3" s="1962"/>
      <c r="WHL3" s="1962"/>
      <c r="WHM3" s="1962"/>
      <c r="WHN3" s="1962"/>
      <c r="WHO3" s="1962"/>
      <c r="WHP3" s="1962"/>
      <c r="WHQ3" s="1962"/>
      <c r="WHR3" s="1962"/>
      <c r="WHS3" s="1962"/>
      <c r="WHT3" s="1962"/>
      <c r="WHU3" s="1962"/>
      <c r="WHV3" s="1962"/>
      <c r="WHW3" s="1962"/>
      <c r="WHX3" s="1962"/>
      <c r="WHY3" s="1962"/>
      <c r="WHZ3" s="1962"/>
      <c r="WIA3" s="1962"/>
      <c r="WIB3" s="1962"/>
      <c r="WIC3" s="1962"/>
      <c r="WID3" s="1962"/>
      <c r="WIE3" s="1962"/>
      <c r="WIF3" s="1962"/>
      <c r="WIG3" s="1962"/>
      <c r="WIH3" s="1962"/>
      <c r="WII3" s="1962"/>
      <c r="WIJ3" s="1962"/>
      <c r="WIK3" s="1962"/>
      <c r="WIL3" s="1962"/>
      <c r="WIM3" s="1962"/>
      <c r="WIN3" s="1962"/>
      <c r="WIO3" s="1962"/>
      <c r="WIP3" s="1962"/>
      <c r="WIQ3" s="1962"/>
      <c r="WIR3" s="1962"/>
      <c r="WIS3" s="1962"/>
      <c r="WIT3" s="1962"/>
      <c r="WIU3" s="1962"/>
      <c r="WIV3" s="1962"/>
      <c r="WIW3" s="1962"/>
      <c r="WIX3" s="1962"/>
      <c r="WIY3" s="1962"/>
      <c r="WIZ3" s="1962"/>
      <c r="WJA3" s="1962"/>
      <c r="WJB3" s="1962"/>
      <c r="WJC3" s="1962"/>
      <c r="WJD3" s="1962"/>
      <c r="WJE3" s="1962"/>
      <c r="WJF3" s="1962"/>
      <c r="WJG3" s="1962"/>
      <c r="WJH3" s="1962"/>
      <c r="WJI3" s="1962"/>
      <c r="WJJ3" s="1962"/>
      <c r="WJK3" s="1962"/>
      <c r="WJL3" s="1962"/>
      <c r="WJM3" s="1962"/>
      <c r="WJN3" s="1962"/>
      <c r="WJO3" s="1962"/>
      <c r="WJP3" s="1962"/>
      <c r="WJQ3" s="1962"/>
      <c r="WJR3" s="1962"/>
      <c r="WJS3" s="1962"/>
      <c r="WJT3" s="1962"/>
      <c r="WJU3" s="1962"/>
      <c r="WJV3" s="1962"/>
      <c r="WJW3" s="1962"/>
      <c r="WJX3" s="1962"/>
      <c r="WJY3" s="1962"/>
      <c r="WJZ3" s="1962"/>
      <c r="WKA3" s="1962"/>
      <c r="WKB3" s="1962"/>
      <c r="WKC3" s="1962"/>
      <c r="WKD3" s="1962"/>
      <c r="WKE3" s="1962"/>
      <c r="WKF3" s="1962"/>
      <c r="WKG3" s="1962"/>
      <c r="WKH3" s="1962"/>
      <c r="WKI3" s="1962"/>
      <c r="WKJ3" s="1962"/>
      <c r="WKK3" s="1962"/>
      <c r="WKL3" s="1962"/>
      <c r="WKM3" s="1962"/>
      <c r="WKN3" s="1962"/>
      <c r="WKO3" s="1962"/>
      <c r="WKP3" s="1962"/>
      <c r="WKQ3" s="1962"/>
      <c r="WKR3" s="1962"/>
      <c r="WKS3" s="1962"/>
      <c r="WKT3" s="1962"/>
      <c r="WKU3" s="1962"/>
      <c r="WKV3" s="1962"/>
      <c r="WKW3" s="1962"/>
      <c r="WKX3" s="1962"/>
      <c r="WKY3" s="1962"/>
      <c r="WKZ3" s="1962"/>
      <c r="WLA3" s="1962"/>
      <c r="WLB3" s="1962"/>
      <c r="WLC3" s="1962"/>
      <c r="WLD3" s="1962"/>
      <c r="WLE3" s="1962"/>
      <c r="WLF3" s="1962"/>
      <c r="WLG3" s="1962"/>
      <c r="WLH3" s="1962"/>
      <c r="WLI3" s="1962"/>
      <c r="WLJ3" s="1962"/>
      <c r="WLK3" s="1962"/>
      <c r="WLL3" s="1962"/>
      <c r="WLM3" s="1962"/>
      <c r="WLN3" s="1962"/>
      <c r="WLO3" s="1962"/>
      <c r="WLP3" s="1962"/>
      <c r="WLQ3" s="1962"/>
      <c r="WLR3" s="1962"/>
      <c r="WLS3" s="1962"/>
      <c r="WLT3" s="1962"/>
      <c r="WLU3" s="1962"/>
      <c r="WLV3" s="1962"/>
      <c r="WLW3" s="1962"/>
      <c r="WLX3" s="1962"/>
      <c r="WLY3" s="1962"/>
      <c r="WLZ3" s="1962"/>
      <c r="WMA3" s="1962"/>
      <c r="WMB3" s="1962"/>
      <c r="WMC3" s="1962"/>
      <c r="WMD3" s="1962"/>
      <c r="WME3" s="1962"/>
      <c r="WMF3" s="1962"/>
      <c r="WMG3" s="1962"/>
      <c r="WMH3" s="1962"/>
      <c r="WMI3" s="1962"/>
      <c r="WMJ3" s="1962"/>
      <c r="WMK3" s="1962"/>
      <c r="WML3" s="1962"/>
      <c r="WMM3" s="1962"/>
      <c r="WMN3" s="1962"/>
      <c r="WMO3" s="1962"/>
      <c r="WMP3" s="1962"/>
      <c r="WMQ3" s="1962"/>
      <c r="WMR3" s="1962"/>
      <c r="WMS3" s="1962"/>
      <c r="WMT3" s="1962"/>
      <c r="WMU3" s="1962"/>
      <c r="WMV3" s="1962"/>
      <c r="WMW3" s="1962"/>
      <c r="WMX3" s="1962"/>
      <c r="WMY3" s="1962"/>
      <c r="WMZ3" s="1962"/>
      <c r="WNA3" s="1962"/>
      <c r="WNB3" s="1962"/>
      <c r="WNC3" s="1962"/>
      <c r="WND3" s="1962"/>
      <c r="WNE3" s="1962"/>
      <c r="WNF3" s="1962"/>
      <c r="WNG3" s="1962"/>
      <c r="WNH3" s="1962"/>
      <c r="WNI3" s="1962"/>
      <c r="WNJ3" s="1962"/>
      <c r="WNK3" s="1962"/>
      <c r="WNL3" s="1962"/>
      <c r="WNM3" s="1962"/>
      <c r="WNN3" s="1962"/>
      <c r="WNO3" s="1962"/>
      <c r="WNP3" s="1962"/>
      <c r="WNQ3" s="1962"/>
      <c r="WNR3" s="1962"/>
      <c r="WNS3" s="1962"/>
      <c r="WNT3" s="1962"/>
      <c r="WNU3" s="1962"/>
      <c r="WNV3" s="1962"/>
      <c r="WNW3" s="1962"/>
      <c r="WNX3" s="1962"/>
      <c r="WNY3" s="1962"/>
      <c r="WNZ3" s="1962"/>
      <c r="WOA3" s="1962"/>
      <c r="WOB3" s="1962"/>
      <c r="WOC3" s="1962"/>
      <c r="WOD3" s="1962"/>
      <c r="WOE3" s="1962"/>
      <c r="WOF3" s="1962"/>
      <c r="WOG3" s="1962"/>
      <c r="WOH3" s="1962"/>
      <c r="WOI3" s="1962"/>
      <c r="WOJ3" s="1962"/>
      <c r="WOK3" s="1962"/>
      <c r="WOL3" s="1962"/>
      <c r="WOM3" s="1962"/>
      <c r="WON3" s="1962"/>
      <c r="WOO3" s="1962"/>
      <c r="WOP3" s="1962"/>
      <c r="WOQ3" s="1962"/>
      <c r="WOR3" s="1962"/>
      <c r="WOS3" s="1962"/>
      <c r="WOT3" s="1962"/>
      <c r="WOU3" s="1962"/>
      <c r="WOV3" s="1962"/>
      <c r="WOW3" s="1962"/>
      <c r="WOX3" s="1962"/>
      <c r="WOY3" s="1962"/>
      <c r="WOZ3" s="1962"/>
      <c r="WPA3" s="1962"/>
      <c r="WPB3" s="1962"/>
      <c r="WPC3" s="1962"/>
      <c r="WPD3" s="1962"/>
      <c r="WPE3" s="1962"/>
      <c r="WPF3" s="1962"/>
      <c r="WPG3" s="1962"/>
      <c r="WPH3" s="1962"/>
      <c r="WPI3" s="1962"/>
      <c r="WPJ3" s="1962"/>
      <c r="WPK3" s="1962"/>
      <c r="WPL3" s="1962"/>
      <c r="WPM3" s="1962"/>
      <c r="WPN3" s="1962"/>
      <c r="WPO3" s="1962"/>
      <c r="WPP3" s="1962"/>
      <c r="WPQ3" s="1962"/>
      <c r="WPR3" s="1962"/>
      <c r="WPS3" s="1962"/>
      <c r="WPT3" s="1962"/>
      <c r="WPU3" s="1962"/>
      <c r="WPV3" s="1962"/>
      <c r="WPW3" s="1962"/>
      <c r="WPX3" s="1962"/>
      <c r="WPY3" s="1962"/>
      <c r="WPZ3" s="1962"/>
      <c r="WQA3" s="1962"/>
      <c r="WQB3" s="1962"/>
      <c r="WQC3" s="1962"/>
      <c r="WQD3" s="1962"/>
      <c r="WQE3" s="1962"/>
      <c r="WQF3" s="1962"/>
      <c r="WQG3" s="1962"/>
      <c r="WQH3" s="1962"/>
      <c r="WQI3" s="1962"/>
      <c r="WQJ3" s="1962"/>
      <c r="WQK3" s="1962"/>
      <c r="WQL3" s="1962"/>
      <c r="WQM3" s="1962"/>
      <c r="WQN3" s="1962"/>
      <c r="WQO3" s="1962"/>
      <c r="WQP3" s="1962"/>
      <c r="WQQ3" s="1962"/>
      <c r="WQR3" s="1962"/>
      <c r="WQS3" s="1962"/>
      <c r="WQT3" s="1962"/>
      <c r="WQU3" s="1962"/>
      <c r="WQV3" s="1962"/>
      <c r="WQW3" s="1962"/>
      <c r="WQX3" s="1962"/>
      <c r="WQY3" s="1962"/>
      <c r="WQZ3" s="1962"/>
      <c r="WRA3" s="1962"/>
      <c r="WRB3" s="1962"/>
      <c r="WRC3" s="1962"/>
      <c r="WRD3" s="1962"/>
      <c r="WRE3" s="1962"/>
      <c r="WRF3" s="1962"/>
      <c r="WRG3" s="1962"/>
      <c r="WRH3" s="1962"/>
      <c r="WRI3" s="1962"/>
      <c r="WRJ3" s="1962"/>
      <c r="WRK3" s="1962"/>
      <c r="WRL3" s="1962"/>
      <c r="WRM3" s="1962"/>
      <c r="WRN3" s="1962"/>
      <c r="WRO3" s="1962"/>
      <c r="WRP3" s="1962"/>
      <c r="WRQ3" s="1962"/>
      <c r="WRR3" s="1962"/>
      <c r="WRS3" s="1962"/>
      <c r="WRT3" s="1962"/>
      <c r="WRU3" s="1962"/>
      <c r="WRV3" s="1962"/>
      <c r="WRW3" s="1962"/>
      <c r="WRX3" s="1962"/>
      <c r="WRY3" s="1962"/>
      <c r="WRZ3" s="1962"/>
      <c r="WSA3" s="1962"/>
      <c r="WSB3" s="1962"/>
      <c r="WSC3" s="1962"/>
      <c r="WSD3" s="1962"/>
      <c r="WSE3" s="1962"/>
      <c r="WSF3" s="1962"/>
      <c r="WSG3" s="1962"/>
      <c r="WSH3" s="1962"/>
      <c r="WSI3" s="1962"/>
      <c r="WSJ3" s="1962"/>
      <c r="WSK3" s="1962"/>
      <c r="WSL3" s="1962"/>
      <c r="WSM3" s="1962"/>
      <c r="WSN3" s="1962"/>
      <c r="WSO3" s="1962"/>
      <c r="WSP3" s="1962"/>
      <c r="WSQ3" s="1962"/>
      <c r="WSR3" s="1962"/>
      <c r="WSS3" s="1962"/>
      <c r="WST3" s="1962"/>
      <c r="WSU3" s="1962"/>
      <c r="WSV3" s="1962"/>
      <c r="WSW3" s="1962"/>
      <c r="WSX3" s="1962"/>
      <c r="WSY3" s="1962"/>
      <c r="WSZ3" s="1962"/>
      <c r="WTA3" s="1962"/>
      <c r="WTB3" s="1962"/>
      <c r="WTC3" s="1962"/>
      <c r="WTD3" s="1962"/>
      <c r="WTE3" s="1962"/>
      <c r="WTF3" s="1962"/>
      <c r="WTG3" s="1962"/>
      <c r="WTH3" s="1962"/>
      <c r="WTI3" s="1962"/>
      <c r="WTJ3" s="1962"/>
      <c r="WTK3" s="1962"/>
      <c r="WTL3" s="1962"/>
      <c r="WTM3" s="1962"/>
      <c r="WTN3" s="1962"/>
      <c r="WTO3" s="1962"/>
      <c r="WTP3" s="1962"/>
      <c r="WTQ3" s="1962"/>
      <c r="WTR3" s="1962"/>
      <c r="WTS3" s="1962"/>
      <c r="WTT3" s="1962"/>
      <c r="WTU3" s="1962"/>
      <c r="WTV3" s="1962"/>
      <c r="WTW3" s="1962"/>
      <c r="WTX3" s="1962"/>
      <c r="WTY3" s="1962"/>
      <c r="WTZ3" s="1962"/>
      <c r="WUA3" s="1962"/>
      <c r="WUB3" s="1962"/>
      <c r="WUC3" s="1962"/>
      <c r="WUD3" s="1962"/>
      <c r="WUE3" s="1962"/>
      <c r="WUF3" s="1962"/>
      <c r="WUG3" s="1962"/>
      <c r="WUH3" s="1962"/>
      <c r="WUI3" s="1962"/>
      <c r="WUJ3" s="1962"/>
      <c r="WUK3" s="1962"/>
      <c r="WUL3" s="1962"/>
      <c r="WUM3" s="1962"/>
      <c r="WUN3" s="1962"/>
      <c r="WUO3" s="1962"/>
      <c r="WUP3" s="1962"/>
      <c r="WUQ3" s="1962"/>
      <c r="WUR3" s="1962"/>
      <c r="WUS3" s="1962"/>
      <c r="WUT3" s="1962"/>
      <c r="WUU3" s="1962"/>
      <c r="WUV3" s="1962"/>
      <c r="WUW3" s="1962"/>
      <c r="WUX3" s="1962"/>
      <c r="WUY3" s="1962"/>
      <c r="WUZ3" s="1962"/>
      <c r="WVA3" s="1962"/>
      <c r="WVB3" s="1962"/>
      <c r="WVC3" s="1962"/>
      <c r="WVD3" s="1962"/>
      <c r="WVE3" s="1962"/>
      <c r="WVF3" s="1962"/>
      <c r="WVG3" s="1962"/>
      <c r="WVH3" s="1962"/>
      <c r="WVI3" s="1962"/>
      <c r="WVJ3" s="1962"/>
      <c r="WVK3" s="1962"/>
      <c r="WVL3" s="1962"/>
      <c r="WVM3" s="1962"/>
      <c r="WVN3" s="1962"/>
      <c r="WVO3" s="1962"/>
      <c r="WVP3" s="1962"/>
      <c r="WVQ3" s="1962"/>
      <c r="WVR3" s="1962"/>
      <c r="WVS3" s="1962"/>
      <c r="WVT3" s="1962"/>
      <c r="WVU3" s="1962"/>
      <c r="WVV3" s="1962"/>
      <c r="WVW3" s="1962"/>
      <c r="WVX3" s="1962"/>
      <c r="WVY3" s="1962"/>
      <c r="WVZ3" s="1962"/>
      <c r="WWA3" s="1962"/>
      <c r="WWB3" s="1962"/>
      <c r="WWC3" s="1962"/>
      <c r="WWD3" s="1962"/>
      <c r="WWE3" s="1962"/>
      <c r="WWF3" s="1962"/>
      <c r="WWG3" s="1962"/>
      <c r="WWH3" s="1962"/>
      <c r="WWI3" s="1962"/>
      <c r="WWJ3" s="1962"/>
      <c r="WWK3" s="1962"/>
      <c r="WWL3" s="1962"/>
      <c r="WWM3" s="1962"/>
      <c r="WWN3" s="1962"/>
      <c r="WWO3" s="1962"/>
      <c r="WWP3" s="1962"/>
      <c r="WWQ3" s="1962"/>
      <c r="WWR3" s="1962"/>
      <c r="WWS3" s="1962"/>
      <c r="WWT3" s="1962"/>
      <c r="WWU3" s="1962"/>
      <c r="WWV3" s="1962"/>
      <c r="WWW3" s="1962"/>
      <c r="WWX3" s="1962"/>
      <c r="WWY3" s="1962"/>
      <c r="WWZ3" s="1962"/>
      <c r="WXA3" s="1962"/>
      <c r="WXB3" s="1962"/>
      <c r="WXC3" s="1962"/>
      <c r="WXD3" s="1962"/>
      <c r="WXE3" s="1962"/>
      <c r="WXF3" s="1962"/>
      <c r="WXG3" s="1962"/>
      <c r="WXH3" s="1962"/>
      <c r="WXI3" s="1962"/>
      <c r="WXJ3" s="1962"/>
      <c r="WXK3" s="1962"/>
      <c r="WXL3" s="1962"/>
      <c r="WXM3" s="1962"/>
      <c r="WXN3" s="1962"/>
      <c r="WXO3" s="1962"/>
      <c r="WXP3" s="1962"/>
      <c r="WXQ3" s="1962"/>
      <c r="WXR3" s="1962"/>
      <c r="WXS3" s="1962"/>
      <c r="WXT3" s="1962"/>
      <c r="WXU3" s="1962"/>
      <c r="WXV3" s="1962"/>
      <c r="WXW3" s="1962"/>
      <c r="WXX3" s="1962"/>
      <c r="WXY3" s="1962"/>
      <c r="WXZ3" s="1962"/>
      <c r="WYA3" s="1962"/>
      <c r="WYB3" s="1962"/>
      <c r="WYC3" s="1962"/>
      <c r="WYD3" s="1962"/>
      <c r="WYE3" s="1962"/>
      <c r="WYF3" s="1962"/>
      <c r="WYG3" s="1962"/>
      <c r="WYH3" s="1962"/>
      <c r="WYI3" s="1962"/>
      <c r="WYJ3" s="1962"/>
      <c r="WYK3" s="1962"/>
      <c r="WYL3" s="1962"/>
      <c r="WYM3" s="1962"/>
      <c r="WYN3" s="1962"/>
      <c r="WYO3" s="1962"/>
      <c r="WYP3" s="1962"/>
      <c r="WYQ3" s="1962"/>
      <c r="WYR3" s="1962"/>
      <c r="WYS3" s="1962"/>
      <c r="WYT3" s="1962"/>
      <c r="WYU3" s="1962"/>
      <c r="WYV3" s="1962"/>
      <c r="WYW3" s="1962"/>
      <c r="WYX3" s="1962"/>
      <c r="WYY3" s="1962"/>
      <c r="WYZ3" s="1962"/>
      <c r="WZA3" s="1962"/>
      <c r="WZB3" s="1962"/>
      <c r="WZC3" s="1962"/>
      <c r="WZD3" s="1962"/>
      <c r="WZE3" s="1962"/>
      <c r="WZF3" s="1962"/>
      <c r="WZG3" s="1962"/>
      <c r="WZH3" s="1962"/>
      <c r="WZI3" s="1962"/>
      <c r="WZJ3" s="1962"/>
      <c r="WZK3" s="1962"/>
      <c r="WZL3" s="1962"/>
      <c r="WZM3" s="1962"/>
      <c r="WZN3" s="1962"/>
      <c r="WZO3" s="1962"/>
      <c r="WZP3" s="1962"/>
      <c r="WZQ3" s="1962"/>
      <c r="WZR3" s="1962"/>
      <c r="WZS3" s="1962"/>
      <c r="WZT3" s="1962"/>
      <c r="WZU3" s="1962"/>
      <c r="WZV3" s="1962"/>
      <c r="WZW3" s="1962"/>
      <c r="WZX3" s="1962"/>
      <c r="WZY3" s="1962"/>
      <c r="WZZ3" s="1962"/>
      <c r="XAA3" s="1962"/>
      <c r="XAB3" s="1962"/>
      <c r="XAC3" s="1962"/>
      <c r="XAD3" s="1962"/>
      <c r="XAE3" s="1962"/>
      <c r="XAF3" s="1962"/>
      <c r="XAG3" s="1962"/>
      <c r="XAH3" s="1962"/>
      <c r="XAI3" s="1962"/>
      <c r="XAJ3" s="1962"/>
      <c r="XAK3" s="1962"/>
      <c r="XAL3" s="1962"/>
      <c r="XAM3" s="1962"/>
      <c r="XAN3" s="1962"/>
      <c r="XAO3" s="1962"/>
      <c r="XAP3" s="1962"/>
      <c r="XAQ3" s="1962"/>
      <c r="XAR3" s="1962"/>
      <c r="XAS3" s="1962"/>
      <c r="XAT3" s="1962"/>
      <c r="XAU3" s="1962"/>
      <c r="XAV3" s="1962"/>
      <c r="XAW3" s="1962"/>
      <c r="XAX3" s="1962"/>
      <c r="XAY3" s="1962"/>
      <c r="XAZ3" s="1962"/>
      <c r="XBA3" s="1962"/>
      <c r="XBB3" s="1962"/>
      <c r="XBC3" s="1962"/>
      <c r="XBD3" s="1962"/>
      <c r="XBE3" s="1962"/>
      <c r="XBF3" s="1962"/>
      <c r="XBG3" s="1962"/>
      <c r="XBH3" s="1962"/>
      <c r="XBI3" s="1962"/>
      <c r="XBJ3" s="1962"/>
      <c r="XBK3" s="1962"/>
      <c r="XBL3" s="1962"/>
      <c r="XBM3" s="1962"/>
      <c r="XBN3" s="1962"/>
      <c r="XBO3" s="1962"/>
      <c r="XBP3" s="1962"/>
      <c r="XBQ3" s="1962"/>
      <c r="XBR3" s="1962"/>
      <c r="XBS3" s="1962"/>
      <c r="XBT3" s="1962"/>
      <c r="XBU3" s="1962"/>
      <c r="XBV3" s="1962"/>
      <c r="XBW3" s="1962"/>
      <c r="XBX3" s="1962"/>
      <c r="XBY3" s="1962"/>
      <c r="XBZ3" s="1962"/>
      <c r="XCA3" s="1962"/>
      <c r="XCB3" s="1962"/>
      <c r="XCC3" s="1962"/>
      <c r="XCD3" s="1962"/>
      <c r="XCE3" s="1962"/>
      <c r="XCF3" s="1962"/>
      <c r="XCG3" s="1962"/>
      <c r="XCH3" s="1962"/>
      <c r="XCI3" s="1962"/>
      <c r="XCJ3" s="1962"/>
      <c r="XCK3" s="1962"/>
      <c r="XCL3" s="1962"/>
      <c r="XCM3" s="1962"/>
      <c r="XCN3" s="1962"/>
      <c r="XCO3" s="1962"/>
      <c r="XCP3" s="1962"/>
      <c r="XCQ3" s="1962"/>
      <c r="XCR3" s="1962"/>
      <c r="XCS3" s="1962"/>
      <c r="XCT3" s="1962"/>
      <c r="XCU3" s="1962"/>
      <c r="XCV3" s="1962"/>
      <c r="XCW3" s="1962"/>
      <c r="XCX3" s="1962"/>
      <c r="XCY3" s="1962"/>
      <c r="XCZ3" s="1962"/>
      <c r="XDA3" s="1962"/>
      <c r="XDB3" s="1962"/>
      <c r="XDC3" s="1962"/>
      <c r="XDD3" s="1962"/>
      <c r="XDE3" s="1962"/>
      <c r="XDF3" s="1962"/>
      <c r="XDG3" s="1962"/>
      <c r="XDH3" s="1962"/>
      <c r="XDI3" s="1962"/>
      <c r="XDJ3" s="1962"/>
      <c r="XDK3" s="1962"/>
      <c r="XDL3" s="1962"/>
      <c r="XDM3" s="1962"/>
      <c r="XDN3" s="1962"/>
      <c r="XDO3" s="1962"/>
      <c r="XDP3" s="1962"/>
      <c r="XDQ3" s="1962"/>
      <c r="XDR3" s="1962"/>
      <c r="XDS3" s="1962"/>
      <c r="XDT3" s="1962"/>
      <c r="XDU3" s="1962"/>
      <c r="XDV3" s="1962"/>
      <c r="XDW3" s="1962"/>
      <c r="XDX3" s="1962"/>
      <c r="XDY3" s="1962"/>
      <c r="XDZ3" s="1962"/>
      <c r="XEA3" s="1962"/>
      <c r="XEB3" s="1962"/>
      <c r="XEC3" s="1962"/>
      <c r="XED3" s="1962"/>
      <c r="XEE3" s="1962"/>
      <c r="XEF3" s="1962"/>
      <c r="XEG3" s="1962"/>
      <c r="XEH3" s="1962"/>
      <c r="XEI3" s="1962"/>
      <c r="XEJ3" s="1962"/>
      <c r="XEK3" s="1962"/>
      <c r="XEL3" s="1962"/>
      <c r="XEM3" s="1962"/>
      <c r="XEN3" s="1962"/>
      <c r="XEO3" s="1962"/>
      <c r="XEP3" s="1962"/>
      <c r="XEQ3" s="1962"/>
      <c r="XER3" s="1962"/>
      <c r="XES3" s="1962"/>
      <c r="XET3" s="1962"/>
      <c r="XEU3" s="1962"/>
      <c r="XEV3" s="1962"/>
      <c r="XEW3" s="1962"/>
      <c r="XEX3" s="1962"/>
      <c r="XEY3" s="1962"/>
      <c r="XEZ3" s="1962"/>
      <c r="XFA3" s="1962"/>
      <c r="XFB3" s="1962"/>
      <c r="XFC3" s="1972"/>
      <c r="XFD3" s="1972"/>
    </row>
    <row r="4" s="1963" customFormat="1" ht="15" spans="1:16384">
      <c r="A4" s="1968" t="s">
        <v>1693</v>
      </c>
      <c r="B4" s="1968" t="s">
        <v>1694</v>
      </c>
      <c r="C4" s="1968">
        <v>16789</v>
      </c>
      <c r="D4" s="1968">
        <v>26390.46</v>
      </c>
      <c r="E4" s="1968" t="s">
        <v>1686</v>
      </c>
      <c r="F4" s="1968" t="s">
        <v>1695</v>
      </c>
      <c r="G4" s="1968" t="s">
        <v>1696</v>
      </c>
      <c r="H4" s="1968" t="s">
        <v>1689</v>
      </c>
      <c r="I4" s="1968" t="s">
        <v>1690</v>
      </c>
      <c r="J4" s="1968" t="s">
        <v>1691</v>
      </c>
      <c r="K4" s="1968" t="s">
        <v>1697</v>
      </c>
      <c r="L4" s="1968">
        <v>5200</v>
      </c>
      <c r="M4" s="1968">
        <v>3097.26</v>
      </c>
      <c r="N4" s="1968">
        <v>206.48</v>
      </c>
      <c r="O4" s="1968">
        <v>1970</v>
      </c>
      <c r="P4" s="1968">
        <v>1.96</v>
      </c>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BV4" s="1962"/>
      <c r="BW4" s="1962"/>
      <c r="BX4" s="1962"/>
      <c r="BY4" s="1962"/>
      <c r="BZ4" s="1962"/>
      <c r="CA4" s="1962"/>
      <c r="CB4" s="1962"/>
      <c r="CC4" s="1962"/>
      <c r="CD4" s="1962"/>
      <c r="CE4" s="1962"/>
      <c r="CF4" s="1962"/>
      <c r="CG4" s="1962"/>
      <c r="CH4" s="1962"/>
      <c r="CI4" s="1962"/>
      <c r="CJ4" s="1962"/>
      <c r="CK4" s="1962"/>
      <c r="CL4" s="1962"/>
      <c r="CM4" s="1962"/>
      <c r="CN4" s="1962"/>
      <c r="CO4" s="1962"/>
      <c r="CP4" s="1962"/>
      <c r="CQ4" s="1962"/>
      <c r="CR4" s="1962"/>
      <c r="CS4" s="1962"/>
      <c r="CT4" s="1962"/>
      <c r="CU4" s="1962"/>
      <c r="CV4" s="1962"/>
      <c r="CW4" s="1962"/>
      <c r="CX4" s="1962"/>
      <c r="CY4" s="1962"/>
      <c r="CZ4" s="1962"/>
      <c r="DA4" s="1962"/>
      <c r="DB4" s="1962"/>
      <c r="DC4" s="1962"/>
      <c r="DD4" s="1962"/>
      <c r="DE4" s="1962"/>
      <c r="DF4" s="1962"/>
      <c r="DG4" s="1962"/>
      <c r="DH4" s="1962"/>
      <c r="DI4" s="1962"/>
      <c r="DJ4" s="1962"/>
      <c r="DK4" s="1962"/>
      <c r="DL4" s="1962"/>
      <c r="DM4" s="1962"/>
      <c r="DN4" s="1962"/>
      <c r="DO4" s="1962"/>
      <c r="DP4" s="1962"/>
      <c r="DQ4" s="1962"/>
      <c r="DR4" s="1962"/>
      <c r="DS4" s="1962"/>
      <c r="DT4" s="1962"/>
      <c r="DU4" s="1962"/>
      <c r="DV4" s="1962"/>
      <c r="DW4" s="1962"/>
      <c r="DX4" s="1962"/>
      <c r="DY4" s="1962"/>
      <c r="DZ4" s="1962"/>
      <c r="EA4" s="1962"/>
      <c r="EB4" s="1962"/>
      <c r="EC4" s="1962"/>
      <c r="ED4" s="1962"/>
      <c r="EE4" s="1962"/>
      <c r="EF4" s="1962"/>
      <c r="EG4" s="1962"/>
      <c r="EH4" s="1962"/>
      <c r="EI4" s="1962"/>
      <c r="EJ4" s="1962"/>
      <c r="EK4" s="1962"/>
      <c r="EL4" s="1962"/>
      <c r="EM4" s="1962"/>
      <c r="EN4" s="1962"/>
      <c r="EO4" s="1962"/>
      <c r="EP4" s="1962"/>
      <c r="EQ4" s="1962"/>
      <c r="ER4" s="1962"/>
      <c r="ES4" s="1962"/>
      <c r="ET4" s="1962"/>
      <c r="EU4" s="1962"/>
      <c r="EV4" s="1962"/>
      <c r="EW4" s="1962"/>
      <c r="EX4" s="1962"/>
      <c r="EY4" s="1962"/>
      <c r="EZ4" s="1962"/>
      <c r="FA4" s="1962"/>
      <c r="FB4" s="1962"/>
      <c r="FC4" s="1962"/>
      <c r="FD4" s="1962"/>
      <c r="FE4" s="1962"/>
      <c r="FF4" s="1962"/>
      <c r="FG4" s="1962"/>
      <c r="FH4" s="1962"/>
      <c r="FI4" s="1962"/>
      <c r="FJ4" s="1962"/>
      <c r="FK4" s="1962"/>
      <c r="FL4" s="1962"/>
      <c r="FM4" s="1962"/>
      <c r="FN4" s="1962"/>
      <c r="FO4" s="1962"/>
      <c r="FP4" s="1962"/>
      <c r="FQ4" s="1962"/>
      <c r="FR4" s="1962"/>
      <c r="FS4" s="1962"/>
      <c r="FT4" s="1962"/>
      <c r="FU4" s="1962"/>
      <c r="FV4" s="1962"/>
      <c r="FW4" s="1962"/>
      <c r="FX4" s="1962"/>
      <c r="FY4" s="1962"/>
      <c r="FZ4" s="1962"/>
      <c r="GA4" s="1962"/>
      <c r="GB4" s="1962"/>
      <c r="GC4" s="1962"/>
      <c r="GD4" s="1962"/>
      <c r="GE4" s="1962"/>
      <c r="GF4" s="1962"/>
      <c r="GG4" s="1962"/>
      <c r="GH4" s="1962"/>
      <c r="GI4" s="1962"/>
      <c r="GJ4" s="1962"/>
      <c r="GK4" s="1962"/>
      <c r="GL4" s="1962"/>
      <c r="GM4" s="1962"/>
      <c r="GN4" s="1962"/>
      <c r="GO4" s="1962"/>
      <c r="GP4" s="1962"/>
      <c r="GQ4" s="1962"/>
      <c r="GR4" s="1962"/>
      <c r="GS4" s="1962"/>
      <c r="GT4" s="1962"/>
      <c r="GU4" s="1962"/>
      <c r="GV4" s="1962"/>
      <c r="GW4" s="1962"/>
      <c r="GX4" s="1962"/>
      <c r="GY4" s="1962"/>
      <c r="GZ4" s="1962"/>
      <c r="HA4" s="1962"/>
      <c r="HB4" s="1962"/>
      <c r="HC4" s="1962"/>
      <c r="HD4" s="1962"/>
      <c r="HE4" s="1962"/>
      <c r="HF4" s="1962"/>
      <c r="HG4" s="1962"/>
      <c r="HH4" s="1962"/>
      <c r="HI4" s="1962"/>
      <c r="HJ4" s="1962"/>
      <c r="HK4" s="1962"/>
      <c r="HL4" s="1962"/>
      <c r="HM4" s="1962"/>
      <c r="HN4" s="1962"/>
      <c r="HO4" s="1962"/>
      <c r="HP4" s="1962"/>
      <c r="HQ4" s="1962"/>
      <c r="HR4" s="1962"/>
      <c r="HS4" s="1962"/>
      <c r="HT4" s="1962"/>
      <c r="HU4" s="1962"/>
      <c r="HV4" s="1962"/>
      <c r="HW4" s="1962"/>
      <c r="HX4" s="1962"/>
      <c r="HY4" s="1962"/>
      <c r="HZ4" s="1962"/>
      <c r="IA4" s="1962"/>
      <c r="IB4" s="1962"/>
      <c r="IC4" s="1962"/>
      <c r="ID4" s="1962"/>
      <c r="IE4" s="1962"/>
      <c r="IF4" s="1962"/>
      <c r="IG4" s="1962"/>
      <c r="IH4" s="1962"/>
      <c r="II4" s="1962"/>
      <c r="IJ4" s="1962"/>
      <c r="IK4" s="1962"/>
      <c r="IL4" s="1962"/>
      <c r="IM4" s="1962"/>
      <c r="IN4" s="1962"/>
      <c r="IO4" s="1962"/>
      <c r="IP4" s="1962"/>
      <c r="IQ4" s="1962"/>
      <c r="IR4" s="1962"/>
      <c r="IS4" s="1962"/>
      <c r="IT4" s="1962"/>
      <c r="IU4" s="1962"/>
      <c r="IV4" s="1962"/>
      <c r="IW4" s="1962"/>
      <c r="IX4" s="1962"/>
      <c r="IY4" s="1962"/>
      <c r="IZ4" s="1962"/>
      <c r="JA4" s="1962"/>
      <c r="JB4" s="1962"/>
      <c r="JC4" s="1962"/>
      <c r="JD4" s="1962"/>
      <c r="JE4" s="1962"/>
      <c r="JF4" s="1962"/>
      <c r="JG4" s="1962"/>
      <c r="JH4" s="1962"/>
      <c r="JI4" s="1962"/>
      <c r="JJ4" s="1962"/>
      <c r="JK4" s="1962"/>
      <c r="JL4" s="1962"/>
      <c r="JM4" s="1962"/>
      <c r="JN4" s="1962"/>
      <c r="JO4" s="1962"/>
      <c r="JP4" s="1962"/>
      <c r="JQ4" s="1962"/>
      <c r="JR4" s="1962"/>
      <c r="JS4" s="1962"/>
      <c r="JT4" s="1962"/>
      <c r="JU4" s="1962"/>
      <c r="JV4" s="1962"/>
      <c r="JW4" s="1962"/>
      <c r="JX4" s="1962"/>
      <c r="JY4" s="1962"/>
      <c r="JZ4" s="1962"/>
      <c r="KA4" s="1962"/>
      <c r="KB4" s="1962"/>
      <c r="KC4" s="1962"/>
      <c r="KD4" s="1962"/>
      <c r="KE4" s="1962"/>
      <c r="KF4" s="1962"/>
      <c r="KG4" s="1962"/>
      <c r="KH4" s="1962"/>
      <c r="KI4" s="1962"/>
      <c r="KJ4" s="1962"/>
      <c r="KK4" s="1962"/>
      <c r="KL4" s="1962"/>
      <c r="KM4" s="1962"/>
      <c r="KN4" s="1962"/>
      <c r="KO4" s="1962"/>
      <c r="KP4" s="1962"/>
      <c r="KQ4" s="1962"/>
      <c r="KR4" s="1962"/>
      <c r="KS4" s="1962"/>
      <c r="KT4" s="1962"/>
      <c r="KU4" s="1962"/>
      <c r="KV4" s="1962"/>
      <c r="KW4" s="1962"/>
      <c r="KX4" s="1962"/>
      <c r="KY4" s="1962"/>
      <c r="KZ4" s="1962"/>
      <c r="LA4" s="1962"/>
      <c r="LB4" s="1962"/>
      <c r="LC4" s="1962"/>
      <c r="LD4" s="1962"/>
      <c r="LE4" s="1962"/>
      <c r="LF4" s="1962"/>
      <c r="LG4" s="1962"/>
      <c r="LH4" s="1962"/>
      <c r="LI4" s="1962"/>
      <c r="LJ4" s="1962"/>
      <c r="LK4" s="1962"/>
      <c r="LL4" s="1962"/>
      <c r="LM4" s="1962"/>
      <c r="LN4" s="1962"/>
      <c r="LO4" s="1962"/>
      <c r="LP4" s="1962"/>
      <c r="LQ4" s="1962"/>
      <c r="LR4" s="1962"/>
      <c r="LS4" s="1962"/>
      <c r="LT4" s="1962"/>
      <c r="LU4" s="1962"/>
      <c r="LV4" s="1962"/>
      <c r="LW4" s="1962"/>
      <c r="LX4" s="1962"/>
      <c r="LY4" s="1962"/>
      <c r="LZ4" s="1962"/>
      <c r="MA4" s="1962"/>
      <c r="MB4" s="1962"/>
      <c r="MC4" s="1962"/>
      <c r="MD4" s="1962"/>
      <c r="ME4" s="1962"/>
      <c r="MF4" s="1962"/>
      <c r="MG4" s="1962"/>
      <c r="MH4" s="1962"/>
      <c r="MI4" s="1962"/>
      <c r="MJ4" s="1962"/>
      <c r="MK4" s="1962"/>
      <c r="ML4" s="1962"/>
      <c r="MM4" s="1962"/>
      <c r="MN4" s="1962"/>
      <c r="MO4" s="1962"/>
      <c r="MP4" s="1962"/>
      <c r="MQ4" s="1962"/>
      <c r="MR4" s="1962"/>
      <c r="MS4" s="1962"/>
      <c r="MT4" s="1962"/>
      <c r="MU4" s="1962"/>
      <c r="MV4" s="1962"/>
      <c r="MW4" s="1962"/>
      <c r="MX4" s="1962"/>
      <c r="MY4" s="1962"/>
      <c r="MZ4" s="1962"/>
      <c r="NA4" s="1962"/>
      <c r="NB4" s="1962"/>
      <c r="NC4" s="1962"/>
      <c r="ND4" s="1962"/>
      <c r="NE4" s="1962"/>
      <c r="NF4" s="1962"/>
      <c r="NG4" s="1962"/>
      <c r="NH4" s="1962"/>
      <c r="NI4" s="1962"/>
      <c r="NJ4" s="1962"/>
      <c r="NK4" s="1962"/>
      <c r="NL4" s="1962"/>
      <c r="NM4" s="1962"/>
      <c r="NN4" s="1962"/>
      <c r="NO4" s="1962"/>
      <c r="NP4" s="1962"/>
      <c r="NQ4" s="1962"/>
      <c r="NR4" s="1962"/>
      <c r="NS4" s="1962"/>
      <c r="NT4" s="1962"/>
      <c r="NU4" s="1962"/>
      <c r="NV4" s="1962"/>
      <c r="NW4" s="1962"/>
      <c r="NX4" s="1962"/>
      <c r="NY4" s="1962"/>
      <c r="NZ4" s="1962"/>
      <c r="OA4" s="1962"/>
      <c r="OB4" s="1962"/>
      <c r="OC4" s="1962"/>
      <c r="OD4" s="1962"/>
      <c r="OE4" s="1962"/>
      <c r="OF4" s="1962"/>
      <c r="OG4" s="1962"/>
      <c r="OH4" s="1962"/>
      <c r="OI4" s="1962"/>
      <c r="OJ4" s="1962"/>
      <c r="OK4" s="1962"/>
      <c r="OL4" s="1962"/>
      <c r="OM4" s="1962"/>
      <c r="ON4" s="1962"/>
      <c r="OO4" s="1962"/>
      <c r="OP4" s="1962"/>
      <c r="OQ4" s="1962"/>
      <c r="OR4" s="1962"/>
      <c r="OS4" s="1962"/>
      <c r="OT4" s="1962"/>
      <c r="OU4" s="1962"/>
      <c r="OV4" s="1962"/>
      <c r="OW4" s="1962"/>
      <c r="OX4" s="1962"/>
      <c r="OY4" s="1962"/>
      <c r="OZ4" s="1962"/>
      <c r="PA4" s="1962"/>
      <c r="PB4" s="1962"/>
      <c r="PC4" s="1962"/>
      <c r="PD4" s="1962"/>
      <c r="PE4" s="1962"/>
      <c r="PF4" s="1962"/>
      <c r="PG4" s="1962"/>
      <c r="PH4" s="1962"/>
      <c r="PI4" s="1962"/>
      <c r="PJ4" s="1962"/>
      <c r="PK4" s="1962"/>
      <c r="PL4" s="1962"/>
      <c r="PM4" s="1962"/>
      <c r="PN4" s="1962"/>
      <c r="PO4" s="1962"/>
      <c r="PP4" s="1962"/>
      <c r="PQ4" s="1962"/>
      <c r="PR4" s="1962"/>
      <c r="PS4" s="1962"/>
      <c r="PT4" s="1962"/>
      <c r="PU4" s="1962"/>
      <c r="PV4" s="1962"/>
      <c r="PW4" s="1962"/>
      <c r="PX4" s="1962"/>
      <c r="PY4" s="1962"/>
      <c r="PZ4" s="1962"/>
      <c r="QA4" s="1962"/>
      <c r="QB4" s="1962"/>
      <c r="QC4" s="1962"/>
      <c r="QD4" s="1962"/>
      <c r="QE4" s="1962"/>
      <c r="QF4" s="1962"/>
      <c r="QG4" s="1962"/>
      <c r="QH4" s="1962"/>
      <c r="QI4" s="1962"/>
      <c r="QJ4" s="1962"/>
      <c r="QK4" s="1962"/>
      <c r="QL4" s="1962"/>
      <c r="QM4" s="1962"/>
      <c r="QN4" s="1962"/>
      <c r="QO4" s="1962"/>
      <c r="QP4" s="1962"/>
      <c r="QQ4" s="1962"/>
      <c r="QR4" s="1962"/>
      <c r="QS4" s="1962"/>
      <c r="QT4" s="1962"/>
      <c r="QU4" s="1962"/>
      <c r="QV4" s="1962"/>
      <c r="QW4" s="1962"/>
      <c r="QX4" s="1962"/>
      <c r="QY4" s="1962"/>
      <c r="QZ4" s="1962"/>
      <c r="RA4" s="1962"/>
      <c r="RB4" s="1962"/>
      <c r="RC4" s="1962"/>
      <c r="RD4" s="1962"/>
      <c r="RE4" s="1962"/>
      <c r="RF4" s="1962"/>
      <c r="RG4" s="1962"/>
      <c r="RH4" s="1962"/>
      <c r="RI4" s="1962"/>
      <c r="RJ4" s="1962"/>
      <c r="RK4" s="1962"/>
      <c r="RL4" s="1962"/>
      <c r="RM4" s="1962"/>
      <c r="RN4" s="1962"/>
      <c r="RO4" s="1962"/>
      <c r="RP4" s="1962"/>
      <c r="RQ4" s="1962"/>
      <c r="RR4" s="1962"/>
      <c r="RS4" s="1962"/>
      <c r="RT4" s="1962"/>
      <c r="RU4" s="1962"/>
      <c r="RV4" s="1962"/>
      <c r="RW4" s="1962"/>
      <c r="RX4" s="1962"/>
      <c r="RY4" s="1962"/>
      <c r="RZ4" s="1962"/>
      <c r="SA4" s="1962"/>
      <c r="SB4" s="1962"/>
      <c r="SC4" s="1962"/>
      <c r="SD4" s="1962"/>
      <c r="SE4" s="1962"/>
      <c r="SF4" s="1962"/>
      <c r="SG4" s="1962"/>
      <c r="SH4" s="1962"/>
      <c r="SI4" s="1962"/>
      <c r="SJ4" s="1962"/>
      <c r="SK4" s="1962"/>
      <c r="SL4" s="1962"/>
      <c r="SM4" s="1962"/>
      <c r="SN4" s="1962"/>
      <c r="SO4" s="1962"/>
      <c r="SP4" s="1962"/>
      <c r="SQ4" s="1962"/>
      <c r="SR4" s="1962"/>
      <c r="SS4" s="1962"/>
      <c r="ST4" s="1962"/>
      <c r="SU4" s="1962"/>
      <c r="SV4" s="1962"/>
      <c r="SW4" s="1962"/>
      <c r="SX4" s="1962"/>
      <c r="SY4" s="1962"/>
      <c r="SZ4" s="1962"/>
      <c r="TA4" s="1962"/>
      <c r="TB4" s="1962"/>
      <c r="TC4" s="1962"/>
      <c r="TD4" s="1962"/>
      <c r="TE4" s="1962"/>
      <c r="TF4" s="1962"/>
      <c r="TG4" s="1962"/>
      <c r="TH4" s="1962"/>
      <c r="TI4" s="1962"/>
      <c r="TJ4" s="1962"/>
      <c r="TK4" s="1962"/>
      <c r="TL4" s="1962"/>
      <c r="TM4" s="1962"/>
      <c r="TN4" s="1962"/>
      <c r="TO4" s="1962"/>
      <c r="TP4" s="1962"/>
      <c r="TQ4" s="1962"/>
      <c r="TR4" s="1962"/>
      <c r="TS4" s="1962"/>
      <c r="TT4" s="1962"/>
      <c r="TU4" s="1962"/>
      <c r="TV4" s="1962"/>
      <c r="TW4" s="1962"/>
      <c r="TX4" s="1962"/>
      <c r="TY4" s="1962"/>
      <c r="TZ4" s="1962"/>
      <c r="UA4" s="1962"/>
      <c r="UB4" s="1962"/>
      <c r="UC4" s="1962"/>
      <c r="UD4" s="1962"/>
      <c r="UE4" s="1962"/>
      <c r="UF4" s="1962"/>
      <c r="UG4" s="1962"/>
      <c r="UH4" s="1962"/>
      <c r="UI4" s="1962"/>
      <c r="UJ4" s="1962"/>
      <c r="UK4" s="1962"/>
      <c r="UL4" s="1962"/>
      <c r="UM4" s="1962"/>
      <c r="UN4" s="1962"/>
      <c r="UO4" s="1962"/>
      <c r="UP4" s="1962"/>
      <c r="UQ4" s="1962"/>
      <c r="UR4" s="1962"/>
      <c r="US4" s="1962"/>
      <c r="UT4" s="1962"/>
      <c r="UU4" s="1962"/>
      <c r="UV4" s="1962"/>
      <c r="UW4" s="1962"/>
      <c r="UX4" s="1962"/>
      <c r="UY4" s="1962"/>
      <c r="UZ4" s="1962"/>
      <c r="VA4" s="1962"/>
      <c r="VB4" s="1962"/>
      <c r="VC4" s="1962"/>
      <c r="VD4" s="1962"/>
      <c r="VE4" s="1962"/>
      <c r="VF4" s="1962"/>
      <c r="VG4" s="1962"/>
      <c r="VH4" s="1962"/>
      <c r="VI4" s="1962"/>
      <c r="VJ4" s="1962"/>
      <c r="VK4" s="1962"/>
      <c r="VL4" s="1962"/>
      <c r="VM4" s="1962"/>
      <c r="VN4" s="1962"/>
      <c r="VO4" s="1962"/>
      <c r="VP4" s="1962"/>
      <c r="VQ4" s="1962"/>
      <c r="VR4" s="1962"/>
      <c r="VS4" s="1962"/>
      <c r="VT4" s="1962"/>
      <c r="VU4" s="1962"/>
      <c r="VV4" s="1962"/>
      <c r="VW4" s="1962"/>
      <c r="VX4" s="1962"/>
      <c r="VY4" s="1962"/>
      <c r="VZ4" s="1962"/>
      <c r="WA4" s="1962"/>
      <c r="WB4" s="1962"/>
      <c r="WC4" s="1962"/>
      <c r="WD4" s="1962"/>
      <c r="WE4" s="1962"/>
      <c r="WF4" s="1962"/>
      <c r="WG4" s="1962"/>
      <c r="WH4" s="1962"/>
      <c r="WI4" s="1962"/>
      <c r="WJ4" s="1962"/>
      <c r="WK4" s="1962"/>
      <c r="WL4" s="1962"/>
      <c r="WM4" s="1962"/>
      <c r="WN4" s="1962"/>
      <c r="WO4" s="1962"/>
      <c r="WP4" s="1962"/>
      <c r="WQ4" s="1962"/>
      <c r="WR4" s="1962"/>
      <c r="WS4" s="1962"/>
      <c r="WT4" s="1962"/>
      <c r="WU4" s="1962"/>
      <c r="WV4" s="1962"/>
      <c r="WW4" s="1962"/>
      <c r="WX4" s="1962"/>
      <c r="WY4" s="1962"/>
      <c r="WZ4" s="1962"/>
      <c r="XA4" s="1962"/>
      <c r="XB4" s="1962"/>
      <c r="XC4" s="1962"/>
      <c r="XD4" s="1962"/>
      <c r="XE4" s="1962"/>
      <c r="XF4" s="1962"/>
      <c r="XG4" s="1962"/>
      <c r="XH4" s="1962"/>
      <c r="XI4" s="1962"/>
      <c r="XJ4" s="1962"/>
      <c r="XK4" s="1962"/>
      <c r="XL4" s="1962"/>
      <c r="XM4" s="1962"/>
      <c r="XN4" s="1962"/>
      <c r="XO4" s="1962"/>
      <c r="XP4" s="1962"/>
      <c r="XQ4" s="1962"/>
      <c r="XR4" s="1962"/>
      <c r="XS4" s="1962"/>
      <c r="XT4" s="1962"/>
      <c r="XU4" s="1962"/>
      <c r="XV4" s="1962"/>
      <c r="XW4" s="1962"/>
      <c r="XX4" s="1962"/>
      <c r="XY4" s="1962"/>
      <c r="XZ4" s="1962"/>
      <c r="YA4" s="1962"/>
      <c r="YB4" s="1962"/>
      <c r="YC4" s="1962"/>
      <c r="YD4" s="1962"/>
      <c r="YE4" s="1962"/>
      <c r="YF4" s="1962"/>
      <c r="YG4" s="1962"/>
      <c r="YH4" s="1962"/>
      <c r="YI4" s="1962"/>
      <c r="YJ4" s="1962"/>
      <c r="YK4" s="1962"/>
      <c r="YL4" s="1962"/>
      <c r="YM4" s="1962"/>
      <c r="YN4" s="1962"/>
      <c r="YO4" s="1962"/>
      <c r="YP4" s="1962"/>
      <c r="YQ4" s="1962"/>
      <c r="YR4" s="1962"/>
      <c r="YS4" s="1962"/>
      <c r="YT4" s="1962"/>
      <c r="YU4" s="1962"/>
      <c r="YV4" s="1962"/>
      <c r="YW4" s="1962"/>
      <c r="YX4" s="1962"/>
      <c r="YY4" s="1962"/>
      <c r="YZ4" s="1962"/>
      <c r="ZA4" s="1962"/>
      <c r="ZB4" s="1962"/>
      <c r="ZC4" s="1962"/>
      <c r="ZD4" s="1962"/>
      <c r="ZE4" s="1962"/>
      <c r="ZF4" s="1962"/>
      <c r="ZG4" s="1962"/>
      <c r="ZH4" s="1962"/>
      <c r="ZI4" s="1962"/>
      <c r="ZJ4" s="1962"/>
      <c r="ZK4" s="1962"/>
      <c r="ZL4" s="1962"/>
      <c r="ZM4" s="1962"/>
      <c r="ZN4" s="1962"/>
      <c r="ZO4" s="1962"/>
      <c r="ZP4" s="1962"/>
      <c r="ZQ4" s="1962"/>
      <c r="ZR4" s="1962"/>
      <c r="ZS4" s="1962"/>
      <c r="ZT4" s="1962"/>
      <c r="ZU4" s="1962"/>
      <c r="ZV4" s="1962"/>
      <c r="ZW4" s="1962"/>
      <c r="ZX4" s="1962"/>
      <c r="ZY4" s="1962"/>
      <c r="ZZ4" s="1962"/>
      <c r="AAA4" s="1962"/>
      <c r="AAB4" s="1962"/>
      <c r="AAC4" s="1962"/>
      <c r="AAD4" s="1962"/>
      <c r="AAE4" s="1962"/>
      <c r="AAF4" s="1962"/>
      <c r="AAG4" s="1962"/>
      <c r="AAH4" s="1962"/>
      <c r="AAI4" s="1962"/>
      <c r="AAJ4" s="1962"/>
      <c r="AAK4" s="1962"/>
      <c r="AAL4" s="1962"/>
      <c r="AAM4" s="1962"/>
      <c r="AAN4" s="1962"/>
      <c r="AAO4" s="1962"/>
      <c r="AAP4" s="1962"/>
      <c r="AAQ4" s="1962"/>
      <c r="AAR4" s="1962"/>
      <c r="AAS4" s="1962"/>
      <c r="AAT4" s="1962"/>
      <c r="AAU4" s="1962"/>
      <c r="AAV4" s="1962"/>
      <c r="AAW4" s="1962"/>
      <c r="AAX4" s="1962"/>
      <c r="AAY4" s="1962"/>
      <c r="AAZ4" s="1962"/>
      <c r="ABA4" s="1962"/>
      <c r="ABB4" s="1962"/>
      <c r="ABC4" s="1962"/>
      <c r="ABD4" s="1962"/>
      <c r="ABE4" s="1962"/>
      <c r="ABF4" s="1962"/>
      <c r="ABG4" s="1962"/>
      <c r="ABH4" s="1962"/>
      <c r="ABI4" s="1962"/>
      <c r="ABJ4" s="1962"/>
      <c r="ABK4" s="1962"/>
      <c r="ABL4" s="1962"/>
      <c r="ABM4" s="1962"/>
      <c r="ABN4" s="1962"/>
      <c r="ABO4" s="1962"/>
      <c r="ABP4" s="1962"/>
      <c r="ABQ4" s="1962"/>
      <c r="ABR4" s="1962"/>
      <c r="ABS4" s="1962"/>
      <c r="ABT4" s="1962"/>
      <c r="ABU4" s="1962"/>
      <c r="ABV4" s="1962"/>
      <c r="ABW4" s="1962"/>
      <c r="ABX4" s="1962"/>
      <c r="ABY4" s="1962"/>
      <c r="ABZ4" s="1962"/>
      <c r="ACA4" s="1962"/>
      <c r="ACB4" s="1962"/>
      <c r="ACC4" s="1962"/>
      <c r="ACD4" s="1962"/>
      <c r="ACE4" s="1962"/>
      <c r="ACF4" s="1962"/>
      <c r="ACG4" s="1962"/>
      <c r="ACH4" s="1962"/>
      <c r="ACI4" s="1962"/>
      <c r="ACJ4" s="1962"/>
      <c r="ACK4" s="1962"/>
      <c r="ACL4" s="1962"/>
      <c r="ACM4" s="1962"/>
      <c r="ACN4" s="1962"/>
      <c r="ACO4" s="1962"/>
      <c r="ACP4" s="1962"/>
      <c r="ACQ4" s="1962"/>
      <c r="ACR4" s="1962"/>
      <c r="ACS4" s="1962"/>
      <c r="ACT4" s="1962"/>
      <c r="ACU4" s="1962"/>
      <c r="ACV4" s="1962"/>
      <c r="ACW4" s="1962"/>
      <c r="ACX4" s="1962"/>
      <c r="ACY4" s="1962"/>
      <c r="ACZ4" s="1962"/>
      <c r="ADA4" s="1962"/>
      <c r="ADB4" s="1962"/>
      <c r="ADC4" s="1962"/>
      <c r="ADD4" s="1962"/>
      <c r="ADE4" s="1962"/>
      <c r="ADF4" s="1962"/>
      <c r="ADG4" s="1962"/>
      <c r="ADH4" s="1962"/>
      <c r="ADI4" s="1962"/>
      <c r="ADJ4" s="1962"/>
      <c r="ADK4" s="1962"/>
      <c r="ADL4" s="1962"/>
      <c r="ADM4" s="1962"/>
      <c r="ADN4" s="1962"/>
      <c r="ADO4" s="1962"/>
      <c r="ADP4" s="1962"/>
      <c r="ADQ4" s="1962"/>
      <c r="ADR4" s="1962"/>
      <c r="ADS4" s="1962"/>
      <c r="ADT4" s="1962"/>
      <c r="ADU4" s="1962"/>
      <c r="ADV4" s="1962"/>
      <c r="ADW4" s="1962"/>
      <c r="ADX4" s="1962"/>
      <c r="ADY4" s="1962"/>
      <c r="ADZ4" s="1962"/>
      <c r="AEA4" s="1962"/>
      <c r="AEB4" s="1962"/>
      <c r="AEC4" s="1962"/>
      <c r="AED4" s="1962"/>
      <c r="AEE4" s="1962"/>
      <c r="AEF4" s="1962"/>
      <c r="AEG4" s="1962"/>
      <c r="AEH4" s="1962"/>
      <c r="AEI4" s="1962"/>
      <c r="AEJ4" s="1962"/>
      <c r="AEK4" s="1962"/>
      <c r="AEL4" s="1962"/>
      <c r="AEM4" s="1962"/>
      <c r="AEN4" s="1962"/>
      <c r="AEO4" s="1962"/>
      <c r="AEP4" s="1962"/>
      <c r="AEQ4" s="1962"/>
      <c r="AER4" s="1962"/>
      <c r="AES4" s="1962"/>
      <c r="AET4" s="1962"/>
      <c r="AEU4" s="1962"/>
      <c r="AEV4" s="1962"/>
      <c r="AEW4" s="1962"/>
      <c r="AEX4" s="1962"/>
      <c r="AEY4" s="1962"/>
      <c r="AEZ4" s="1962"/>
      <c r="AFA4" s="1962"/>
      <c r="AFB4" s="1962"/>
      <c r="AFC4" s="1962"/>
      <c r="AFD4" s="1962"/>
      <c r="AFE4" s="1962"/>
      <c r="AFF4" s="1962"/>
      <c r="AFG4" s="1962"/>
      <c r="AFH4" s="1962"/>
      <c r="AFI4" s="1962"/>
      <c r="AFJ4" s="1962"/>
      <c r="AFK4" s="1962"/>
      <c r="AFL4" s="1962"/>
      <c r="AFM4" s="1962"/>
      <c r="AFN4" s="1962"/>
      <c r="AFO4" s="1962"/>
      <c r="AFP4" s="1962"/>
      <c r="AFQ4" s="1962"/>
      <c r="AFR4" s="1962"/>
      <c r="AFS4" s="1962"/>
      <c r="AFT4" s="1962"/>
      <c r="AFU4" s="1962"/>
      <c r="AFV4" s="1962"/>
      <c r="AFW4" s="1962"/>
      <c r="AFX4" s="1962"/>
      <c r="AFY4" s="1962"/>
      <c r="AFZ4" s="1962"/>
      <c r="AGA4" s="1962"/>
      <c r="AGB4" s="1962"/>
      <c r="AGC4" s="1962"/>
      <c r="AGD4" s="1962"/>
      <c r="AGE4" s="1962"/>
      <c r="AGF4" s="1962"/>
      <c r="AGG4" s="1962"/>
      <c r="AGH4" s="1962"/>
      <c r="AGI4" s="1962"/>
      <c r="AGJ4" s="1962"/>
      <c r="AGK4" s="1962"/>
      <c r="AGL4" s="1962"/>
      <c r="AGM4" s="1962"/>
      <c r="AGN4" s="1962"/>
      <c r="AGO4" s="1962"/>
      <c r="AGP4" s="1962"/>
      <c r="AGQ4" s="1962"/>
      <c r="AGR4" s="1962"/>
      <c r="AGS4" s="1962"/>
      <c r="AGT4" s="1962"/>
      <c r="AGU4" s="1962"/>
      <c r="AGV4" s="1962"/>
      <c r="AGW4" s="1962"/>
      <c r="AGX4" s="1962"/>
      <c r="AGY4" s="1962"/>
      <c r="AGZ4" s="1962"/>
      <c r="AHA4" s="1962"/>
      <c r="AHB4" s="1962"/>
      <c r="AHC4" s="1962"/>
      <c r="AHD4" s="1962"/>
      <c r="AHE4" s="1962"/>
      <c r="AHF4" s="1962"/>
      <c r="AHG4" s="1962"/>
      <c r="AHH4" s="1962"/>
      <c r="AHI4" s="1962"/>
      <c r="AHJ4" s="1962"/>
      <c r="AHK4" s="1962"/>
      <c r="AHL4" s="1962"/>
      <c r="AHM4" s="1962"/>
      <c r="AHN4" s="1962"/>
      <c r="AHO4" s="1962"/>
      <c r="AHP4" s="1962"/>
      <c r="AHQ4" s="1962"/>
      <c r="AHR4" s="1962"/>
      <c r="AHS4" s="1962"/>
      <c r="AHT4" s="1962"/>
      <c r="AHU4" s="1962"/>
      <c r="AHV4" s="1962"/>
      <c r="AHW4" s="1962"/>
      <c r="AHX4" s="1962"/>
      <c r="AHY4" s="1962"/>
      <c r="AHZ4" s="1962"/>
      <c r="AIA4" s="1962"/>
      <c r="AIB4" s="1962"/>
      <c r="AIC4" s="1962"/>
      <c r="AID4" s="1962"/>
      <c r="AIE4" s="1962"/>
      <c r="AIF4" s="1962"/>
      <c r="AIG4" s="1962"/>
      <c r="AIH4" s="1962"/>
      <c r="AII4" s="1962"/>
      <c r="AIJ4" s="1962"/>
      <c r="AIK4" s="1962"/>
      <c r="AIL4" s="1962"/>
      <c r="AIM4" s="1962"/>
      <c r="AIN4" s="1962"/>
      <c r="AIO4" s="1962"/>
      <c r="AIP4" s="1962"/>
      <c r="AIQ4" s="1962"/>
      <c r="AIR4" s="1962"/>
      <c r="AIS4" s="1962"/>
      <c r="AIT4" s="1962"/>
      <c r="AIU4" s="1962"/>
      <c r="AIV4" s="1962"/>
      <c r="AIW4" s="1962"/>
      <c r="AIX4" s="1962"/>
      <c r="AIY4" s="1962"/>
      <c r="AIZ4" s="1962"/>
      <c r="AJA4" s="1962"/>
      <c r="AJB4" s="1962"/>
      <c r="AJC4" s="1962"/>
      <c r="AJD4" s="1962"/>
      <c r="AJE4" s="1962"/>
      <c r="AJF4" s="1962"/>
      <c r="AJG4" s="1962"/>
      <c r="AJH4" s="1962"/>
      <c r="AJI4" s="1962"/>
      <c r="AJJ4" s="1962"/>
      <c r="AJK4" s="1962"/>
      <c r="AJL4" s="1962"/>
      <c r="AJM4" s="1962"/>
      <c r="AJN4" s="1962"/>
      <c r="AJO4" s="1962"/>
      <c r="AJP4" s="1962"/>
      <c r="AJQ4" s="1962"/>
      <c r="AJR4" s="1962"/>
      <c r="AJS4" s="1962"/>
      <c r="AJT4" s="1962"/>
      <c r="AJU4" s="1962"/>
      <c r="AJV4" s="1962"/>
      <c r="AJW4" s="1962"/>
      <c r="AJX4" s="1962"/>
      <c r="AJY4" s="1962"/>
      <c r="AJZ4" s="1962"/>
      <c r="AKA4" s="1962"/>
      <c r="AKB4" s="1962"/>
      <c r="AKC4" s="1962"/>
      <c r="AKD4" s="1962"/>
      <c r="AKE4" s="1962"/>
      <c r="AKF4" s="1962"/>
      <c r="AKG4" s="1962"/>
      <c r="AKH4" s="1962"/>
      <c r="AKI4" s="1962"/>
      <c r="AKJ4" s="1962"/>
      <c r="AKK4" s="1962"/>
      <c r="AKL4" s="1962"/>
      <c r="AKM4" s="1962"/>
      <c r="AKN4" s="1962"/>
      <c r="AKO4" s="1962"/>
      <c r="AKP4" s="1962"/>
      <c r="AKQ4" s="1962"/>
      <c r="AKR4" s="1962"/>
      <c r="AKS4" s="1962"/>
      <c r="AKT4" s="1962"/>
      <c r="AKU4" s="1962"/>
      <c r="AKV4" s="1962"/>
      <c r="AKW4" s="1962"/>
      <c r="AKX4" s="1962"/>
      <c r="AKY4" s="1962"/>
      <c r="AKZ4" s="1962"/>
      <c r="ALA4" s="1962"/>
      <c r="ALB4" s="1962"/>
      <c r="ALC4" s="1962"/>
      <c r="ALD4" s="1962"/>
      <c r="ALE4" s="1962"/>
      <c r="ALF4" s="1962"/>
      <c r="ALG4" s="1962"/>
      <c r="ALH4" s="1962"/>
      <c r="ALI4" s="1962"/>
      <c r="ALJ4" s="1962"/>
      <c r="ALK4" s="1962"/>
      <c r="ALL4" s="1962"/>
      <c r="ALM4" s="1962"/>
      <c r="ALN4" s="1962"/>
      <c r="ALO4" s="1962"/>
      <c r="ALP4" s="1962"/>
      <c r="ALQ4" s="1962"/>
      <c r="ALR4" s="1962"/>
      <c r="ALS4" s="1962"/>
      <c r="ALT4" s="1962"/>
      <c r="ALU4" s="1962"/>
      <c r="ALV4" s="1962"/>
      <c r="ALW4" s="1962"/>
      <c r="ALX4" s="1962"/>
      <c r="ALY4" s="1962"/>
      <c r="ALZ4" s="1962"/>
      <c r="AMA4" s="1962"/>
      <c r="AMB4" s="1962"/>
      <c r="AMC4" s="1962"/>
      <c r="AMD4" s="1962"/>
      <c r="AME4" s="1962"/>
      <c r="AMF4" s="1962"/>
      <c r="AMG4" s="1962"/>
      <c r="AMH4" s="1962"/>
      <c r="AMI4" s="1962"/>
      <c r="AMJ4" s="1962"/>
      <c r="AMK4" s="1962"/>
      <c r="AML4" s="1962"/>
      <c r="AMM4" s="1962"/>
      <c r="AMN4" s="1962"/>
      <c r="AMO4" s="1962"/>
      <c r="AMP4" s="1962"/>
      <c r="AMQ4" s="1962"/>
      <c r="AMR4" s="1962"/>
      <c r="AMS4" s="1962"/>
      <c r="AMT4" s="1962"/>
      <c r="AMU4" s="1962"/>
      <c r="AMV4" s="1962"/>
      <c r="AMW4" s="1962"/>
      <c r="AMX4" s="1962"/>
      <c r="AMY4" s="1962"/>
      <c r="AMZ4" s="1962"/>
      <c r="ANA4" s="1962"/>
      <c r="ANB4" s="1962"/>
      <c r="ANC4" s="1962"/>
      <c r="AND4" s="1962"/>
      <c r="ANE4" s="1962"/>
      <c r="ANF4" s="1962"/>
      <c r="ANG4" s="1962"/>
      <c r="ANH4" s="1962"/>
      <c r="ANI4" s="1962"/>
      <c r="ANJ4" s="1962"/>
      <c r="ANK4" s="1962"/>
      <c r="ANL4" s="1962"/>
      <c r="ANM4" s="1962"/>
      <c r="ANN4" s="1962"/>
      <c r="ANO4" s="1962"/>
      <c r="ANP4" s="1962"/>
      <c r="ANQ4" s="1962"/>
      <c r="ANR4" s="1962"/>
      <c r="ANS4" s="1962"/>
      <c r="ANT4" s="1962"/>
      <c r="ANU4" s="1962"/>
      <c r="ANV4" s="1962"/>
      <c r="ANW4" s="1962"/>
      <c r="ANX4" s="1962"/>
      <c r="ANY4" s="1962"/>
      <c r="ANZ4" s="1962"/>
      <c r="AOA4" s="1962"/>
      <c r="AOB4" s="1962"/>
      <c r="AOC4" s="1962"/>
      <c r="AOD4" s="1962"/>
      <c r="AOE4" s="1962"/>
      <c r="AOF4" s="1962"/>
      <c r="AOG4" s="1962"/>
      <c r="AOH4" s="1962"/>
      <c r="AOI4" s="1962"/>
      <c r="AOJ4" s="1962"/>
      <c r="AOK4" s="1962"/>
      <c r="AOL4" s="1962"/>
      <c r="AOM4" s="1962"/>
      <c r="AON4" s="1962"/>
      <c r="AOO4" s="1962"/>
      <c r="AOP4" s="1962"/>
      <c r="AOQ4" s="1962"/>
      <c r="AOR4" s="1962"/>
      <c r="AOS4" s="1962"/>
      <c r="AOT4" s="1962"/>
      <c r="AOU4" s="1962"/>
      <c r="AOV4" s="1962"/>
      <c r="AOW4" s="1962"/>
      <c r="AOX4" s="1962"/>
      <c r="AOY4" s="1962"/>
      <c r="AOZ4" s="1962"/>
      <c r="APA4" s="1962"/>
      <c r="APB4" s="1962"/>
      <c r="APC4" s="1962"/>
      <c r="APD4" s="1962"/>
      <c r="APE4" s="1962"/>
      <c r="APF4" s="1962"/>
      <c r="APG4" s="1962"/>
      <c r="APH4" s="1962"/>
      <c r="API4" s="1962"/>
      <c r="APJ4" s="1962"/>
      <c r="APK4" s="1962"/>
      <c r="APL4" s="1962"/>
      <c r="APM4" s="1962"/>
      <c r="APN4" s="1962"/>
      <c r="APO4" s="1962"/>
      <c r="APP4" s="1962"/>
      <c r="APQ4" s="1962"/>
      <c r="APR4" s="1962"/>
      <c r="APS4" s="1962"/>
      <c r="APT4" s="1962"/>
      <c r="APU4" s="1962"/>
      <c r="APV4" s="1962"/>
      <c r="APW4" s="1962"/>
      <c r="APX4" s="1962"/>
      <c r="APY4" s="1962"/>
      <c r="APZ4" s="1962"/>
      <c r="AQA4" s="1962"/>
      <c r="AQB4" s="1962"/>
      <c r="AQC4" s="1962"/>
      <c r="AQD4" s="1962"/>
      <c r="AQE4" s="1962"/>
      <c r="AQF4" s="1962"/>
      <c r="AQG4" s="1962"/>
      <c r="AQH4" s="1962"/>
      <c r="AQI4" s="1962"/>
      <c r="AQJ4" s="1962"/>
      <c r="AQK4" s="1962"/>
      <c r="AQL4" s="1962"/>
      <c r="AQM4" s="1962"/>
      <c r="AQN4" s="1962"/>
      <c r="AQO4" s="1962"/>
      <c r="AQP4" s="1962"/>
      <c r="AQQ4" s="1962"/>
      <c r="AQR4" s="1962"/>
      <c r="AQS4" s="1962"/>
      <c r="AQT4" s="1962"/>
      <c r="AQU4" s="1962"/>
      <c r="AQV4" s="1962"/>
      <c r="AQW4" s="1962"/>
      <c r="AQX4" s="1962"/>
      <c r="AQY4" s="1962"/>
      <c r="AQZ4" s="1962"/>
      <c r="ARA4" s="1962"/>
      <c r="ARB4" s="1962"/>
      <c r="ARC4" s="1962"/>
      <c r="ARD4" s="1962"/>
      <c r="ARE4" s="1962"/>
      <c r="ARF4" s="1962"/>
      <c r="ARG4" s="1962"/>
      <c r="ARH4" s="1962"/>
      <c r="ARI4" s="1962"/>
      <c r="ARJ4" s="1962"/>
      <c r="ARK4" s="1962"/>
      <c r="ARL4" s="1962"/>
      <c r="ARM4" s="1962"/>
      <c r="ARN4" s="1962"/>
      <c r="ARO4" s="1962"/>
      <c r="ARP4" s="1962"/>
      <c r="ARQ4" s="1962"/>
      <c r="ARR4" s="1962"/>
      <c r="ARS4" s="1962"/>
      <c r="ART4" s="1962"/>
      <c r="ARU4" s="1962"/>
      <c r="ARV4" s="1962"/>
      <c r="ARW4" s="1962"/>
      <c r="ARX4" s="1962"/>
      <c r="ARY4" s="1962"/>
      <c r="ARZ4" s="1962"/>
      <c r="ASA4" s="1962"/>
      <c r="ASB4" s="1962"/>
      <c r="ASC4" s="1962"/>
      <c r="ASD4" s="1962"/>
      <c r="ASE4" s="1962"/>
      <c r="ASF4" s="1962"/>
      <c r="ASG4" s="1962"/>
      <c r="ASH4" s="1962"/>
      <c r="ASI4" s="1962"/>
      <c r="ASJ4" s="1962"/>
      <c r="ASK4" s="1962"/>
      <c r="ASL4" s="1962"/>
      <c r="ASM4" s="1962"/>
      <c r="ASN4" s="1962"/>
      <c r="ASO4" s="1962"/>
      <c r="ASP4" s="1962"/>
      <c r="ASQ4" s="1962"/>
      <c r="ASR4" s="1962"/>
      <c r="ASS4" s="1962"/>
      <c r="AST4" s="1962"/>
      <c r="ASU4" s="1962"/>
      <c r="ASV4" s="1962"/>
      <c r="ASW4" s="1962"/>
      <c r="ASX4" s="1962"/>
      <c r="ASY4" s="1962"/>
      <c r="ASZ4" s="1962"/>
      <c r="ATA4" s="1962"/>
      <c r="ATB4" s="1962"/>
      <c r="ATC4" s="1962"/>
      <c r="ATD4" s="1962"/>
      <c r="ATE4" s="1962"/>
      <c r="ATF4" s="1962"/>
      <c r="ATG4" s="1962"/>
      <c r="ATH4" s="1962"/>
      <c r="ATI4" s="1962"/>
      <c r="ATJ4" s="1962"/>
      <c r="ATK4" s="1962"/>
      <c r="ATL4" s="1962"/>
      <c r="ATM4" s="1962"/>
      <c r="ATN4" s="1962"/>
      <c r="ATO4" s="1962"/>
      <c r="ATP4" s="1962"/>
      <c r="ATQ4" s="1962"/>
      <c r="ATR4" s="1962"/>
      <c r="ATS4" s="1962"/>
      <c r="ATT4" s="1962"/>
      <c r="ATU4" s="1962"/>
      <c r="ATV4" s="1962"/>
      <c r="ATW4" s="1962"/>
      <c r="ATX4" s="1962"/>
      <c r="ATY4" s="1962"/>
      <c r="ATZ4" s="1962"/>
      <c r="AUA4" s="1962"/>
      <c r="AUB4" s="1962"/>
      <c r="AUC4" s="1962"/>
      <c r="AUD4" s="1962"/>
      <c r="AUE4" s="1962"/>
      <c r="AUF4" s="1962"/>
      <c r="AUG4" s="1962"/>
      <c r="AUH4" s="1962"/>
      <c r="AUI4" s="1962"/>
      <c r="AUJ4" s="1962"/>
      <c r="AUK4" s="1962"/>
      <c r="AUL4" s="1962"/>
      <c r="AUM4" s="1962"/>
      <c r="AUN4" s="1962"/>
      <c r="AUO4" s="1962"/>
      <c r="AUP4" s="1962"/>
      <c r="AUQ4" s="1962"/>
      <c r="AUR4" s="1962"/>
      <c r="AUS4" s="1962"/>
      <c r="AUT4" s="1962"/>
      <c r="AUU4" s="1962"/>
      <c r="AUV4" s="1962"/>
      <c r="AUW4" s="1962"/>
      <c r="AUX4" s="1962"/>
      <c r="AUY4" s="1962"/>
      <c r="AUZ4" s="1962"/>
      <c r="AVA4" s="1962"/>
      <c r="AVB4" s="1962"/>
      <c r="AVC4" s="1962"/>
      <c r="AVD4" s="1962"/>
      <c r="AVE4" s="1962"/>
      <c r="AVF4" s="1962"/>
      <c r="AVG4" s="1962"/>
      <c r="AVH4" s="1962"/>
      <c r="AVI4" s="1962"/>
      <c r="AVJ4" s="1962"/>
      <c r="AVK4" s="1962"/>
      <c r="AVL4" s="1962"/>
      <c r="AVM4" s="1962"/>
      <c r="AVN4" s="1962"/>
      <c r="AVO4" s="1962"/>
      <c r="AVP4" s="1962"/>
      <c r="AVQ4" s="1962"/>
      <c r="AVR4" s="1962"/>
      <c r="AVS4" s="1962"/>
      <c r="AVT4" s="1962"/>
      <c r="AVU4" s="1962"/>
      <c r="AVV4" s="1962"/>
      <c r="AVW4" s="1962"/>
      <c r="AVX4" s="1962"/>
      <c r="AVY4" s="1962"/>
      <c r="AVZ4" s="1962"/>
      <c r="AWA4" s="1962"/>
      <c r="AWB4" s="1962"/>
      <c r="AWC4" s="1962"/>
      <c r="AWD4" s="1962"/>
      <c r="AWE4" s="1962"/>
      <c r="AWF4" s="1962"/>
      <c r="AWG4" s="1962"/>
      <c r="AWH4" s="1962"/>
      <c r="AWI4" s="1962"/>
      <c r="AWJ4" s="1962"/>
      <c r="AWK4" s="1962"/>
      <c r="AWL4" s="1962"/>
      <c r="AWM4" s="1962"/>
      <c r="AWN4" s="1962"/>
      <c r="AWO4" s="1962"/>
      <c r="AWP4" s="1962"/>
      <c r="AWQ4" s="1962"/>
      <c r="AWR4" s="1962"/>
      <c r="AWS4" s="1962"/>
      <c r="AWT4" s="1962"/>
      <c r="AWU4" s="1962"/>
      <c r="AWV4" s="1962"/>
      <c r="AWW4" s="1962"/>
      <c r="AWX4" s="1962"/>
      <c r="AWY4" s="1962"/>
      <c r="AWZ4" s="1962"/>
      <c r="AXA4" s="1962"/>
      <c r="AXB4" s="1962"/>
      <c r="AXC4" s="1962"/>
      <c r="AXD4" s="1962"/>
      <c r="AXE4" s="1962"/>
      <c r="AXF4" s="1962"/>
      <c r="AXG4" s="1962"/>
      <c r="AXH4" s="1962"/>
      <c r="AXI4" s="1962"/>
      <c r="AXJ4" s="1962"/>
      <c r="AXK4" s="1962"/>
      <c r="AXL4" s="1962"/>
      <c r="AXM4" s="1962"/>
      <c r="AXN4" s="1962"/>
      <c r="AXO4" s="1962"/>
      <c r="AXP4" s="1962"/>
      <c r="AXQ4" s="1962"/>
      <c r="AXR4" s="1962"/>
      <c r="AXS4" s="1962"/>
      <c r="AXT4" s="1962"/>
      <c r="AXU4" s="1962"/>
      <c r="AXV4" s="1962"/>
      <c r="AXW4" s="1962"/>
      <c r="AXX4" s="1962"/>
      <c r="AXY4" s="1962"/>
      <c r="AXZ4" s="1962"/>
      <c r="AYA4" s="1962"/>
      <c r="AYB4" s="1962"/>
      <c r="AYC4" s="1962"/>
      <c r="AYD4" s="1962"/>
      <c r="AYE4" s="1962"/>
      <c r="AYF4" s="1962"/>
      <c r="AYG4" s="1962"/>
      <c r="AYH4" s="1962"/>
      <c r="AYI4" s="1962"/>
      <c r="AYJ4" s="1962"/>
      <c r="AYK4" s="1962"/>
      <c r="AYL4" s="1962"/>
      <c r="AYM4" s="1962"/>
      <c r="AYN4" s="1962"/>
      <c r="AYO4" s="1962"/>
      <c r="AYP4" s="1962"/>
      <c r="AYQ4" s="1962"/>
      <c r="AYR4" s="1962"/>
      <c r="AYS4" s="1962"/>
      <c r="AYT4" s="1962"/>
      <c r="AYU4" s="1962"/>
      <c r="AYV4" s="1962"/>
      <c r="AYW4" s="1962"/>
      <c r="AYX4" s="1962"/>
      <c r="AYY4" s="1962"/>
      <c r="AYZ4" s="1962"/>
      <c r="AZA4" s="1962"/>
      <c r="AZB4" s="1962"/>
      <c r="AZC4" s="1962"/>
      <c r="AZD4" s="1962"/>
      <c r="AZE4" s="1962"/>
      <c r="AZF4" s="1962"/>
      <c r="AZG4" s="1962"/>
      <c r="AZH4" s="1962"/>
      <c r="AZI4" s="1962"/>
      <c r="AZJ4" s="1962"/>
      <c r="AZK4" s="1962"/>
      <c r="AZL4" s="1962"/>
      <c r="AZM4" s="1962"/>
      <c r="AZN4" s="1962"/>
      <c r="AZO4" s="1962"/>
      <c r="AZP4" s="1962"/>
      <c r="AZQ4" s="1962"/>
      <c r="AZR4" s="1962"/>
      <c r="AZS4" s="1962"/>
      <c r="AZT4" s="1962"/>
      <c r="AZU4" s="1962"/>
      <c r="AZV4" s="1962"/>
      <c r="AZW4" s="1962"/>
      <c r="AZX4" s="1962"/>
      <c r="AZY4" s="1962"/>
      <c r="AZZ4" s="1962"/>
      <c r="BAA4" s="1962"/>
      <c r="BAB4" s="1962"/>
      <c r="BAC4" s="1962"/>
      <c r="BAD4" s="1962"/>
      <c r="BAE4" s="1962"/>
      <c r="BAF4" s="1962"/>
      <c r="BAG4" s="1962"/>
      <c r="BAH4" s="1962"/>
      <c r="BAI4" s="1962"/>
      <c r="BAJ4" s="1962"/>
      <c r="BAK4" s="1962"/>
      <c r="BAL4" s="1962"/>
      <c r="BAM4" s="1962"/>
      <c r="BAN4" s="1962"/>
      <c r="BAO4" s="1962"/>
      <c r="BAP4" s="1962"/>
      <c r="BAQ4" s="1962"/>
      <c r="BAR4" s="1962"/>
      <c r="BAS4" s="1962"/>
      <c r="BAT4" s="1962"/>
      <c r="BAU4" s="1962"/>
      <c r="BAV4" s="1962"/>
      <c r="BAW4" s="1962"/>
      <c r="BAX4" s="1962"/>
      <c r="BAY4" s="1962"/>
      <c r="BAZ4" s="1962"/>
      <c r="BBA4" s="1962"/>
      <c r="BBB4" s="1962"/>
      <c r="BBC4" s="1962"/>
      <c r="BBD4" s="1962"/>
      <c r="BBE4" s="1962"/>
      <c r="BBF4" s="1962"/>
      <c r="BBG4" s="1962"/>
      <c r="BBH4" s="1962"/>
      <c r="BBI4" s="1962"/>
      <c r="BBJ4" s="1962"/>
      <c r="BBK4" s="1962"/>
      <c r="BBL4" s="1962"/>
      <c r="BBM4" s="1962"/>
      <c r="BBN4" s="1962"/>
      <c r="BBO4" s="1962"/>
      <c r="BBP4" s="1962"/>
      <c r="BBQ4" s="1962"/>
      <c r="BBR4" s="1962"/>
      <c r="BBS4" s="1962"/>
      <c r="BBT4" s="1962"/>
      <c r="BBU4" s="1962"/>
      <c r="BBV4" s="1962"/>
      <c r="BBW4" s="1962"/>
      <c r="BBX4" s="1962"/>
      <c r="BBY4" s="1962"/>
      <c r="BBZ4" s="1962"/>
      <c r="BCA4" s="1962"/>
      <c r="BCB4" s="1962"/>
      <c r="BCC4" s="1962"/>
      <c r="BCD4" s="1962"/>
      <c r="BCE4" s="1962"/>
      <c r="BCF4" s="1962"/>
      <c r="BCG4" s="1962"/>
      <c r="BCH4" s="1962"/>
      <c r="BCI4" s="1962"/>
      <c r="BCJ4" s="1962"/>
      <c r="BCK4" s="1962"/>
      <c r="BCL4" s="1962"/>
      <c r="BCM4" s="1962"/>
      <c r="BCN4" s="1962"/>
      <c r="BCO4" s="1962"/>
      <c r="BCP4" s="1962"/>
      <c r="BCQ4" s="1962"/>
      <c r="BCR4" s="1962"/>
      <c r="BCS4" s="1962"/>
      <c r="BCT4" s="1962"/>
      <c r="BCU4" s="1962"/>
      <c r="BCV4" s="1962"/>
      <c r="BCW4" s="1962"/>
      <c r="BCX4" s="1962"/>
      <c r="BCY4" s="1962"/>
      <c r="BCZ4" s="1962"/>
      <c r="BDA4" s="1962"/>
      <c r="BDB4" s="1962"/>
      <c r="BDC4" s="1962"/>
      <c r="BDD4" s="1962"/>
      <c r="BDE4" s="1962"/>
      <c r="BDF4" s="1962"/>
      <c r="BDG4" s="1962"/>
      <c r="BDH4" s="1962"/>
      <c r="BDI4" s="1962"/>
      <c r="BDJ4" s="1962"/>
      <c r="BDK4" s="1962"/>
      <c r="BDL4" s="1962"/>
      <c r="BDM4" s="1962"/>
      <c r="BDN4" s="1962"/>
      <c r="BDO4" s="1962"/>
      <c r="BDP4" s="1962"/>
      <c r="BDQ4" s="1962"/>
      <c r="BDR4" s="1962"/>
      <c r="BDS4" s="1962"/>
      <c r="BDT4" s="1962"/>
      <c r="BDU4" s="1962"/>
      <c r="BDV4" s="1962"/>
      <c r="BDW4" s="1962"/>
      <c r="BDX4" s="1962"/>
      <c r="BDY4" s="1962"/>
      <c r="BDZ4" s="1962"/>
      <c r="BEA4" s="1962"/>
      <c r="BEB4" s="1962"/>
      <c r="BEC4" s="1962"/>
      <c r="BED4" s="1962"/>
      <c r="BEE4" s="1962"/>
      <c r="BEF4" s="1962"/>
      <c r="BEG4" s="1962"/>
      <c r="BEH4" s="1962"/>
      <c r="BEI4" s="1962"/>
      <c r="BEJ4" s="1962"/>
      <c r="BEK4" s="1962"/>
      <c r="BEL4" s="1962"/>
      <c r="BEM4" s="1962"/>
      <c r="BEN4" s="1962"/>
      <c r="BEO4" s="1962"/>
      <c r="BEP4" s="1962"/>
      <c r="BEQ4" s="1962"/>
      <c r="BER4" s="1962"/>
      <c r="BES4" s="1962"/>
      <c r="BET4" s="1962"/>
      <c r="BEU4" s="1962"/>
      <c r="BEV4" s="1962"/>
      <c r="BEW4" s="1962"/>
      <c r="BEX4" s="1962"/>
      <c r="BEY4" s="1962"/>
      <c r="BEZ4" s="1962"/>
      <c r="BFA4" s="1962"/>
      <c r="BFB4" s="1962"/>
      <c r="BFC4" s="1962"/>
      <c r="BFD4" s="1962"/>
      <c r="BFE4" s="1962"/>
      <c r="BFF4" s="1962"/>
      <c r="BFG4" s="1962"/>
      <c r="BFH4" s="1962"/>
      <c r="BFI4" s="1962"/>
      <c r="BFJ4" s="1962"/>
      <c r="BFK4" s="1962"/>
      <c r="BFL4" s="1962"/>
      <c r="BFM4" s="1962"/>
      <c r="BFN4" s="1962"/>
      <c r="BFO4" s="1962"/>
      <c r="BFP4" s="1962"/>
      <c r="BFQ4" s="1962"/>
      <c r="BFR4" s="1962"/>
      <c r="BFS4" s="1962"/>
      <c r="BFT4" s="1962"/>
      <c r="BFU4" s="1962"/>
      <c r="BFV4" s="1962"/>
      <c r="BFW4" s="1962"/>
      <c r="BFX4" s="1962"/>
      <c r="BFY4" s="1962"/>
      <c r="BFZ4" s="1962"/>
      <c r="BGA4" s="1962"/>
      <c r="BGB4" s="1962"/>
      <c r="BGC4" s="1962"/>
      <c r="BGD4" s="1962"/>
      <c r="BGE4" s="1962"/>
      <c r="BGF4" s="1962"/>
      <c r="BGG4" s="1962"/>
      <c r="BGH4" s="1962"/>
      <c r="BGI4" s="1962"/>
      <c r="BGJ4" s="1962"/>
      <c r="BGK4" s="1962"/>
      <c r="BGL4" s="1962"/>
      <c r="BGM4" s="1962"/>
      <c r="BGN4" s="1962"/>
      <c r="BGO4" s="1962"/>
      <c r="BGP4" s="1962"/>
      <c r="BGQ4" s="1962"/>
      <c r="BGR4" s="1962"/>
      <c r="BGS4" s="1962"/>
      <c r="BGT4" s="1962"/>
      <c r="BGU4" s="1962"/>
      <c r="BGV4" s="1962"/>
      <c r="BGW4" s="1962"/>
      <c r="BGX4" s="1962"/>
      <c r="BGY4" s="1962"/>
      <c r="BGZ4" s="1962"/>
      <c r="BHA4" s="1962"/>
      <c r="BHB4" s="1962"/>
      <c r="BHC4" s="1962"/>
      <c r="BHD4" s="1962"/>
      <c r="BHE4" s="1962"/>
      <c r="BHF4" s="1962"/>
      <c r="BHG4" s="1962"/>
      <c r="BHH4" s="1962"/>
      <c r="BHI4" s="1962"/>
      <c r="BHJ4" s="1962"/>
      <c r="BHK4" s="1962"/>
      <c r="BHL4" s="1962"/>
      <c r="BHM4" s="1962"/>
      <c r="BHN4" s="1962"/>
      <c r="BHO4" s="1962"/>
      <c r="BHP4" s="1962"/>
      <c r="BHQ4" s="1962"/>
      <c r="BHR4" s="1962"/>
      <c r="BHS4" s="1962"/>
      <c r="BHT4" s="1962"/>
      <c r="BHU4" s="1962"/>
      <c r="BHV4" s="1962"/>
      <c r="BHW4" s="1962"/>
      <c r="BHX4" s="1962"/>
      <c r="BHY4" s="1962"/>
      <c r="BHZ4" s="1962"/>
      <c r="BIA4" s="1962"/>
      <c r="BIB4" s="1962"/>
      <c r="BIC4" s="1962"/>
      <c r="BID4" s="1962"/>
      <c r="BIE4" s="1962"/>
      <c r="BIF4" s="1962"/>
      <c r="BIG4" s="1962"/>
      <c r="BIH4" s="1962"/>
      <c r="BII4" s="1962"/>
      <c r="BIJ4" s="1962"/>
      <c r="BIK4" s="1962"/>
      <c r="BIL4" s="1962"/>
      <c r="BIM4" s="1962"/>
      <c r="BIN4" s="1962"/>
      <c r="BIO4" s="1962"/>
      <c r="BIP4" s="1962"/>
      <c r="BIQ4" s="1962"/>
      <c r="BIR4" s="1962"/>
      <c r="BIS4" s="1962"/>
      <c r="BIT4" s="1962"/>
      <c r="BIU4" s="1962"/>
      <c r="BIV4" s="1962"/>
      <c r="BIW4" s="1962"/>
      <c r="BIX4" s="1962"/>
      <c r="BIY4" s="1962"/>
      <c r="BIZ4" s="1962"/>
      <c r="BJA4" s="1962"/>
      <c r="BJB4" s="1962"/>
      <c r="BJC4" s="1962"/>
      <c r="BJD4" s="1962"/>
      <c r="BJE4" s="1962"/>
      <c r="BJF4" s="1962"/>
      <c r="BJG4" s="1962"/>
      <c r="BJH4" s="1962"/>
      <c r="BJI4" s="1962"/>
      <c r="BJJ4" s="1962"/>
      <c r="BJK4" s="1962"/>
      <c r="BJL4" s="1962"/>
      <c r="BJM4" s="1962"/>
      <c r="BJN4" s="1962"/>
      <c r="BJO4" s="1962"/>
      <c r="BJP4" s="1962"/>
      <c r="BJQ4" s="1962"/>
      <c r="BJR4" s="1962"/>
      <c r="BJS4" s="1962"/>
      <c r="BJT4" s="1962"/>
      <c r="BJU4" s="1962"/>
      <c r="BJV4" s="1962"/>
      <c r="BJW4" s="1962"/>
      <c r="BJX4" s="1962"/>
      <c r="BJY4" s="1962"/>
      <c r="BJZ4" s="1962"/>
      <c r="BKA4" s="1962"/>
      <c r="BKB4" s="1962"/>
      <c r="BKC4" s="1962"/>
      <c r="BKD4" s="1962"/>
      <c r="BKE4" s="1962"/>
      <c r="BKF4" s="1962"/>
      <c r="BKG4" s="1962"/>
      <c r="BKH4" s="1962"/>
      <c r="BKI4" s="1962"/>
      <c r="BKJ4" s="1962"/>
      <c r="BKK4" s="1962"/>
      <c r="BKL4" s="1962"/>
      <c r="BKM4" s="1962"/>
      <c r="BKN4" s="1962"/>
      <c r="BKO4" s="1962"/>
      <c r="BKP4" s="1962"/>
      <c r="BKQ4" s="1962"/>
      <c r="BKR4" s="1962"/>
      <c r="BKS4" s="1962"/>
      <c r="BKT4" s="1962"/>
      <c r="BKU4" s="1962"/>
      <c r="BKV4" s="1962"/>
      <c r="BKW4" s="1962"/>
      <c r="BKX4" s="1962"/>
      <c r="BKY4" s="1962"/>
      <c r="BKZ4" s="1962"/>
      <c r="BLA4" s="1962"/>
      <c r="BLB4" s="1962"/>
      <c r="BLC4" s="1962"/>
      <c r="BLD4" s="1962"/>
      <c r="BLE4" s="1962"/>
      <c r="BLF4" s="1962"/>
      <c r="BLG4" s="1962"/>
      <c r="BLH4" s="1962"/>
      <c r="BLI4" s="1962"/>
      <c r="BLJ4" s="1962"/>
      <c r="BLK4" s="1962"/>
      <c r="BLL4" s="1962"/>
      <c r="BLM4" s="1962"/>
      <c r="BLN4" s="1962"/>
      <c r="BLO4" s="1962"/>
      <c r="BLP4" s="1962"/>
      <c r="BLQ4" s="1962"/>
      <c r="BLR4" s="1962"/>
      <c r="BLS4" s="1962"/>
      <c r="BLT4" s="1962"/>
      <c r="BLU4" s="1962"/>
      <c r="BLV4" s="1962"/>
      <c r="BLW4" s="1962"/>
      <c r="BLX4" s="1962"/>
      <c r="BLY4" s="1962"/>
      <c r="BLZ4" s="1962"/>
      <c r="BMA4" s="1962"/>
      <c r="BMB4" s="1962"/>
      <c r="BMC4" s="1962"/>
      <c r="BMD4" s="1962"/>
      <c r="BME4" s="1962"/>
      <c r="BMF4" s="1962"/>
      <c r="BMG4" s="1962"/>
      <c r="BMH4" s="1962"/>
      <c r="BMI4" s="1962"/>
      <c r="BMJ4" s="1962"/>
      <c r="BMK4" s="1962"/>
      <c r="BML4" s="1962"/>
      <c r="BMM4" s="1962"/>
      <c r="BMN4" s="1962"/>
      <c r="BMO4" s="1962"/>
      <c r="BMP4" s="1962"/>
      <c r="BMQ4" s="1962"/>
      <c r="BMR4" s="1962"/>
      <c r="BMS4" s="1962"/>
      <c r="BMT4" s="1962"/>
      <c r="BMU4" s="1962"/>
      <c r="BMV4" s="1962"/>
      <c r="BMW4" s="1962"/>
      <c r="BMX4" s="1962"/>
      <c r="BMY4" s="1962"/>
      <c r="BMZ4" s="1962"/>
      <c r="BNA4" s="1962"/>
      <c r="BNB4" s="1962"/>
      <c r="BNC4" s="1962"/>
      <c r="BND4" s="1962"/>
      <c r="BNE4" s="1962"/>
      <c r="BNF4" s="1962"/>
      <c r="BNG4" s="1962"/>
      <c r="BNH4" s="1962"/>
      <c r="BNI4" s="1962"/>
      <c r="BNJ4" s="1962"/>
      <c r="BNK4" s="1962"/>
      <c r="BNL4" s="1962"/>
      <c r="BNM4" s="1962"/>
      <c r="BNN4" s="1962"/>
      <c r="BNO4" s="1962"/>
      <c r="BNP4" s="1962"/>
      <c r="BNQ4" s="1962"/>
      <c r="BNR4" s="1962"/>
      <c r="BNS4" s="1962"/>
      <c r="BNT4" s="1962"/>
      <c r="BNU4" s="1962"/>
      <c r="BNV4" s="1962"/>
      <c r="BNW4" s="1962"/>
      <c r="BNX4" s="1962"/>
      <c r="BNY4" s="1962"/>
      <c r="BNZ4" s="1962"/>
      <c r="BOA4" s="1962"/>
      <c r="BOB4" s="1962"/>
      <c r="BOC4" s="1962"/>
      <c r="BOD4" s="1962"/>
      <c r="BOE4" s="1962"/>
      <c r="BOF4" s="1962"/>
      <c r="BOG4" s="1962"/>
      <c r="BOH4" s="1962"/>
      <c r="BOI4" s="1962"/>
      <c r="BOJ4" s="1962"/>
      <c r="BOK4" s="1962"/>
      <c r="BOL4" s="1962"/>
      <c r="BOM4" s="1962"/>
      <c r="BON4" s="1962"/>
      <c r="BOO4" s="1962"/>
      <c r="BOP4" s="1962"/>
      <c r="BOQ4" s="1962"/>
      <c r="BOR4" s="1962"/>
      <c r="BOS4" s="1962"/>
      <c r="BOT4" s="1962"/>
      <c r="BOU4" s="1962"/>
      <c r="BOV4" s="1962"/>
      <c r="BOW4" s="1962"/>
      <c r="BOX4" s="1962"/>
      <c r="BOY4" s="1962"/>
      <c r="BOZ4" s="1962"/>
      <c r="BPA4" s="1962"/>
      <c r="BPB4" s="1962"/>
      <c r="BPC4" s="1962"/>
      <c r="BPD4" s="1962"/>
      <c r="BPE4" s="1962"/>
      <c r="BPF4" s="1962"/>
      <c r="BPG4" s="1962"/>
      <c r="BPH4" s="1962"/>
      <c r="BPI4" s="1962"/>
      <c r="BPJ4" s="1962"/>
      <c r="BPK4" s="1962"/>
      <c r="BPL4" s="1962"/>
      <c r="BPM4" s="1962"/>
      <c r="BPN4" s="1962"/>
      <c r="BPO4" s="1962"/>
      <c r="BPP4" s="1962"/>
      <c r="BPQ4" s="1962"/>
      <c r="BPR4" s="1962"/>
      <c r="BPS4" s="1962"/>
      <c r="BPT4" s="1962"/>
      <c r="BPU4" s="1962"/>
      <c r="BPV4" s="1962"/>
      <c r="BPW4" s="1962"/>
      <c r="BPX4" s="1962"/>
      <c r="BPY4" s="1962"/>
      <c r="BPZ4" s="1962"/>
      <c r="BQA4" s="1962"/>
      <c r="BQB4" s="1962"/>
      <c r="BQC4" s="1962"/>
      <c r="BQD4" s="1962"/>
      <c r="BQE4" s="1962"/>
      <c r="BQF4" s="1962"/>
      <c r="BQG4" s="1962"/>
      <c r="BQH4" s="1962"/>
      <c r="BQI4" s="1962"/>
      <c r="BQJ4" s="1962"/>
      <c r="BQK4" s="1962"/>
      <c r="BQL4" s="1962"/>
      <c r="BQM4" s="1962"/>
      <c r="BQN4" s="1962"/>
      <c r="BQO4" s="1962"/>
      <c r="BQP4" s="1962"/>
      <c r="BQQ4" s="1962"/>
      <c r="BQR4" s="1962"/>
      <c r="BQS4" s="1962"/>
      <c r="BQT4" s="1962"/>
      <c r="BQU4" s="1962"/>
      <c r="BQV4" s="1962"/>
      <c r="BQW4" s="1962"/>
      <c r="BQX4" s="1962"/>
      <c r="BQY4" s="1962"/>
      <c r="BQZ4" s="1962"/>
      <c r="BRA4" s="1962"/>
      <c r="BRB4" s="1962"/>
      <c r="BRC4" s="1962"/>
      <c r="BRD4" s="1962"/>
      <c r="BRE4" s="1962"/>
      <c r="BRF4" s="1962"/>
      <c r="BRG4" s="1962"/>
      <c r="BRH4" s="1962"/>
      <c r="BRI4" s="1962"/>
      <c r="BRJ4" s="1962"/>
      <c r="BRK4" s="1962"/>
      <c r="BRL4" s="1962"/>
      <c r="BRM4" s="1962"/>
      <c r="BRN4" s="1962"/>
      <c r="BRO4" s="1962"/>
      <c r="BRP4" s="1962"/>
      <c r="BRQ4" s="1962"/>
      <c r="BRR4" s="1962"/>
      <c r="BRS4" s="1962"/>
      <c r="BRT4" s="1962"/>
      <c r="BRU4" s="1962"/>
      <c r="BRV4" s="1962"/>
      <c r="BRW4" s="1962"/>
      <c r="BRX4" s="1962"/>
      <c r="BRY4" s="1962"/>
      <c r="BRZ4" s="1962"/>
      <c r="BSA4" s="1962"/>
      <c r="BSB4" s="1962"/>
      <c r="BSC4" s="1962"/>
      <c r="BSD4" s="1962"/>
      <c r="BSE4" s="1962"/>
      <c r="BSF4" s="1962"/>
      <c r="BSG4" s="1962"/>
      <c r="BSH4" s="1962"/>
      <c r="BSI4" s="1962"/>
      <c r="BSJ4" s="1962"/>
      <c r="BSK4" s="1962"/>
      <c r="BSL4" s="1962"/>
      <c r="BSM4" s="1962"/>
      <c r="BSN4" s="1962"/>
      <c r="BSO4" s="1962"/>
      <c r="BSP4" s="1962"/>
      <c r="BSQ4" s="1962"/>
      <c r="BSR4" s="1962"/>
      <c r="BSS4" s="1962"/>
      <c r="BST4" s="1962"/>
      <c r="BSU4" s="1962"/>
      <c r="BSV4" s="1962"/>
      <c r="BSW4" s="1962"/>
      <c r="BSX4" s="1962"/>
      <c r="BSY4" s="1962"/>
      <c r="BSZ4" s="1962"/>
      <c r="BTA4" s="1962"/>
      <c r="BTB4" s="1962"/>
      <c r="BTC4" s="1962"/>
      <c r="BTD4" s="1962"/>
      <c r="BTE4" s="1962"/>
      <c r="BTF4" s="1962"/>
      <c r="BTG4" s="1962"/>
      <c r="BTH4" s="1962"/>
      <c r="BTI4" s="1962"/>
      <c r="BTJ4" s="1962"/>
      <c r="BTK4" s="1962"/>
      <c r="BTL4" s="1962"/>
      <c r="BTM4" s="1962"/>
      <c r="BTN4" s="1962"/>
      <c r="BTO4" s="1962"/>
      <c r="BTP4" s="1962"/>
      <c r="BTQ4" s="1962"/>
      <c r="BTR4" s="1962"/>
      <c r="BTS4" s="1962"/>
      <c r="BTT4" s="1962"/>
      <c r="BTU4" s="1962"/>
      <c r="BTV4" s="1962"/>
      <c r="BTW4" s="1962"/>
      <c r="BTX4" s="1962"/>
      <c r="BTY4" s="1962"/>
      <c r="BTZ4" s="1962"/>
      <c r="BUA4" s="1962"/>
      <c r="BUB4" s="1962"/>
      <c r="BUC4" s="1962"/>
      <c r="BUD4" s="1962"/>
      <c r="BUE4" s="1962"/>
      <c r="BUF4" s="1962"/>
      <c r="BUG4" s="1962"/>
      <c r="BUH4" s="1962"/>
      <c r="BUI4" s="1962"/>
      <c r="BUJ4" s="1962"/>
      <c r="BUK4" s="1962"/>
      <c r="BUL4" s="1962"/>
      <c r="BUM4" s="1962"/>
      <c r="BUN4" s="1962"/>
      <c r="BUO4" s="1962"/>
      <c r="BUP4" s="1962"/>
      <c r="BUQ4" s="1962"/>
      <c r="BUR4" s="1962"/>
      <c r="BUS4" s="1962"/>
      <c r="BUT4" s="1962"/>
      <c r="BUU4" s="1962"/>
      <c r="BUV4" s="1962"/>
      <c r="BUW4" s="1962"/>
      <c r="BUX4" s="1962"/>
      <c r="BUY4" s="1962"/>
      <c r="BUZ4" s="1962"/>
      <c r="BVA4" s="1962"/>
      <c r="BVB4" s="1962"/>
      <c r="BVC4" s="1962"/>
      <c r="BVD4" s="1962"/>
      <c r="BVE4" s="1962"/>
      <c r="BVF4" s="1962"/>
      <c r="BVG4" s="1962"/>
      <c r="BVH4" s="1962"/>
      <c r="BVI4" s="1962"/>
      <c r="BVJ4" s="1962"/>
      <c r="BVK4" s="1962"/>
      <c r="BVL4" s="1962"/>
      <c r="BVM4" s="1962"/>
      <c r="BVN4" s="1962"/>
      <c r="BVO4" s="1962"/>
      <c r="BVP4" s="1962"/>
      <c r="BVQ4" s="1962"/>
      <c r="BVR4" s="1962"/>
      <c r="BVS4" s="1962"/>
      <c r="BVT4" s="1962"/>
      <c r="BVU4" s="1962"/>
      <c r="BVV4" s="1962"/>
      <c r="BVW4" s="1962"/>
      <c r="BVX4" s="1962"/>
      <c r="BVY4" s="1962"/>
      <c r="BVZ4" s="1962"/>
      <c r="BWA4" s="1962"/>
      <c r="BWB4" s="1962"/>
      <c r="BWC4" s="1962"/>
      <c r="BWD4" s="1962"/>
      <c r="BWE4" s="1962"/>
      <c r="BWF4" s="1962"/>
      <c r="BWG4" s="1962"/>
      <c r="BWH4" s="1962"/>
      <c r="BWI4" s="1962"/>
      <c r="BWJ4" s="1962"/>
      <c r="BWK4" s="1962"/>
      <c r="BWL4" s="1962"/>
      <c r="BWM4" s="1962"/>
      <c r="BWN4" s="1962"/>
      <c r="BWO4" s="1962"/>
      <c r="BWP4" s="1962"/>
      <c r="BWQ4" s="1962"/>
      <c r="BWR4" s="1962"/>
      <c r="BWS4" s="1962"/>
      <c r="BWT4" s="1962"/>
      <c r="BWU4" s="1962"/>
      <c r="BWV4" s="1962"/>
      <c r="BWW4" s="1962"/>
      <c r="BWX4" s="1962"/>
      <c r="BWY4" s="1962"/>
      <c r="BWZ4" s="1962"/>
      <c r="BXA4" s="1962"/>
      <c r="BXB4" s="1962"/>
      <c r="BXC4" s="1962"/>
      <c r="BXD4" s="1962"/>
      <c r="BXE4" s="1962"/>
      <c r="BXF4" s="1962"/>
      <c r="BXG4" s="1962"/>
      <c r="BXH4" s="1962"/>
      <c r="BXI4" s="1962"/>
      <c r="BXJ4" s="1962"/>
      <c r="BXK4" s="1962"/>
      <c r="BXL4" s="1962"/>
      <c r="BXM4" s="1962"/>
      <c r="BXN4" s="1962"/>
      <c r="BXO4" s="1962"/>
      <c r="BXP4" s="1962"/>
      <c r="BXQ4" s="1962"/>
      <c r="BXR4" s="1962"/>
      <c r="BXS4" s="1962"/>
      <c r="BXT4" s="1962"/>
      <c r="BXU4" s="1962"/>
      <c r="BXV4" s="1962"/>
      <c r="BXW4" s="1962"/>
      <c r="BXX4" s="1962"/>
      <c r="BXY4" s="1962"/>
      <c r="BXZ4" s="1962"/>
      <c r="BYA4" s="1962"/>
      <c r="BYB4" s="1962"/>
      <c r="BYC4" s="1962"/>
      <c r="BYD4" s="1962"/>
      <c r="BYE4" s="1962"/>
      <c r="BYF4" s="1962"/>
      <c r="BYG4" s="1962"/>
      <c r="BYH4" s="1962"/>
      <c r="BYI4" s="1962"/>
      <c r="BYJ4" s="1962"/>
      <c r="BYK4" s="1962"/>
      <c r="BYL4" s="1962"/>
      <c r="BYM4" s="1962"/>
      <c r="BYN4" s="1962"/>
      <c r="BYO4" s="1962"/>
      <c r="BYP4" s="1962"/>
      <c r="BYQ4" s="1962"/>
      <c r="BYR4" s="1962"/>
      <c r="BYS4" s="1962"/>
      <c r="BYT4" s="1962"/>
      <c r="BYU4" s="1962"/>
      <c r="BYV4" s="1962"/>
      <c r="BYW4" s="1962"/>
      <c r="BYX4" s="1962"/>
      <c r="BYY4" s="1962"/>
      <c r="BYZ4" s="1962"/>
      <c r="BZA4" s="1962"/>
      <c r="BZB4" s="1962"/>
      <c r="BZC4" s="1962"/>
      <c r="BZD4" s="1962"/>
      <c r="BZE4" s="1962"/>
      <c r="BZF4" s="1962"/>
      <c r="BZG4" s="1962"/>
      <c r="BZH4" s="1962"/>
      <c r="BZI4" s="1962"/>
      <c r="BZJ4" s="1962"/>
      <c r="BZK4" s="1962"/>
      <c r="BZL4" s="1962"/>
      <c r="BZM4" s="1962"/>
      <c r="BZN4" s="1962"/>
      <c r="BZO4" s="1962"/>
      <c r="BZP4" s="1962"/>
      <c r="BZQ4" s="1962"/>
      <c r="BZR4" s="1962"/>
      <c r="BZS4" s="1962"/>
      <c r="BZT4" s="1962"/>
      <c r="BZU4" s="1962"/>
      <c r="BZV4" s="1962"/>
      <c r="BZW4" s="1962"/>
      <c r="BZX4" s="1962"/>
      <c r="BZY4" s="1962"/>
      <c r="BZZ4" s="1962"/>
      <c r="CAA4" s="1962"/>
      <c r="CAB4" s="1962"/>
      <c r="CAC4" s="1962"/>
      <c r="CAD4" s="1962"/>
      <c r="CAE4" s="1962"/>
      <c r="CAF4" s="1962"/>
      <c r="CAG4" s="1962"/>
      <c r="CAH4" s="1962"/>
      <c r="CAI4" s="1962"/>
      <c r="CAJ4" s="1962"/>
      <c r="CAK4" s="1962"/>
      <c r="CAL4" s="1962"/>
      <c r="CAM4" s="1962"/>
      <c r="CAN4" s="1962"/>
      <c r="CAO4" s="1962"/>
      <c r="CAP4" s="1962"/>
      <c r="CAQ4" s="1962"/>
      <c r="CAR4" s="1962"/>
      <c r="CAS4" s="1962"/>
      <c r="CAT4" s="1962"/>
      <c r="CAU4" s="1962"/>
      <c r="CAV4" s="1962"/>
      <c r="CAW4" s="1962"/>
      <c r="CAX4" s="1962"/>
      <c r="CAY4" s="1962"/>
      <c r="CAZ4" s="1962"/>
      <c r="CBA4" s="1962"/>
      <c r="CBB4" s="1962"/>
      <c r="CBC4" s="1962"/>
      <c r="CBD4" s="1962"/>
      <c r="CBE4" s="1962"/>
      <c r="CBF4" s="1962"/>
      <c r="CBG4" s="1962"/>
      <c r="CBH4" s="1962"/>
      <c r="CBI4" s="1962"/>
      <c r="CBJ4" s="1962"/>
      <c r="CBK4" s="1962"/>
      <c r="CBL4" s="1962"/>
      <c r="CBM4" s="1962"/>
      <c r="CBN4" s="1962"/>
      <c r="CBO4" s="1962"/>
      <c r="CBP4" s="1962"/>
      <c r="CBQ4" s="1962"/>
      <c r="CBR4" s="1962"/>
      <c r="CBS4" s="1962"/>
      <c r="CBT4" s="1962"/>
      <c r="CBU4" s="1962"/>
      <c r="CBV4" s="1962"/>
      <c r="CBW4" s="1962"/>
      <c r="CBX4" s="1962"/>
      <c r="CBY4" s="1962"/>
      <c r="CBZ4" s="1962"/>
      <c r="CCA4" s="1962"/>
      <c r="CCB4" s="1962"/>
      <c r="CCC4" s="1962"/>
      <c r="CCD4" s="1962"/>
      <c r="CCE4" s="1962"/>
      <c r="CCF4" s="1962"/>
      <c r="CCG4" s="1962"/>
      <c r="CCH4" s="1962"/>
      <c r="CCI4" s="1962"/>
      <c r="CCJ4" s="1962"/>
      <c r="CCK4" s="1962"/>
      <c r="CCL4" s="1962"/>
      <c r="CCM4" s="1962"/>
      <c r="CCN4" s="1962"/>
      <c r="CCO4" s="1962"/>
      <c r="CCP4" s="1962"/>
      <c r="CCQ4" s="1962"/>
      <c r="CCR4" s="1962"/>
      <c r="CCS4" s="1962"/>
      <c r="CCT4" s="1962"/>
      <c r="CCU4" s="1962"/>
      <c r="CCV4" s="1962"/>
      <c r="CCW4" s="1962"/>
      <c r="CCX4" s="1962"/>
      <c r="CCY4" s="1962"/>
      <c r="CCZ4" s="1962"/>
      <c r="CDA4" s="1962"/>
      <c r="CDB4" s="1962"/>
      <c r="CDC4" s="1962"/>
      <c r="CDD4" s="1962"/>
      <c r="CDE4" s="1962"/>
      <c r="CDF4" s="1962"/>
      <c r="CDG4" s="1962"/>
      <c r="CDH4" s="1962"/>
      <c r="CDI4" s="1962"/>
      <c r="CDJ4" s="1962"/>
      <c r="CDK4" s="1962"/>
      <c r="CDL4" s="1962"/>
      <c r="CDM4" s="1962"/>
      <c r="CDN4" s="1962"/>
      <c r="CDO4" s="1962"/>
      <c r="CDP4" s="1962"/>
      <c r="CDQ4" s="1962"/>
      <c r="CDR4" s="1962"/>
      <c r="CDS4" s="1962"/>
      <c r="CDT4" s="1962"/>
      <c r="CDU4" s="1962"/>
      <c r="CDV4" s="1962"/>
      <c r="CDW4" s="1962"/>
      <c r="CDX4" s="1962"/>
      <c r="CDY4" s="1962"/>
      <c r="CDZ4" s="1962"/>
      <c r="CEA4" s="1962"/>
      <c r="CEB4" s="1962"/>
      <c r="CEC4" s="1962"/>
      <c r="CED4" s="1962"/>
      <c r="CEE4" s="1962"/>
      <c r="CEF4" s="1962"/>
      <c r="CEG4" s="1962"/>
      <c r="CEH4" s="1962"/>
      <c r="CEI4" s="1962"/>
      <c r="CEJ4" s="1962"/>
      <c r="CEK4" s="1962"/>
      <c r="CEL4" s="1962"/>
      <c r="CEM4" s="1962"/>
      <c r="CEN4" s="1962"/>
      <c r="CEO4" s="1962"/>
      <c r="CEP4" s="1962"/>
      <c r="CEQ4" s="1962"/>
      <c r="CER4" s="1962"/>
      <c r="CES4" s="1962"/>
      <c r="CET4" s="1962"/>
      <c r="CEU4" s="1962"/>
      <c r="CEV4" s="1962"/>
      <c r="CEW4" s="1962"/>
      <c r="CEX4" s="1962"/>
      <c r="CEY4" s="1962"/>
      <c r="CEZ4" s="1962"/>
      <c r="CFA4" s="1962"/>
      <c r="CFB4" s="1962"/>
      <c r="CFC4" s="1962"/>
      <c r="CFD4" s="1962"/>
      <c r="CFE4" s="1962"/>
      <c r="CFF4" s="1962"/>
      <c r="CFG4" s="1962"/>
      <c r="CFH4" s="1962"/>
      <c r="CFI4" s="1962"/>
      <c r="CFJ4" s="1962"/>
      <c r="CFK4" s="1962"/>
      <c r="CFL4" s="1962"/>
      <c r="CFM4" s="1962"/>
      <c r="CFN4" s="1962"/>
      <c r="CFO4" s="1962"/>
      <c r="CFP4" s="1962"/>
      <c r="CFQ4" s="1962"/>
      <c r="CFR4" s="1962"/>
      <c r="CFS4" s="1962"/>
      <c r="CFT4" s="1962"/>
      <c r="CFU4" s="1962"/>
      <c r="CFV4" s="1962"/>
      <c r="CFW4" s="1962"/>
      <c r="CFX4" s="1962"/>
      <c r="CFY4" s="1962"/>
      <c r="CFZ4" s="1962"/>
      <c r="CGA4" s="1962"/>
      <c r="CGB4" s="1962"/>
      <c r="CGC4" s="1962"/>
      <c r="CGD4" s="1962"/>
      <c r="CGE4" s="1962"/>
      <c r="CGF4" s="1962"/>
      <c r="CGG4" s="1962"/>
      <c r="CGH4" s="1962"/>
      <c r="CGI4" s="1962"/>
      <c r="CGJ4" s="1962"/>
      <c r="CGK4" s="1962"/>
      <c r="CGL4" s="1962"/>
      <c r="CGM4" s="1962"/>
      <c r="CGN4" s="1962"/>
      <c r="CGO4" s="1962"/>
      <c r="CGP4" s="1962"/>
      <c r="CGQ4" s="1962"/>
      <c r="CGR4" s="1962"/>
      <c r="CGS4" s="1962"/>
      <c r="CGT4" s="1962"/>
      <c r="CGU4" s="1962"/>
      <c r="CGV4" s="1962"/>
      <c r="CGW4" s="1962"/>
      <c r="CGX4" s="1962"/>
      <c r="CGY4" s="1962"/>
      <c r="CGZ4" s="1962"/>
      <c r="CHA4" s="1962"/>
      <c r="CHB4" s="1962"/>
      <c r="CHC4" s="1962"/>
      <c r="CHD4" s="1962"/>
      <c r="CHE4" s="1962"/>
      <c r="CHF4" s="1962"/>
      <c r="CHG4" s="1962"/>
      <c r="CHH4" s="1962"/>
      <c r="CHI4" s="1962"/>
      <c r="CHJ4" s="1962"/>
      <c r="CHK4" s="1962"/>
      <c r="CHL4" s="1962"/>
      <c r="CHM4" s="1962"/>
      <c r="CHN4" s="1962"/>
      <c r="CHO4" s="1962"/>
      <c r="CHP4" s="1962"/>
      <c r="CHQ4" s="1962"/>
      <c r="CHR4" s="1962"/>
      <c r="CHS4" s="1962"/>
      <c r="CHT4" s="1962"/>
      <c r="CHU4" s="1962"/>
      <c r="CHV4" s="1962"/>
      <c r="CHW4" s="1962"/>
      <c r="CHX4" s="1962"/>
      <c r="CHY4" s="1962"/>
      <c r="CHZ4" s="1962"/>
      <c r="CIA4" s="1962"/>
      <c r="CIB4" s="1962"/>
      <c r="CIC4" s="1962"/>
      <c r="CID4" s="1962"/>
      <c r="CIE4" s="1962"/>
      <c r="CIF4" s="1962"/>
      <c r="CIG4" s="1962"/>
      <c r="CIH4" s="1962"/>
      <c r="CII4" s="1962"/>
      <c r="CIJ4" s="1962"/>
      <c r="CIK4" s="1962"/>
      <c r="CIL4" s="1962"/>
      <c r="CIM4" s="1962"/>
      <c r="CIN4" s="1962"/>
      <c r="CIO4" s="1962"/>
      <c r="CIP4" s="1962"/>
      <c r="CIQ4" s="1962"/>
      <c r="CIR4" s="1962"/>
      <c r="CIS4" s="1962"/>
      <c r="CIT4" s="1962"/>
      <c r="CIU4" s="1962"/>
      <c r="CIV4" s="1962"/>
      <c r="CIW4" s="1962"/>
      <c r="CIX4" s="1962"/>
      <c r="CIY4" s="1962"/>
      <c r="CIZ4" s="1962"/>
      <c r="CJA4" s="1962"/>
      <c r="CJB4" s="1962"/>
      <c r="CJC4" s="1962"/>
      <c r="CJD4" s="1962"/>
      <c r="CJE4" s="1962"/>
      <c r="CJF4" s="1962"/>
      <c r="CJG4" s="1962"/>
      <c r="CJH4" s="1962"/>
      <c r="CJI4" s="1962"/>
      <c r="CJJ4" s="1962"/>
      <c r="CJK4" s="1962"/>
      <c r="CJL4" s="1962"/>
      <c r="CJM4" s="1962"/>
      <c r="CJN4" s="1962"/>
      <c r="CJO4" s="1962"/>
      <c r="CJP4" s="1962"/>
      <c r="CJQ4" s="1962"/>
      <c r="CJR4" s="1962"/>
      <c r="CJS4" s="1962"/>
      <c r="CJT4" s="1962"/>
      <c r="CJU4" s="1962"/>
      <c r="CJV4" s="1962"/>
      <c r="CJW4" s="1962"/>
      <c r="CJX4" s="1962"/>
      <c r="CJY4" s="1962"/>
      <c r="CJZ4" s="1962"/>
      <c r="CKA4" s="1962"/>
      <c r="CKB4" s="1962"/>
      <c r="CKC4" s="1962"/>
      <c r="CKD4" s="1962"/>
      <c r="CKE4" s="1962"/>
      <c r="CKF4" s="1962"/>
      <c r="CKG4" s="1962"/>
      <c r="CKH4" s="1962"/>
      <c r="CKI4" s="1962"/>
      <c r="CKJ4" s="1962"/>
      <c r="CKK4" s="1962"/>
      <c r="CKL4" s="1962"/>
      <c r="CKM4" s="1962"/>
      <c r="CKN4" s="1962"/>
      <c r="CKO4" s="1962"/>
      <c r="CKP4" s="1962"/>
      <c r="CKQ4" s="1962"/>
      <c r="CKR4" s="1962"/>
      <c r="CKS4" s="1962"/>
      <c r="CKT4" s="1962"/>
      <c r="CKU4" s="1962"/>
      <c r="CKV4" s="1962"/>
      <c r="CKW4" s="1962"/>
      <c r="CKX4" s="1962"/>
      <c r="CKY4" s="1962"/>
      <c r="CKZ4" s="1962"/>
      <c r="CLA4" s="1962"/>
      <c r="CLB4" s="1962"/>
      <c r="CLC4" s="1962"/>
      <c r="CLD4" s="1962"/>
      <c r="CLE4" s="1962"/>
      <c r="CLF4" s="1962"/>
      <c r="CLG4" s="1962"/>
      <c r="CLH4" s="1962"/>
      <c r="CLI4" s="1962"/>
      <c r="CLJ4" s="1962"/>
      <c r="CLK4" s="1962"/>
      <c r="CLL4" s="1962"/>
      <c r="CLM4" s="1962"/>
      <c r="CLN4" s="1962"/>
      <c r="CLO4" s="1962"/>
      <c r="CLP4" s="1962"/>
      <c r="CLQ4" s="1962"/>
      <c r="CLR4" s="1962"/>
      <c r="CLS4" s="1962"/>
      <c r="CLT4" s="1962"/>
      <c r="CLU4" s="1962"/>
      <c r="CLV4" s="1962"/>
      <c r="CLW4" s="1962"/>
      <c r="CLX4" s="1962"/>
      <c r="CLY4" s="1962"/>
      <c r="CLZ4" s="1962"/>
      <c r="CMA4" s="1962"/>
      <c r="CMB4" s="1962"/>
      <c r="CMC4" s="1962"/>
      <c r="CMD4" s="1962"/>
      <c r="CME4" s="1962"/>
      <c r="CMF4" s="1962"/>
      <c r="CMG4" s="1962"/>
      <c r="CMH4" s="1962"/>
      <c r="CMI4" s="1962"/>
      <c r="CMJ4" s="1962"/>
      <c r="CMK4" s="1962"/>
      <c r="CML4" s="1962"/>
      <c r="CMM4" s="1962"/>
      <c r="CMN4" s="1962"/>
      <c r="CMO4" s="1962"/>
      <c r="CMP4" s="1962"/>
      <c r="CMQ4" s="1962"/>
      <c r="CMR4" s="1962"/>
      <c r="CMS4" s="1962"/>
      <c r="CMT4" s="1962"/>
      <c r="CMU4" s="1962"/>
      <c r="CMV4" s="1962"/>
      <c r="CMW4" s="1962"/>
      <c r="CMX4" s="1962"/>
      <c r="CMY4" s="1962"/>
      <c r="CMZ4" s="1962"/>
      <c r="CNA4" s="1962"/>
      <c r="CNB4" s="1962"/>
      <c r="CNC4" s="1962"/>
      <c r="CND4" s="1962"/>
      <c r="CNE4" s="1962"/>
      <c r="CNF4" s="1962"/>
      <c r="CNG4" s="1962"/>
      <c r="CNH4" s="1962"/>
      <c r="CNI4" s="1962"/>
      <c r="CNJ4" s="1962"/>
      <c r="CNK4" s="1962"/>
      <c r="CNL4" s="1962"/>
      <c r="CNM4" s="1962"/>
      <c r="CNN4" s="1962"/>
      <c r="CNO4" s="1962"/>
      <c r="CNP4" s="1962"/>
      <c r="CNQ4" s="1962"/>
      <c r="CNR4" s="1962"/>
      <c r="CNS4" s="1962"/>
      <c r="CNT4" s="1962"/>
      <c r="CNU4" s="1962"/>
      <c r="CNV4" s="1962"/>
      <c r="CNW4" s="1962"/>
      <c r="CNX4" s="1962"/>
      <c r="CNY4" s="1962"/>
      <c r="CNZ4" s="1962"/>
      <c r="COA4" s="1962"/>
      <c r="COB4" s="1962"/>
      <c r="COC4" s="1962"/>
      <c r="COD4" s="1962"/>
      <c r="COE4" s="1962"/>
      <c r="COF4" s="1962"/>
      <c r="COG4" s="1962"/>
      <c r="COH4" s="1962"/>
      <c r="COI4" s="1962"/>
      <c r="COJ4" s="1962"/>
      <c r="COK4" s="1962"/>
      <c r="COL4" s="1962"/>
      <c r="COM4" s="1962"/>
      <c r="CON4" s="1962"/>
      <c r="COO4" s="1962"/>
      <c r="COP4" s="1962"/>
      <c r="COQ4" s="1962"/>
      <c r="COR4" s="1962"/>
      <c r="COS4" s="1962"/>
      <c r="COT4" s="1962"/>
      <c r="COU4" s="1962"/>
      <c r="COV4" s="1962"/>
      <c r="COW4" s="1962"/>
      <c r="COX4" s="1962"/>
      <c r="COY4" s="1962"/>
      <c r="COZ4" s="1962"/>
      <c r="CPA4" s="1962"/>
      <c r="CPB4" s="1962"/>
      <c r="CPC4" s="1962"/>
      <c r="CPD4" s="1962"/>
      <c r="CPE4" s="1962"/>
      <c r="CPF4" s="1962"/>
      <c r="CPG4" s="1962"/>
      <c r="CPH4" s="1962"/>
      <c r="CPI4" s="1962"/>
      <c r="CPJ4" s="1962"/>
      <c r="CPK4" s="1962"/>
      <c r="CPL4" s="1962"/>
      <c r="CPM4" s="1962"/>
      <c r="CPN4" s="1962"/>
      <c r="CPO4" s="1962"/>
      <c r="CPP4" s="1962"/>
      <c r="CPQ4" s="1962"/>
      <c r="CPR4" s="1962"/>
      <c r="CPS4" s="1962"/>
      <c r="CPT4" s="1962"/>
      <c r="CPU4" s="1962"/>
      <c r="CPV4" s="1962"/>
      <c r="CPW4" s="1962"/>
      <c r="CPX4" s="1962"/>
      <c r="CPY4" s="1962"/>
      <c r="CPZ4" s="1962"/>
      <c r="CQA4" s="1962"/>
      <c r="CQB4" s="1962"/>
      <c r="CQC4" s="1962"/>
      <c r="CQD4" s="1962"/>
      <c r="CQE4" s="1962"/>
      <c r="CQF4" s="1962"/>
      <c r="CQG4" s="1962"/>
      <c r="CQH4" s="1962"/>
      <c r="CQI4" s="1962"/>
      <c r="CQJ4" s="1962"/>
      <c r="CQK4" s="1962"/>
      <c r="CQL4" s="1962"/>
      <c r="CQM4" s="1962"/>
      <c r="CQN4" s="1962"/>
      <c r="CQO4" s="1962"/>
      <c r="CQP4" s="1962"/>
      <c r="CQQ4" s="1962"/>
      <c r="CQR4" s="1962"/>
      <c r="CQS4" s="1962"/>
      <c r="CQT4" s="1962"/>
      <c r="CQU4" s="1962"/>
      <c r="CQV4" s="1962"/>
      <c r="CQW4" s="1962"/>
      <c r="CQX4" s="1962"/>
      <c r="CQY4" s="1962"/>
      <c r="CQZ4" s="1962"/>
      <c r="CRA4" s="1962"/>
      <c r="CRB4" s="1962"/>
      <c r="CRC4" s="1962"/>
      <c r="CRD4" s="1962"/>
      <c r="CRE4" s="1962"/>
      <c r="CRF4" s="1962"/>
      <c r="CRG4" s="1962"/>
      <c r="CRH4" s="1962"/>
      <c r="CRI4" s="1962"/>
      <c r="CRJ4" s="1962"/>
      <c r="CRK4" s="1962"/>
      <c r="CRL4" s="1962"/>
      <c r="CRM4" s="1962"/>
      <c r="CRN4" s="1962"/>
      <c r="CRO4" s="1962"/>
      <c r="CRP4" s="1962"/>
      <c r="CRQ4" s="1962"/>
      <c r="CRR4" s="1962"/>
      <c r="CRS4" s="1962"/>
      <c r="CRT4" s="1962"/>
      <c r="CRU4" s="1962"/>
      <c r="CRV4" s="1962"/>
      <c r="CRW4" s="1962"/>
      <c r="CRX4" s="1962"/>
      <c r="CRY4" s="1962"/>
      <c r="CRZ4" s="1962"/>
      <c r="CSA4" s="1962"/>
      <c r="CSB4" s="1962"/>
      <c r="CSC4" s="1962"/>
      <c r="CSD4" s="1962"/>
      <c r="CSE4" s="1962"/>
      <c r="CSF4" s="1962"/>
      <c r="CSG4" s="1962"/>
      <c r="CSH4" s="1962"/>
      <c r="CSI4" s="1962"/>
      <c r="CSJ4" s="1962"/>
      <c r="CSK4" s="1962"/>
      <c r="CSL4" s="1962"/>
      <c r="CSM4" s="1962"/>
      <c r="CSN4" s="1962"/>
      <c r="CSO4" s="1962"/>
      <c r="CSP4" s="1962"/>
      <c r="CSQ4" s="1962"/>
      <c r="CSR4" s="1962"/>
      <c r="CSS4" s="1962"/>
      <c r="CST4" s="1962"/>
      <c r="CSU4" s="1962"/>
      <c r="CSV4" s="1962"/>
      <c r="CSW4" s="1962"/>
      <c r="CSX4" s="1962"/>
      <c r="CSY4" s="1962"/>
      <c r="CSZ4" s="1962"/>
      <c r="CTA4" s="1962"/>
      <c r="CTB4" s="1962"/>
      <c r="CTC4" s="1962"/>
      <c r="CTD4" s="1962"/>
      <c r="CTE4" s="1962"/>
      <c r="CTF4" s="1962"/>
      <c r="CTG4" s="1962"/>
      <c r="CTH4" s="1962"/>
      <c r="CTI4" s="1962"/>
      <c r="CTJ4" s="1962"/>
      <c r="CTK4" s="1962"/>
      <c r="CTL4" s="1962"/>
      <c r="CTM4" s="1962"/>
      <c r="CTN4" s="1962"/>
      <c r="CTO4" s="1962"/>
      <c r="CTP4" s="1962"/>
      <c r="CTQ4" s="1962"/>
      <c r="CTR4" s="1962"/>
      <c r="CTS4" s="1962"/>
      <c r="CTT4" s="1962"/>
      <c r="CTU4" s="1962"/>
      <c r="CTV4" s="1962"/>
      <c r="CTW4" s="1962"/>
      <c r="CTX4" s="1962"/>
      <c r="CTY4" s="1962"/>
      <c r="CTZ4" s="1962"/>
      <c r="CUA4" s="1962"/>
      <c r="CUB4" s="1962"/>
      <c r="CUC4" s="1962"/>
      <c r="CUD4" s="1962"/>
      <c r="CUE4" s="1962"/>
      <c r="CUF4" s="1962"/>
      <c r="CUG4" s="1962"/>
      <c r="CUH4" s="1962"/>
      <c r="CUI4" s="1962"/>
      <c r="CUJ4" s="1962"/>
      <c r="CUK4" s="1962"/>
      <c r="CUL4" s="1962"/>
      <c r="CUM4" s="1962"/>
      <c r="CUN4" s="1962"/>
      <c r="CUO4" s="1962"/>
      <c r="CUP4" s="1962"/>
      <c r="CUQ4" s="1962"/>
      <c r="CUR4" s="1962"/>
      <c r="CUS4" s="1962"/>
      <c r="CUT4" s="1962"/>
      <c r="CUU4" s="1962"/>
      <c r="CUV4" s="1962"/>
      <c r="CUW4" s="1962"/>
      <c r="CUX4" s="1962"/>
      <c r="CUY4" s="1962"/>
      <c r="CUZ4" s="1962"/>
      <c r="CVA4" s="1962"/>
      <c r="CVB4" s="1962"/>
      <c r="CVC4" s="1962"/>
      <c r="CVD4" s="1962"/>
      <c r="CVE4" s="1962"/>
      <c r="CVF4" s="1962"/>
      <c r="CVG4" s="1962"/>
      <c r="CVH4" s="1962"/>
      <c r="CVI4" s="1962"/>
      <c r="CVJ4" s="1962"/>
      <c r="CVK4" s="1962"/>
      <c r="CVL4" s="1962"/>
      <c r="CVM4" s="1962"/>
      <c r="CVN4" s="1962"/>
      <c r="CVO4" s="1962"/>
      <c r="CVP4" s="1962"/>
      <c r="CVQ4" s="1962"/>
      <c r="CVR4" s="1962"/>
      <c r="CVS4" s="1962"/>
      <c r="CVT4" s="1962"/>
      <c r="CVU4" s="1962"/>
      <c r="CVV4" s="1962"/>
      <c r="CVW4" s="1962"/>
      <c r="CVX4" s="1962"/>
      <c r="CVY4" s="1962"/>
      <c r="CVZ4" s="1962"/>
      <c r="CWA4" s="1962"/>
      <c r="CWB4" s="1962"/>
      <c r="CWC4" s="1962"/>
      <c r="CWD4" s="1962"/>
      <c r="CWE4" s="1962"/>
      <c r="CWF4" s="1962"/>
      <c r="CWG4" s="1962"/>
      <c r="CWH4" s="1962"/>
      <c r="CWI4" s="1962"/>
      <c r="CWJ4" s="1962"/>
      <c r="CWK4" s="1962"/>
      <c r="CWL4" s="1962"/>
      <c r="CWM4" s="1962"/>
      <c r="CWN4" s="1962"/>
      <c r="CWO4" s="1962"/>
      <c r="CWP4" s="1962"/>
      <c r="CWQ4" s="1962"/>
      <c r="CWR4" s="1962"/>
      <c r="CWS4" s="1962"/>
      <c r="CWT4" s="1962"/>
      <c r="CWU4" s="1962"/>
      <c r="CWV4" s="1962"/>
      <c r="CWW4" s="1962"/>
      <c r="CWX4" s="1962"/>
      <c r="CWY4" s="1962"/>
      <c r="CWZ4" s="1962"/>
      <c r="CXA4" s="1962"/>
      <c r="CXB4" s="1962"/>
      <c r="CXC4" s="1962"/>
      <c r="CXD4" s="1962"/>
      <c r="CXE4" s="1962"/>
      <c r="CXF4" s="1962"/>
      <c r="CXG4" s="1962"/>
      <c r="CXH4" s="1962"/>
      <c r="CXI4" s="1962"/>
      <c r="CXJ4" s="1962"/>
      <c r="CXK4" s="1962"/>
      <c r="CXL4" s="1962"/>
      <c r="CXM4" s="1962"/>
      <c r="CXN4" s="1962"/>
      <c r="CXO4" s="1962"/>
      <c r="CXP4" s="1962"/>
      <c r="CXQ4" s="1962"/>
      <c r="CXR4" s="1962"/>
      <c r="CXS4" s="1962"/>
      <c r="CXT4" s="1962"/>
      <c r="CXU4" s="1962"/>
      <c r="CXV4" s="1962"/>
      <c r="CXW4" s="1962"/>
      <c r="CXX4" s="1962"/>
      <c r="CXY4" s="1962"/>
      <c r="CXZ4" s="1962"/>
      <c r="CYA4" s="1962"/>
      <c r="CYB4" s="1962"/>
      <c r="CYC4" s="1962"/>
      <c r="CYD4" s="1962"/>
      <c r="CYE4" s="1962"/>
      <c r="CYF4" s="1962"/>
      <c r="CYG4" s="1962"/>
      <c r="CYH4" s="1962"/>
      <c r="CYI4" s="1962"/>
      <c r="CYJ4" s="1962"/>
      <c r="CYK4" s="1962"/>
      <c r="CYL4" s="1962"/>
      <c r="CYM4" s="1962"/>
      <c r="CYN4" s="1962"/>
      <c r="CYO4" s="1962"/>
      <c r="CYP4" s="1962"/>
      <c r="CYQ4" s="1962"/>
      <c r="CYR4" s="1962"/>
      <c r="CYS4" s="1962"/>
      <c r="CYT4" s="1962"/>
      <c r="CYU4" s="1962"/>
      <c r="CYV4" s="1962"/>
      <c r="CYW4" s="1962"/>
      <c r="CYX4" s="1962"/>
      <c r="CYY4" s="1962"/>
      <c r="CYZ4" s="1962"/>
      <c r="CZA4" s="1962"/>
      <c r="CZB4" s="1962"/>
      <c r="CZC4" s="1962"/>
      <c r="CZD4" s="1962"/>
      <c r="CZE4" s="1962"/>
      <c r="CZF4" s="1962"/>
      <c r="CZG4" s="1962"/>
      <c r="CZH4" s="1962"/>
      <c r="CZI4" s="1962"/>
      <c r="CZJ4" s="1962"/>
      <c r="CZK4" s="1962"/>
      <c r="CZL4" s="1962"/>
      <c r="CZM4" s="1962"/>
      <c r="CZN4" s="1962"/>
      <c r="CZO4" s="1962"/>
      <c r="CZP4" s="1962"/>
      <c r="CZQ4" s="1962"/>
      <c r="CZR4" s="1962"/>
      <c r="CZS4" s="1962"/>
      <c r="CZT4" s="1962"/>
      <c r="CZU4" s="1962"/>
      <c r="CZV4" s="1962"/>
      <c r="CZW4" s="1962"/>
      <c r="CZX4" s="1962"/>
      <c r="CZY4" s="1962"/>
      <c r="CZZ4" s="1962"/>
      <c r="DAA4" s="1962"/>
      <c r="DAB4" s="1962"/>
      <c r="DAC4" s="1962"/>
      <c r="DAD4" s="1962"/>
      <c r="DAE4" s="1962"/>
      <c r="DAF4" s="1962"/>
      <c r="DAG4" s="1962"/>
      <c r="DAH4" s="1962"/>
      <c r="DAI4" s="1962"/>
      <c r="DAJ4" s="1962"/>
      <c r="DAK4" s="1962"/>
      <c r="DAL4" s="1962"/>
      <c r="DAM4" s="1962"/>
      <c r="DAN4" s="1962"/>
      <c r="DAO4" s="1962"/>
      <c r="DAP4" s="1962"/>
      <c r="DAQ4" s="1962"/>
      <c r="DAR4" s="1962"/>
      <c r="DAS4" s="1962"/>
      <c r="DAT4" s="1962"/>
      <c r="DAU4" s="1962"/>
      <c r="DAV4" s="1962"/>
      <c r="DAW4" s="1962"/>
      <c r="DAX4" s="1962"/>
      <c r="DAY4" s="1962"/>
      <c r="DAZ4" s="1962"/>
      <c r="DBA4" s="1962"/>
      <c r="DBB4" s="1962"/>
      <c r="DBC4" s="1962"/>
      <c r="DBD4" s="1962"/>
      <c r="DBE4" s="1962"/>
      <c r="DBF4" s="1962"/>
      <c r="DBG4" s="1962"/>
      <c r="DBH4" s="1962"/>
      <c r="DBI4" s="1962"/>
      <c r="DBJ4" s="1962"/>
      <c r="DBK4" s="1962"/>
      <c r="DBL4" s="1962"/>
      <c r="DBM4" s="1962"/>
      <c r="DBN4" s="1962"/>
      <c r="DBO4" s="1962"/>
      <c r="DBP4" s="1962"/>
      <c r="DBQ4" s="1962"/>
      <c r="DBR4" s="1962"/>
      <c r="DBS4" s="1962"/>
      <c r="DBT4" s="1962"/>
      <c r="DBU4" s="1962"/>
      <c r="DBV4" s="1962"/>
      <c r="DBW4" s="1962"/>
      <c r="DBX4" s="1962"/>
      <c r="DBY4" s="1962"/>
      <c r="DBZ4" s="1962"/>
      <c r="DCA4" s="1962"/>
      <c r="DCB4" s="1962"/>
      <c r="DCC4" s="1962"/>
      <c r="DCD4" s="1962"/>
      <c r="DCE4" s="1962"/>
      <c r="DCF4" s="1962"/>
      <c r="DCG4" s="1962"/>
      <c r="DCH4" s="1962"/>
      <c r="DCI4" s="1962"/>
      <c r="DCJ4" s="1962"/>
      <c r="DCK4" s="1962"/>
      <c r="DCL4" s="1962"/>
      <c r="DCM4" s="1962"/>
      <c r="DCN4" s="1962"/>
      <c r="DCO4" s="1962"/>
      <c r="DCP4" s="1962"/>
      <c r="DCQ4" s="1962"/>
      <c r="DCR4" s="1962"/>
      <c r="DCS4" s="1962"/>
      <c r="DCT4" s="1962"/>
      <c r="DCU4" s="1962"/>
      <c r="DCV4" s="1962"/>
      <c r="DCW4" s="1962"/>
      <c r="DCX4" s="1962"/>
      <c r="DCY4" s="1962"/>
      <c r="DCZ4" s="1962"/>
      <c r="DDA4" s="1962"/>
      <c r="DDB4" s="1962"/>
      <c r="DDC4" s="1962"/>
      <c r="DDD4" s="1962"/>
      <c r="DDE4" s="1962"/>
      <c r="DDF4" s="1962"/>
      <c r="DDG4" s="1962"/>
      <c r="DDH4" s="1962"/>
      <c r="DDI4" s="1962"/>
      <c r="DDJ4" s="1962"/>
      <c r="DDK4" s="1962"/>
      <c r="DDL4" s="1962"/>
      <c r="DDM4" s="1962"/>
      <c r="DDN4" s="1962"/>
      <c r="DDO4" s="1962"/>
      <c r="DDP4" s="1962"/>
      <c r="DDQ4" s="1962"/>
      <c r="DDR4" s="1962"/>
      <c r="DDS4" s="1962"/>
      <c r="DDT4" s="1962"/>
      <c r="DDU4" s="1962"/>
      <c r="DDV4" s="1962"/>
      <c r="DDW4" s="1962"/>
      <c r="DDX4" s="1962"/>
      <c r="DDY4" s="1962"/>
      <c r="DDZ4" s="1962"/>
      <c r="DEA4" s="1962"/>
      <c r="DEB4" s="1962"/>
      <c r="DEC4" s="1962"/>
      <c r="DED4" s="1962"/>
      <c r="DEE4" s="1962"/>
      <c r="DEF4" s="1962"/>
      <c r="DEG4" s="1962"/>
      <c r="DEH4" s="1962"/>
      <c r="DEI4" s="1962"/>
      <c r="DEJ4" s="1962"/>
      <c r="DEK4" s="1962"/>
      <c r="DEL4" s="1962"/>
      <c r="DEM4" s="1962"/>
      <c r="DEN4" s="1962"/>
      <c r="DEO4" s="1962"/>
      <c r="DEP4" s="1962"/>
      <c r="DEQ4" s="1962"/>
      <c r="DER4" s="1962"/>
      <c r="DES4" s="1962"/>
      <c r="DET4" s="1962"/>
      <c r="DEU4" s="1962"/>
      <c r="DEV4" s="1962"/>
      <c r="DEW4" s="1962"/>
      <c r="DEX4" s="1962"/>
      <c r="DEY4" s="1962"/>
      <c r="DEZ4" s="1962"/>
      <c r="DFA4" s="1962"/>
      <c r="DFB4" s="1962"/>
      <c r="DFC4" s="1962"/>
      <c r="DFD4" s="1962"/>
      <c r="DFE4" s="1962"/>
      <c r="DFF4" s="1962"/>
      <c r="DFG4" s="1962"/>
      <c r="DFH4" s="1962"/>
      <c r="DFI4" s="1962"/>
      <c r="DFJ4" s="1962"/>
      <c r="DFK4" s="1962"/>
      <c r="DFL4" s="1962"/>
      <c r="DFM4" s="1962"/>
      <c r="DFN4" s="1962"/>
      <c r="DFO4" s="1962"/>
      <c r="DFP4" s="1962"/>
      <c r="DFQ4" s="1962"/>
      <c r="DFR4" s="1962"/>
      <c r="DFS4" s="1962"/>
      <c r="DFT4" s="1962"/>
      <c r="DFU4" s="1962"/>
      <c r="DFV4" s="1962"/>
      <c r="DFW4" s="1962"/>
      <c r="DFX4" s="1962"/>
      <c r="DFY4" s="1962"/>
      <c r="DFZ4" s="1962"/>
      <c r="DGA4" s="1962"/>
      <c r="DGB4" s="1962"/>
      <c r="DGC4" s="1962"/>
      <c r="DGD4" s="1962"/>
      <c r="DGE4" s="1962"/>
      <c r="DGF4" s="1962"/>
      <c r="DGG4" s="1962"/>
      <c r="DGH4" s="1962"/>
      <c r="DGI4" s="1962"/>
      <c r="DGJ4" s="1962"/>
      <c r="DGK4" s="1962"/>
      <c r="DGL4" s="1962"/>
      <c r="DGM4" s="1962"/>
      <c r="DGN4" s="1962"/>
      <c r="DGO4" s="1962"/>
      <c r="DGP4" s="1962"/>
      <c r="DGQ4" s="1962"/>
      <c r="DGR4" s="1962"/>
      <c r="DGS4" s="1962"/>
      <c r="DGT4" s="1962"/>
      <c r="DGU4" s="1962"/>
      <c r="DGV4" s="1962"/>
      <c r="DGW4" s="1962"/>
      <c r="DGX4" s="1962"/>
      <c r="DGY4" s="1962"/>
      <c r="DGZ4" s="1962"/>
      <c r="DHA4" s="1962"/>
      <c r="DHB4" s="1962"/>
      <c r="DHC4" s="1962"/>
      <c r="DHD4" s="1962"/>
      <c r="DHE4" s="1962"/>
      <c r="DHF4" s="1962"/>
      <c r="DHG4" s="1962"/>
      <c r="DHH4" s="1962"/>
      <c r="DHI4" s="1962"/>
      <c r="DHJ4" s="1962"/>
      <c r="DHK4" s="1962"/>
      <c r="DHL4" s="1962"/>
      <c r="DHM4" s="1962"/>
      <c r="DHN4" s="1962"/>
      <c r="DHO4" s="1962"/>
      <c r="DHP4" s="1962"/>
      <c r="DHQ4" s="1962"/>
      <c r="DHR4" s="1962"/>
      <c r="DHS4" s="1962"/>
      <c r="DHT4" s="1962"/>
      <c r="DHU4" s="1962"/>
      <c r="DHV4" s="1962"/>
      <c r="DHW4" s="1962"/>
      <c r="DHX4" s="1962"/>
      <c r="DHY4" s="1962"/>
      <c r="DHZ4" s="1962"/>
      <c r="DIA4" s="1962"/>
      <c r="DIB4" s="1962"/>
      <c r="DIC4" s="1962"/>
      <c r="DID4" s="1962"/>
      <c r="DIE4" s="1962"/>
      <c r="DIF4" s="1962"/>
      <c r="DIG4" s="1962"/>
      <c r="DIH4" s="1962"/>
      <c r="DII4" s="1962"/>
      <c r="DIJ4" s="1962"/>
      <c r="DIK4" s="1962"/>
      <c r="DIL4" s="1962"/>
      <c r="DIM4" s="1962"/>
      <c r="DIN4" s="1962"/>
      <c r="DIO4" s="1962"/>
      <c r="DIP4" s="1962"/>
      <c r="DIQ4" s="1962"/>
      <c r="DIR4" s="1962"/>
      <c r="DIS4" s="1962"/>
      <c r="DIT4" s="1962"/>
      <c r="DIU4" s="1962"/>
      <c r="DIV4" s="1962"/>
      <c r="DIW4" s="1962"/>
      <c r="DIX4" s="1962"/>
      <c r="DIY4" s="1962"/>
      <c r="DIZ4" s="1962"/>
      <c r="DJA4" s="1962"/>
      <c r="DJB4" s="1962"/>
      <c r="DJC4" s="1962"/>
      <c r="DJD4" s="1962"/>
      <c r="DJE4" s="1962"/>
      <c r="DJF4" s="1962"/>
      <c r="DJG4" s="1962"/>
      <c r="DJH4" s="1962"/>
      <c r="DJI4" s="1962"/>
      <c r="DJJ4" s="1962"/>
      <c r="DJK4" s="1962"/>
      <c r="DJL4" s="1962"/>
      <c r="DJM4" s="1962"/>
      <c r="DJN4" s="1962"/>
      <c r="DJO4" s="1962"/>
      <c r="DJP4" s="1962"/>
      <c r="DJQ4" s="1962"/>
      <c r="DJR4" s="1962"/>
      <c r="DJS4" s="1962"/>
      <c r="DJT4" s="1962"/>
      <c r="DJU4" s="1962"/>
      <c r="DJV4" s="1962"/>
      <c r="DJW4" s="1962"/>
      <c r="DJX4" s="1962"/>
      <c r="DJY4" s="1962"/>
      <c r="DJZ4" s="1962"/>
      <c r="DKA4" s="1962"/>
      <c r="DKB4" s="1962"/>
      <c r="DKC4" s="1962"/>
      <c r="DKD4" s="1962"/>
      <c r="DKE4" s="1962"/>
      <c r="DKF4" s="1962"/>
      <c r="DKG4" s="1962"/>
      <c r="DKH4" s="1962"/>
      <c r="DKI4" s="1962"/>
      <c r="DKJ4" s="1962"/>
      <c r="DKK4" s="1962"/>
      <c r="DKL4" s="1962"/>
      <c r="DKM4" s="1962"/>
      <c r="DKN4" s="1962"/>
      <c r="DKO4" s="1962"/>
      <c r="DKP4" s="1962"/>
      <c r="DKQ4" s="1962"/>
      <c r="DKR4" s="1962"/>
      <c r="DKS4" s="1962"/>
      <c r="DKT4" s="1962"/>
      <c r="DKU4" s="1962"/>
      <c r="DKV4" s="1962"/>
      <c r="DKW4" s="1962"/>
      <c r="DKX4" s="1962"/>
      <c r="DKY4" s="1962"/>
      <c r="DKZ4" s="1962"/>
      <c r="DLA4" s="1962"/>
      <c r="DLB4" s="1962"/>
      <c r="DLC4" s="1962"/>
      <c r="DLD4" s="1962"/>
      <c r="DLE4" s="1962"/>
      <c r="DLF4" s="1962"/>
      <c r="DLG4" s="1962"/>
      <c r="DLH4" s="1962"/>
      <c r="DLI4" s="1962"/>
      <c r="DLJ4" s="1962"/>
      <c r="DLK4" s="1962"/>
      <c r="DLL4" s="1962"/>
      <c r="DLM4" s="1962"/>
      <c r="DLN4" s="1962"/>
      <c r="DLO4" s="1962"/>
      <c r="DLP4" s="1962"/>
      <c r="DLQ4" s="1962"/>
      <c r="DLR4" s="1962"/>
      <c r="DLS4" s="1962"/>
      <c r="DLT4" s="1962"/>
      <c r="DLU4" s="1962"/>
      <c r="DLV4" s="1962"/>
      <c r="DLW4" s="1962"/>
      <c r="DLX4" s="1962"/>
      <c r="DLY4" s="1962"/>
      <c r="DLZ4" s="1962"/>
      <c r="DMA4" s="1962"/>
      <c r="DMB4" s="1962"/>
      <c r="DMC4" s="1962"/>
      <c r="DMD4" s="1962"/>
      <c r="DME4" s="1962"/>
      <c r="DMF4" s="1962"/>
      <c r="DMG4" s="1962"/>
      <c r="DMH4" s="1962"/>
      <c r="DMI4" s="1962"/>
      <c r="DMJ4" s="1962"/>
      <c r="DMK4" s="1962"/>
      <c r="DML4" s="1962"/>
      <c r="DMM4" s="1962"/>
      <c r="DMN4" s="1962"/>
      <c r="DMO4" s="1962"/>
      <c r="DMP4" s="1962"/>
      <c r="DMQ4" s="1962"/>
      <c r="DMR4" s="1962"/>
      <c r="DMS4" s="1962"/>
      <c r="DMT4" s="1962"/>
      <c r="DMU4" s="1962"/>
      <c r="DMV4" s="1962"/>
      <c r="DMW4" s="1962"/>
      <c r="DMX4" s="1962"/>
      <c r="DMY4" s="1962"/>
      <c r="DMZ4" s="1962"/>
      <c r="DNA4" s="1962"/>
      <c r="DNB4" s="1962"/>
      <c r="DNC4" s="1962"/>
      <c r="DND4" s="1962"/>
      <c r="DNE4" s="1962"/>
      <c r="DNF4" s="1962"/>
      <c r="DNG4" s="1962"/>
      <c r="DNH4" s="1962"/>
      <c r="DNI4" s="1962"/>
      <c r="DNJ4" s="1962"/>
      <c r="DNK4" s="1962"/>
      <c r="DNL4" s="1962"/>
      <c r="DNM4" s="1962"/>
      <c r="DNN4" s="1962"/>
      <c r="DNO4" s="1962"/>
      <c r="DNP4" s="1962"/>
      <c r="DNQ4" s="1962"/>
      <c r="DNR4" s="1962"/>
      <c r="DNS4" s="1962"/>
      <c r="DNT4" s="1962"/>
      <c r="DNU4" s="1962"/>
      <c r="DNV4" s="1962"/>
      <c r="DNW4" s="1962"/>
      <c r="DNX4" s="1962"/>
      <c r="DNY4" s="1962"/>
      <c r="DNZ4" s="1962"/>
      <c r="DOA4" s="1962"/>
      <c r="DOB4" s="1962"/>
      <c r="DOC4" s="1962"/>
      <c r="DOD4" s="1962"/>
      <c r="DOE4" s="1962"/>
      <c r="DOF4" s="1962"/>
      <c r="DOG4" s="1962"/>
      <c r="DOH4" s="1962"/>
      <c r="DOI4" s="1962"/>
      <c r="DOJ4" s="1962"/>
      <c r="DOK4" s="1962"/>
      <c r="DOL4" s="1962"/>
      <c r="DOM4" s="1962"/>
      <c r="DON4" s="1962"/>
      <c r="DOO4" s="1962"/>
      <c r="DOP4" s="1962"/>
      <c r="DOQ4" s="1962"/>
      <c r="DOR4" s="1962"/>
      <c r="DOS4" s="1962"/>
      <c r="DOT4" s="1962"/>
      <c r="DOU4" s="1962"/>
      <c r="DOV4" s="1962"/>
      <c r="DOW4" s="1962"/>
      <c r="DOX4" s="1962"/>
      <c r="DOY4" s="1962"/>
      <c r="DOZ4" s="1962"/>
      <c r="DPA4" s="1962"/>
      <c r="DPB4" s="1962"/>
      <c r="DPC4" s="1962"/>
      <c r="DPD4" s="1962"/>
      <c r="DPE4" s="1962"/>
      <c r="DPF4" s="1962"/>
      <c r="DPG4" s="1962"/>
      <c r="DPH4" s="1962"/>
      <c r="DPI4" s="1962"/>
      <c r="DPJ4" s="1962"/>
      <c r="DPK4" s="1962"/>
      <c r="DPL4" s="1962"/>
      <c r="DPM4" s="1962"/>
      <c r="DPN4" s="1962"/>
      <c r="DPO4" s="1962"/>
      <c r="DPP4" s="1962"/>
      <c r="DPQ4" s="1962"/>
      <c r="DPR4" s="1962"/>
      <c r="DPS4" s="1962"/>
      <c r="DPT4" s="1962"/>
      <c r="DPU4" s="1962"/>
      <c r="DPV4" s="1962"/>
      <c r="DPW4" s="1962"/>
      <c r="DPX4" s="1962"/>
      <c r="DPY4" s="1962"/>
      <c r="DPZ4" s="1962"/>
      <c r="DQA4" s="1962"/>
      <c r="DQB4" s="1962"/>
      <c r="DQC4" s="1962"/>
      <c r="DQD4" s="1962"/>
      <c r="DQE4" s="1962"/>
      <c r="DQF4" s="1962"/>
      <c r="DQG4" s="1962"/>
      <c r="DQH4" s="1962"/>
      <c r="DQI4" s="1962"/>
      <c r="DQJ4" s="1962"/>
      <c r="DQK4" s="1962"/>
      <c r="DQL4" s="1962"/>
      <c r="DQM4" s="1962"/>
      <c r="DQN4" s="1962"/>
      <c r="DQO4" s="1962"/>
      <c r="DQP4" s="1962"/>
      <c r="DQQ4" s="1962"/>
      <c r="DQR4" s="1962"/>
      <c r="DQS4" s="1962"/>
      <c r="DQT4" s="1962"/>
      <c r="DQU4" s="1962"/>
      <c r="DQV4" s="1962"/>
      <c r="DQW4" s="1962"/>
      <c r="DQX4" s="1962"/>
      <c r="DQY4" s="1962"/>
      <c r="DQZ4" s="1962"/>
      <c r="DRA4" s="1962"/>
      <c r="DRB4" s="1962"/>
      <c r="DRC4" s="1962"/>
      <c r="DRD4" s="1962"/>
      <c r="DRE4" s="1962"/>
      <c r="DRF4" s="1962"/>
      <c r="DRG4" s="1962"/>
      <c r="DRH4" s="1962"/>
      <c r="DRI4" s="1962"/>
      <c r="DRJ4" s="1962"/>
      <c r="DRK4" s="1962"/>
      <c r="DRL4" s="1962"/>
      <c r="DRM4" s="1962"/>
      <c r="DRN4" s="1962"/>
      <c r="DRO4" s="1962"/>
      <c r="DRP4" s="1962"/>
      <c r="DRQ4" s="1962"/>
      <c r="DRR4" s="1962"/>
      <c r="DRS4" s="1962"/>
      <c r="DRT4" s="1962"/>
      <c r="DRU4" s="1962"/>
      <c r="DRV4" s="1962"/>
      <c r="DRW4" s="1962"/>
      <c r="DRX4" s="1962"/>
      <c r="DRY4" s="1962"/>
      <c r="DRZ4" s="1962"/>
      <c r="DSA4" s="1962"/>
      <c r="DSB4" s="1962"/>
      <c r="DSC4" s="1962"/>
      <c r="DSD4" s="1962"/>
      <c r="DSE4" s="1962"/>
      <c r="DSF4" s="1962"/>
      <c r="DSG4" s="1962"/>
      <c r="DSH4" s="1962"/>
      <c r="DSI4" s="1962"/>
      <c r="DSJ4" s="1962"/>
      <c r="DSK4" s="1962"/>
      <c r="DSL4" s="1962"/>
      <c r="DSM4" s="1962"/>
      <c r="DSN4" s="1962"/>
      <c r="DSO4" s="1962"/>
      <c r="DSP4" s="1962"/>
      <c r="DSQ4" s="1962"/>
      <c r="DSR4" s="1962"/>
      <c r="DSS4" s="1962"/>
      <c r="DST4" s="1962"/>
      <c r="DSU4" s="1962"/>
      <c r="DSV4" s="1962"/>
      <c r="DSW4" s="1962"/>
      <c r="DSX4" s="1962"/>
      <c r="DSY4" s="1962"/>
      <c r="DSZ4" s="1962"/>
      <c r="DTA4" s="1962"/>
      <c r="DTB4" s="1962"/>
      <c r="DTC4" s="1962"/>
      <c r="DTD4" s="1962"/>
      <c r="DTE4" s="1962"/>
      <c r="DTF4" s="1962"/>
      <c r="DTG4" s="1962"/>
      <c r="DTH4" s="1962"/>
      <c r="DTI4" s="1962"/>
      <c r="DTJ4" s="1962"/>
      <c r="DTK4" s="1962"/>
      <c r="DTL4" s="1962"/>
      <c r="DTM4" s="1962"/>
      <c r="DTN4" s="1962"/>
      <c r="DTO4" s="1962"/>
      <c r="DTP4" s="1962"/>
      <c r="DTQ4" s="1962"/>
      <c r="DTR4" s="1962"/>
      <c r="DTS4" s="1962"/>
      <c r="DTT4" s="1962"/>
      <c r="DTU4" s="1962"/>
      <c r="DTV4" s="1962"/>
      <c r="DTW4" s="1962"/>
      <c r="DTX4" s="1962"/>
      <c r="DTY4" s="1962"/>
      <c r="DTZ4" s="1962"/>
      <c r="DUA4" s="1962"/>
      <c r="DUB4" s="1962"/>
      <c r="DUC4" s="1962"/>
      <c r="DUD4" s="1962"/>
      <c r="DUE4" s="1962"/>
      <c r="DUF4" s="1962"/>
      <c r="DUG4" s="1962"/>
      <c r="DUH4" s="1962"/>
      <c r="DUI4" s="1962"/>
      <c r="DUJ4" s="1962"/>
      <c r="DUK4" s="1962"/>
      <c r="DUL4" s="1962"/>
      <c r="DUM4" s="1962"/>
      <c r="DUN4" s="1962"/>
      <c r="DUO4" s="1962"/>
      <c r="DUP4" s="1962"/>
      <c r="DUQ4" s="1962"/>
      <c r="DUR4" s="1962"/>
      <c r="DUS4" s="1962"/>
      <c r="DUT4" s="1962"/>
      <c r="DUU4" s="1962"/>
      <c r="DUV4" s="1962"/>
      <c r="DUW4" s="1962"/>
      <c r="DUX4" s="1962"/>
      <c r="DUY4" s="1962"/>
      <c r="DUZ4" s="1962"/>
      <c r="DVA4" s="1962"/>
      <c r="DVB4" s="1962"/>
      <c r="DVC4" s="1962"/>
      <c r="DVD4" s="1962"/>
      <c r="DVE4" s="1962"/>
      <c r="DVF4" s="1962"/>
      <c r="DVG4" s="1962"/>
      <c r="DVH4" s="1962"/>
      <c r="DVI4" s="1962"/>
      <c r="DVJ4" s="1962"/>
      <c r="DVK4" s="1962"/>
      <c r="DVL4" s="1962"/>
      <c r="DVM4" s="1962"/>
      <c r="DVN4" s="1962"/>
      <c r="DVO4" s="1962"/>
      <c r="DVP4" s="1962"/>
      <c r="DVQ4" s="1962"/>
      <c r="DVR4" s="1962"/>
      <c r="DVS4" s="1962"/>
      <c r="DVT4" s="1962"/>
      <c r="DVU4" s="1962"/>
      <c r="DVV4" s="1962"/>
      <c r="DVW4" s="1962"/>
      <c r="DVX4" s="1962"/>
      <c r="DVY4" s="1962"/>
      <c r="DVZ4" s="1962"/>
      <c r="DWA4" s="1962"/>
      <c r="DWB4" s="1962"/>
      <c r="DWC4" s="1962"/>
      <c r="DWD4" s="1962"/>
      <c r="DWE4" s="1962"/>
      <c r="DWF4" s="1962"/>
      <c r="DWG4" s="1962"/>
      <c r="DWH4" s="1962"/>
      <c r="DWI4" s="1962"/>
      <c r="DWJ4" s="1962"/>
      <c r="DWK4" s="1962"/>
      <c r="DWL4" s="1962"/>
      <c r="DWM4" s="1962"/>
      <c r="DWN4" s="1962"/>
      <c r="DWO4" s="1962"/>
      <c r="DWP4" s="1962"/>
      <c r="DWQ4" s="1962"/>
      <c r="DWR4" s="1962"/>
      <c r="DWS4" s="1962"/>
      <c r="DWT4" s="1962"/>
      <c r="DWU4" s="1962"/>
      <c r="DWV4" s="1962"/>
      <c r="DWW4" s="1962"/>
      <c r="DWX4" s="1962"/>
      <c r="DWY4" s="1962"/>
      <c r="DWZ4" s="1962"/>
      <c r="DXA4" s="1962"/>
      <c r="DXB4" s="1962"/>
      <c r="DXC4" s="1962"/>
      <c r="DXD4" s="1962"/>
      <c r="DXE4" s="1962"/>
      <c r="DXF4" s="1962"/>
      <c r="DXG4" s="1962"/>
      <c r="DXH4" s="1962"/>
      <c r="DXI4" s="1962"/>
      <c r="DXJ4" s="1962"/>
      <c r="DXK4" s="1962"/>
      <c r="DXL4" s="1962"/>
      <c r="DXM4" s="1962"/>
      <c r="DXN4" s="1962"/>
      <c r="DXO4" s="1962"/>
      <c r="DXP4" s="1962"/>
      <c r="DXQ4" s="1962"/>
      <c r="DXR4" s="1962"/>
      <c r="DXS4" s="1962"/>
      <c r="DXT4" s="1962"/>
      <c r="DXU4" s="1962"/>
      <c r="DXV4" s="1962"/>
      <c r="DXW4" s="1962"/>
      <c r="DXX4" s="1962"/>
      <c r="DXY4" s="1962"/>
      <c r="DXZ4" s="1962"/>
      <c r="DYA4" s="1962"/>
      <c r="DYB4" s="1962"/>
      <c r="DYC4" s="1962"/>
      <c r="DYD4" s="1962"/>
      <c r="DYE4" s="1962"/>
      <c r="DYF4" s="1962"/>
      <c r="DYG4" s="1962"/>
      <c r="DYH4" s="1962"/>
      <c r="DYI4" s="1962"/>
      <c r="DYJ4" s="1962"/>
      <c r="DYK4" s="1962"/>
      <c r="DYL4" s="1962"/>
      <c r="DYM4" s="1962"/>
      <c r="DYN4" s="1962"/>
      <c r="DYO4" s="1962"/>
      <c r="DYP4" s="1962"/>
      <c r="DYQ4" s="1962"/>
      <c r="DYR4" s="1962"/>
      <c r="DYS4" s="1962"/>
      <c r="DYT4" s="1962"/>
      <c r="DYU4" s="1962"/>
      <c r="DYV4" s="1962"/>
      <c r="DYW4" s="1962"/>
      <c r="DYX4" s="1962"/>
      <c r="DYY4" s="1962"/>
      <c r="DYZ4" s="1962"/>
      <c r="DZA4" s="1962"/>
      <c r="DZB4" s="1962"/>
      <c r="DZC4" s="1962"/>
      <c r="DZD4" s="1962"/>
      <c r="DZE4" s="1962"/>
      <c r="DZF4" s="1962"/>
      <c r="DZG4" s="1962"/>
      <c r="DZH4" s="1962"/>
      <c r="DZI4" s="1962"/>
      <c r="DZJ4" s="1962"/>
      <c r="DZK4" s="1962"/>
      <c r="DZL4" s="1962"/>
      <c r="DZM4" s="1962"/>
      <c r="DZN4" s="1962"/>
      <c r="DZO4" s="1962"/>
      <c r="DZP4" s="1962"/>
      <c r="DZQ4" s="1962"/>
      <c r="DZR4" s="1962"/>
      <c r="DZS4" s="1962"/>
      <c r="DZT4" s="1962"/>
      <c r="DZU4" s="1962"/>
      <c r="DZV4" s="1962"/>
      <c r="DZW4" s="1962"/>
      <c r="DZX4" s="1962"/>
      <c r="DZY4" s="1962"/>
      <c r="DZZ4" s="1962"/>
      <c r="EAA4" s="1962"/>
      <c r="EAB4" s="1962"/>
      <c r="EAC4" s="1962"/>
      <c r="EAD4" s="1962"/>
      <c r="EAE4" s="1962"/>
      <c r="EAF4" s="1962"/>
      <c r="EAG4" s="1962"/>
      <c r="EAH4" s="1962"/>
      <c r="EAI4" s="1962"/>
      <c r="EAJ4" s="1962"/>
      <c r="EAK4" s="1962"/>
      <c r="EAL4" s="1962"/>
      <c r="EAM4" s="1962"/>
      <c r="EAN4" s="1962"/>
      <c r="EAO4" s="1962"/>
      <c r="EAP4" s="1962"/>
      <c r="EAQ4" s="1962"/>
      <c r="EAR4" s="1962"/>
      <c r="EAS4" s="1962"/>
      <c r="EAT4" s="1962"/>
      <c r="EAU4" s="1962"/>
      <c r="EAV4" s="1962"/>
      <c r="EAW4" s="1962"/>
      <c r="EAX4" s="1962"/>
      <c r="EAY4" s="1962"/>
      <c r="EAZ4" s="1962"/>
      <c r="EBA4" s="1962"/>
      <c r="EBB4" s="1962"/>
      <c r="EBC4" s="1962"/>
      <c r="EBD4" s="1962"/>
      <c r="EBE4" s="1962"/>
      <c r="EBF4" s="1962"/>
      <c r="EBG4" s="1962"/>
      <c r="EBH4" s="1962"/>
      <c r="EBI4" s="1962"/>
      <c r="EBJ4" s="1962"/>
      <c r="EBK4" s="1962"/>
      <c r="EBL4" s="1962"/>
      <c r="EBM4" s="1962"/>
      <c r="EBN4" s="1962"/>
      <c r="EBO4" s="1962"/>
      <c r="EBP4" s="1962"/>
      <c r="EBQ4" s="1962"/>
      <c r="EBR4" s="1962"/>
      <c r="EBS4" s="1962"/>
      <c r="EBT4" s="1962"/>
      <c r="EBU4" s="1962"/>
      <c r="EBV4" s="1962"/>
      <c r="EBW4" s="1962"/>
      <c r="EBX4" s="1962"/>
      <c r="EBY4" s="1962"/>
      <c r="EBZ4" s="1962"/>
      <c r="ECA4" s="1962"/>
      <c r="ECB4" s="1962"/>
      <c r="ECC4" s="1962"/>
      <c r="ECD4" s="1962"/>
      <c r="ECE4" s="1962"/>
      <c r="ECF4" s="1962"/>
      <c r="ECG4" s="1962"/>
      <c r="ECH4" s="1962"/>
      <c r="ECI4" s="1962"/>
      <c r="ECJ4" s="1962"/>
      <c r="ECK4" s="1962"/>
      <c r="ECL4" s="1962"/>
      <c r="ECM4" s="1962"/>
      <c r="ECN4" s="1962"/>
      <c r="ECO4" s="1962"/>
      <c r="ECP4" s="1962"/>
      <c r="ECQ4" s="1962"/>
      <c r="ECR4" s="1962"/>
      <c r="ECS4" s="1962"/>
      <c r="ECT4" s="1962"/>
      <c r="ECU4" s="1962"/>
      <c r="ECV4" s="1962"/>
      <c r="ECW4" s="1962"/>
      <c r="ECX4" s="1962"/>
      <c r="ECY4" s="1962"/>
      <c r="ECZ4" s="1962"/>
      <c r="EDA4" s="1962"/>
      <c r="EDB4" s="1962"/>
      <c r="EDC4" s="1962"/>
      <c r="EDD4" s="1962"/>
      <c r="EDE4" s="1962"/>
      <c r="EDF4" s="1962"/>
      <c r="EDG4" s="1962"/>
      <c r="EDH4" s="1962"/>
      <c r="EDI4" s="1962"/>
      <c r="EDJ4" s="1962"/>
      <c r="EDK4" s="1962"/>
      <c r="EDL4" s="1962"/>
      <c r="EDM4" s="1962"/>
      <c r="EDN4" s="1962"/>
      <c r="EDO4" s="1962"/>
      <c r="EDP4" s="1962"/>
      <c r="EDQ4" s="1962"/>
      <c r="EDR4" s="1962"/>
      <c r="EDS4" s="1962"/>
      <c r="EDT4" s="1962"/>
      <c r="EDU4" s="1962"/>
      <c r="EDV4" s="1962"/>
      <c r="EDW4" s="1962"/>
      <c r="EDX4" s="1962"/>
      <c r="EDY4" s="1962"/>
      <c r="EDZ4" s="1962"/>
      <c r="EEA4" s="1962"/>
      <c r="EEB4" s="1962"/>
      <c r="EEC4" s="1962"/>
      <c r="EED4" s="1962"/>
      <c r="EEE4" s="1962"/>
      <c r="EEF4" s="1962"/>
      <c r="EEG4" s="1962"/>
      <c r="EEH4" s="1962"/>
      <c r="EEI4" s="1962"/>
      <c r="EEJ4" s="1962"/>
      <c r="EEK4" s="1962"/>
      <c r="EEL4" s="1962"/>
      <c r="EEM4" s="1962"/>
      <c r="EEN4" s="1962"/>
      <c r="EEO4" s="1962"/>
      <c r="EEP4" s="1962"/>
      <c r="EEQ4" s="1962"/>
      <c r="EER4" s="1962"/>
      <c r="EES4" s="1962"/>
      <c r="EET4" s="1962"/>
      <c r="EEU4" s="1962"/>
      <c r="EEV4" s="1962"/>
      <c r="EEW4" s="1962"/>
      <c r="EEX4" s="1962"/>
      <c r="EEY4" s="1962"/>
      <c r="EEZ4" s="1962"/>
      <c r="EFA4" s="1962"/>
      <c r="EFB4" s="1962"/>
      <c r="EFC4" s="1962"/>
      <c r="EFD4" s="1962"/>
      <c r="EFE4" s="1962"/>
      <c r="EFF4" s="1962"/>
      <c r="EFG4" s="1962"/>
      <c r="EFH4" s="1962"/>
      <c r="EFI4" s="1962"/>
      <c r="EFJ4" s="1962"/>
      <c r="EFK4" s="1962"/>
      <c r="EFL4" s="1962"/>
      <c r="EFM4" s="1962"/>
      <c r="EFN4" s="1962"/>
      <c r="EFO4" s="1962"/>
      <c r="EFP4" s="1962"/>
      <c r="EFQ4" s="1962"/>
      <c r="EFR4" s="1962"/>
      <c r="EFS4" s="1962"/>
      <c r="EFT4" s="1962"/>
      <c r="EFU4" s="1962"/>
      <c r="EFV4" s="1962"/>
      <c r="EFW4" s="1962"/>
      <c r="EFX4" s="1962"/>
      <c r="EFY4" s="1962"/>
      <c r="EFZ4" s="1962"/>
      <c r="EGA4" s="1962"/>
      <c r="EGB4" s="1962"/>
      <c r="EGC4" s="1962"/>
      <c r="EGD4" s="1962"/>
      <c r="EGE4" s="1962"/>
      <c r="EGF4" s="1962"/>
      <c r="EGG4" s="1962"/>
      <c r="EGH4" s="1962"/>
      <c r="EGI4" s="1962"/>
      <c r="EGJ4" s="1962"/>
      <c r="EGK4" s="1962"/>
      <c r="EGL4" s="1962"/>
      <c r="EGM4" s="1962"/>
      <c r="EGN4" s="1962"/>
      <c r="EGO4" s="1962"/>
      <c r="EGP4" s="1962"/>
      <c r="EGQ4" s="1962"/>
      <c r="EGR4" s="1962"/>
      <c r="EGS4" s="1962"/>
      <c r="EGT4" s="1962"/>
      <c r="EGU4" s="1962"/>
      <c r="EGV4" s="1962"/>
      <c r="EGW4" s="1962"/>
      <c r="EGX4" s="1962"/>
      <c r="EGY4" s="1962"/>
      <c r="EGZ4" s="1962"/>
      <c r="EHA4" s="1962"/>
      <c r="EHB4" s="1962"/>
      <c r="EHC4" s="1962"/>
      <c r="EHD4" s="1962"/>
      <c r="EHE4" s="1962"/>
      <c r="EHF4" s="1962"/>
      <c r="EHG4" s="1962"/>
      <c r="EHH4" s="1962"/>
      <c r="EHI4" s="1962"/>
      <c r="EHJ4" s="1962"/>
      <c r="EHK4" s="1962"/>
      <c r="EHL4" s="1962"/>
      <c r="EHM4" s="1962"/>
      <c r="EHN4" s="1962"/>
      <c r="EHO4" s="1962"/>
      <c r="EHP4" s="1962"/>
      <c r="EHQ4" s="1962"/>
      <c r="EHR4" s="1962"/>
      <c r="EHS4" s="1962"/>
      <c r="EHT4" s="1962"/>
      <c r="EHU4" s="1962"/>
      <c r="EHV4" s="1962"/>
      <c r="EHW4" s="1962"/>
      <c r="EHX4" s="1962"/>
      <c r="EHY4" s="1962"/>
      <c r="EHZ4" s="1962"/>
      <c r="EIA4" s="1962"/>
      <c r="EIB4" s="1962"/>
      <c r="EIC4" s="1962"/>
      <c r="EID4" s="1962"/>
      <c r="EIE4" s="1962"/>
      <c r="EIF4" s="1962"/>
      <c r="EIG4" s="1962"/>
      <c r="EIH4" s="1962"/>
      <c r="EII4" s="1962"/>
      <c r="EIJ4" s="1962"/>
      <c r="EIK4" s="1962"/>
      <c r="EIL4" s="1962"/>
      <c r="EIM4" s="1962"/>
      <c r="EIN4" s="1962"/>
      <c r="EIO4" s="1962"/>
      <c r="EIP4" s="1962"/>
      <c r="EIQ4" s="1962"/>
      <c r="EIR4" s="1962"/>
      <c r="EIS4" s="1962"/>
      <c r="EIT4" s="1962"/>
      <c r="EIU4" s="1962"/>
      <c r="EIV4" s="1962"/>
      <c r="EIW4" s="1962"/>
      <c r="EIX4" s="1962"/>
      <c r="EIY4" s="1962"/>
      <c r="EIZ4" s="1962"/>
      <c r="EJA4" s="1962"/>
      <c r="EJB4" s="1962"/>
      <c r="EJC4" s="1962"/>
      <c r="EJD4" s="1962"/>
      <c r="EJE4" s="1962"/>
      <c r="EJF4" s="1962"/>
      <c r="EJG4" s="1962"/>
      <c r="EJH4" s="1962"/>
      <c r="EJI4" s="1962"/>
      <c r="EJJ4" s="1962"/>
      <c r="EJK4" s="1962"/>
      <c r="EJL4" s="1962"/>
      <c r="EJM4" s="1962"/>
      <c r="EJN4" s="1962"/>
      <c r="EJO4" s="1962"/>
      <c r="EJP4" s="1962"/>
      <c r="EJQ4" s="1962"/>
      <c r="EJR4" s="1962"/>
      <c r="EJS4" s="1962"/>
      <c r="EJT4" s="1962"/>
      <c r="EJU4" s="1962"/>
      <c r="EJV4" s="1962"/>
      <c r="EJW4" s="1962"/>
      <c r="EJX4" s="1962"/>
      <c r="EJY4" s="1962"/>
      <c r="EJZ4" s="1962"/>
      <c r="EKA4" s="1962"/>
      <c r="EKB4" s="1962"/>
      <c r="EKC4" s="1962"/>
      <c r="EKD4" s="1962"/>
      <c r="EKE4" s="1962"/>
      <c r="EKF4" s="1962"/>
      <c r="EKG4" s="1962"/>
      <c r="EKH4" s="1962"/>
      <c r="EKI4" s="1962"/>
      <c r="EKJ4" s="1962"/>
      <c r="EKK4" s="1962"/>
      <c r="EKL4" s="1962"/>
      <c r="EKM4" s="1962"/>
      <c r="EKN4" s="1962"/>
      <c r="EKO4" s="1962"/>
      <c r="EKP4" s="1962"/>
      <c r="EKQ4" s="1962"/>
      <c r="EKR4" s="1962"/>
      <c r="EKS4" s="1962"/>
      <c r="EKT4" s="1962"/>
      <c r="EKU4" s="1962"/>
      <c r="EKV4" s="1962"/>
      <c r="EKW4" s="1962"/>
      <c r="EKX4" s="1962"/>
      <c r="EKY4" s="1962"/>
      <c r="EKZ4" s="1962"/>
      <c r="ELA4" s="1962"/>
      <c r="ELB4" s="1962"/>
      <c r="ELC4" s="1962"/>
      <c r="ELD4" s="1962"/>
      <c r="ELE4" s="1962"/>
      <c r="ELF4" s="1962"/>
      <c r="ELG4" s="1962"/>
      <c r="ELH4" s="1962"/>
      <c r="ELI4" s="1962"/>
      <c r="ELJ4" s="1962"/>
      <c r="ELK4" s="1962"/>
      <c r="ELL4" s="1962"/>
      <c r="ELM4" s="1962"/>
      <c r="ELN4" s="1962"/>
      <c r="ELO4" s="1962"/>
      <c r="ELP4" s="1962"/>
      <c r="ELQ4" s="1962"/>
      <c r="ELR4" s="1962"/>
      <c r="ELS4" s="1962"/>
      <c r="ELT4" s="1962"/>
      <c r="ELU4" s="1962"/>
      <c r="ELV4" s="1962"/>
      <c r="ELW4" s="1962"/>
      <c r="ELX4" s="1962"/>
      <c r="ELY4" s="1962"/>
      <c r="ELZ4" s="1962"/>
      <c r="EMA4" s="1962"/>
      <c r="EMB4" s="1962"/>
      <c r="EMC4" s="1962"/>
      <c r="EMD4" s="1962"/>
      <c r="EME4" s="1962"/>
      <c r="EMF4" s="1962"/>
      <c r="EMG4" s="1962"/>
      <c r="EMH4" s="1962"/>
      <c r="EMI4" s="1962"/>
      <c r="EMJ4" s="1962"/>
      <c r="EMK4" s="1962"/>
      <c r="EML4" s="1962"/>
      <c r="EMM4" s="1962"/>
      <c r="EMN4" s="1962"/>
      <c r="EMO4" s="1962"/>
      <c r="EMP4" s="1962"/>
      <c r="EMQ4" s="1962"/>
      <c r="EMR4" s="1962"/>
      <c r="EMS4" s="1962"/>
      <c r="EMT4" s="1962"/>
      <c r="EMU4" s="1962"/>
      <c r="EMV4" s="1962"/>
      <c r="EMW4" s="1962"/>
      <c r="EMX4" s="1962"/>
      <c r="EMY4" s="1962"/>
      <c r="EMZ4" s="1962"/>
      <c r="ENA4" s="1962"/>
      <c r="ENB4" s="1962"/>
      <c r="ENC4" s="1962"/>
      <c r="END4" s="1962"/>
      <c r="ENE4" s="1962"/>
      <c r="ENF4" s="1962"/>
      <c r="ENG4" s="1962"/>
      <c r="ENH4" s="1962"/>
      <c r="ENI4" s="1962"/>
      <c r="ENJ4" s="1962"/>
      <c r="ENK4" s="1962"/>
      <c r="ENL4" s="1962"/>
      <c r="ENM4" s="1962"/>
      <c r="ENN4" s="1962"/>
      <c r="ENO4" s="1962"/>
      <c r="ENP4" s="1962"/>
      <c r="ENQ4" s="1962"/>
      <c r="ENR4" s="1962"/>
      <c r="ENS4" s="1962"/>
      <c r="ENT4" s="1962"/>
      <c r="ENU4" s="1962"/>
      <c r="ENV4" s="1962"/>
      <c r="ENW4" s="1962"/>
      <c r="ENX4" s="1962"/>
      <c r="ENY4" s="1962"/>
      <c r="ENZ4" s="1962"/>
      <c r="EOA4" s="1962"/>
      <c r="EOB4" s="1962"/>
      <c r="EOC4" s="1962"/>
      <c r="EOD4" s="1962"/>
      <c r="EOE4" s="1962"/>
      <c r="EOF4" s="1962"/>
      <c r="EOG4" s="1962"/>
      <c r="EOH4" s="1962"/>
      <c r="EOI4" s="1962"/>
      <c r="EOJ4" s="1962"/>
      <c r="EOK4" s="1962"/>
      <c r="EOL4" s="1962"/>
      <c r="EOM4" s="1962"/>
      <c r="EON4" s="1962"/>
      <c r="EOO4" s="1962"/>
      <c r="EOP4" s="1962"/>
      <c r="EOQ4" s="1962"/>
      <c r="EOR4" s="1962"/>
      <c r="EOS4" s="1962"/>
      <c r="EOT4" s="1962"/>
      <c r="EOU4" s="1962"/>
      <c r="EOV4" s="1962"/>
      <c r="EOW4" s="1962"/>
      <c r="EOX4" s="1962"/>
      <c r="EOY4" s="1962"/>
      <c r="EOZ4" s="1962"/>
      <c r="EPA4" s="1962"/>
      <c r="EPB4" s="1962"/>
      <c r="EPC4" s="1962"/>
      <c r="EPD4" s="1962"/>
      <c r="EPE4" s="1962"/>
      <c r="EPF4" s="1962"/>
      <c r="EPG4" s="1962"/>
      <c r="EPH4" s="1962"/>
      <c r="EPI4" s="1962"/>
      <c r="EPJ4" s="1962"/>
      <c r="EPK4" s="1962"/>
      <c r="EPL4" s="1962"/>
      <c r="EPM4" s="1962"/>
      <c r="EPN4" s="1962"/>
      <c r="EPO4" s="1962"/>
      <c r="EPP4" s="1962"/>
      <c r="EPQ4" s="1962"/>
      <c r="EPR4" s="1962"/>
      <c r="EPS4" s="1962"/>
      <c r="EPT4" s="1962"/>
      <c r="EPU4" s="1962"/>
      <c r="EPV4" s="1962"/>
      <c r="EPW4" s="1962"/>
      <c r="EPX4" s="1962"/>
      <c r="EPY4" s="1962"/>
      <c r="EPZ4" s="1962"/>
      <c r="EQA4" s="1962"/>
      <c r="EQB4" s="1962"/>
      <c r="EQC4" s="1962"/>
      <c r="EQD4" s="1962"/>
      <c r="EQE4" s="1962"/>
      <c r="EQF4" s="1962"/>
      <c r="EQG4" s="1962"/>
      <c r="EQH4" s="1962"/>
      <c r="EQI4" s="1962"/>
      <c r="EQJ4" s="1962"/>
      <c r="EQK4" s="1962"/>
      <c r="EQL4" s="1962"/>
      <c r="EQM4" s="1962"/>
      <c r="EQN4" s="1962"/>
      <c r="EQO4" s="1962"/>
      <c r="EQP4" s="1962"/>
      <c r="EQQ4" s="1962"/>
      <c r="EQR4" s="1962"/>
      <c r="EQS4" s="1962"/>
      <c r="EQT4" s="1962"/>
      <c r="EQU4" s="1962"/>
      <c r="EQV4" s="1962"/>
      <c r="EQW4" s="1962"/>
      <c r="EQX4" s="1962"/>
      <c r="EQY4" s="1962"/>
      <c r="EQZ4" s="1962"/>
      <c r="ERA4" s="1962"/>
      <c r="ERB4" s="1962"/>
      <c r="ERC4" s="1962"/>
      <c r="ERD4" s="1962"/>
      <c r="ERE4" s="1962"/>
      <c r="ERF4" s="1962"/>
      <c r="ERG4" s="1962"/>
      <c r="ERH4" s="1962"/>
      <c r="ERI4" s="1962"/>
      <c r="ERJ4" s="1962"/>
      <c r="ERK4" s="1962"/>
      <c r="ERL4" s="1962"/>
      <c r="ERM4" s="1962"/>
      <c r="ERN4" s="1962"/>
      <c r="ERO4" s="1962"/>
      <c r="ERP4" s="1962"/>
      <c r="ERQ4" s="1962"/>
      <c r="ERR4" s="1962"/>
      <c r="ERS4" s="1962"/>
      <c r="ERT4" s="1962"/>
      <c r="ERU4" s="1962"/>
      <c r="ERV4" s="1962"/>
      <c r="ERW4" s="1962"/>
      <c r="ERX4" s="1962"/>
      <c r="ERY4" s="1962"/>
      <c r="ERZ4" s="1962"/>
      <c r="ESA4" s="1962"/>
      <c r="ESB4" s="1962"/>
      <c r="ESC4" s="1962"/>
      <c r="ESD4" s="1962"/>
      <c r="ESE4" s="1962"/>
      <c r="ESF4" s="1962"/>
      <c r="ESG4" s="1962"/>
      <c r="ESH4" s="1962"/>
      <c r="ESI4" s="1962"/>
      <c r="ESJ4" s="1962"/>
      <c r="ESK4" s="1962"/>
      <c r="ESL4" s="1962"/>
      <c r="ESM4" s="1962"/>
      <c r="ESN4" s="1962"/>
      <c r="ESO4" s="1962"/>
      <c r="ESP4" s="1962"/>
      <c r="ESQ4" s="1962"/>
      <c r="ESR4" s="1962"/>
      <c r="ESS4" s="1962"/>
      <c r="EST4" s="1962"/>
      <c r="ESU4" s="1962"/>
      <c r="ESV4" s="1962"/>
      <c r="ESW4" s="1962"/>
      <c r="ESX4" s="1962"/>
      <c r="ESY4" s="1962"/>
      <c r="ESZ4" s="1962"/>
      <c r="ETA4" s="1962"/>
      <c r="ETB4" s="1962"/>
      <c r="ETC4" s="1962"/>
      <c r="ETD4" s="1962"/>
      <c r="ETE4" s="1962"/>
      <c r="ETF4" s="1962"/>
      <c r="ETG4" s="1962"/>
      <c r="ETH4" s="1962"/>
      <c r="ETI4" s="1962"/>
      <c r="ETJ4" s="1962"/>
      <c r="ETK4" s="1962"/>
      <c r="ETL4" s="1962"/>
      <c r="ETM4" s="1962"/>
      <c r="ETN4" s="1962"/>
      <c r="ETO4" s="1962"/>
      <c r="ETP4" s="1962"/>
      <c r="ETQ4" s="1962"/>
      <c r="ETR4" s="1962"/>
      <c r="ETS4" s="1962"/>
      <c r="ETT4" s="1962"/>
      <c r="ETU4" s="1962"/>
      <c r="ETV4" s="1962"/>
      <c r="ETW4" s="1962"/>
      <c r="ETX4" s="1962"/>
      <c r="ETY4" s="1962"/>
      <c r="ETZ4" s="1962"/>
      <c r="EUA4" s="1962"/>
      <c r="EUB4" s="1962"/>
      <c r="EUC4" s="1962"/>
      <c r="EUD4" s="1962"/>
      <c r="EUE4" s="1962"/>
      <c r="EUF4" s="1962"/>
      <c r="EUG4" s="1962"/>
      <c r="EUH4" s="1962"/>
      <c r="EUI4" s="1962"/>
      <c r="EUJ4" s="1962"/>
      <c r="EUK4" s="1962"/>
      <c r="EUL4" s="1962"/>
      <c r="EUM4" s="1962"/>
      <c r="EUN4" s="1962"/>
      <c r="EUO4" s="1962"/>
      <c r="EUP4" s="1962"/>
      <c r="EUQ4" s="1962"/>
      <c r="EUR4" s="1962"/>
      <c r="EUS4" s="1962"/>
      <c r="EUT4" s="1962"/>
      <c r="EUU4" s="1962"/>
      <c r="EUV4" s="1962"/>
      <c r="EUW4" s="1962"/>
      <c r="EUX4" s="1962"/>
      <c r="EUY4" s="1962"/>
      <c r="EUZ4" s="1962"/>
      <c r="EVA4" s="1962"/>
      <c r="EVB4" s="1962"/>
      <c r="EVC4" s="1962"/>
      <c r="EVD4" s="1962"/>
      <c r="EVE4" s="1962"/>
      <c r="EVF4" s="1962"/>
      <c r="EVG4" s="1962"/>
      <c r="EVH4" s="1962"/>
      <c r="EVI4" s="1962"/>
      <c r="EVJ4" s="1962"/>
      <c r="EVK4" s="1962"/>
      <c r="EVL4" s="1962"/>
      <c r="EVM4" s="1962"/>
      <c r="EVN4" s="1962"/>
      <c r="EVO4" s="1962"/>
      <c r="EVP4" s="1962"/>
      <c r="EVQ4" s="1962"/>
      <c r="EVR4" s="1962"/>
      <c r="EVS4" s="1962"/>
      <c r="EVT4" s="1962"/>
      <c r="EVU4" s="1962"/>
      <c r="EVV4" s="1962"/>
      <c r="EVW4" s="1962"/>
      <c r="EVX4" s="1962"/>
      <c r="EVY4" s="1962"/>
      <c r="EVZ4" s="1962"/>
      <c r="EWA4" s="1962"/>
      <c r="EWB4" s="1962"/>
      <c r="EWC4" s="1962"/>
      <c r="EWD4" s="1962"/>
      <c r="EWE4" s="1962"/>
      <c r="EWF4" s="1962"/>
      <c r="EWG4" s="1962"/>
      <c r="EWH4" s="1962"/>
      <c r="EWI4" s="1962"/>
      <c r="EWJ4" s="1962"/>
      <c r="EWK4" s="1962"/>
      <c r="EWL4" s="1962"/>
      <c r="EWM4" s="1962"/>
      <c r="EWN4" s="1962"/>
      <c r="EWO4" s="1962"/>
      <c r="EWP4" s="1962"/>
      <c r="EWQ4" s="1962"/>
      <c r="EWR4" s="1962"/>
      <c r="EWS4" s="1962"/>
      <c r="EWT4" s="1962"/>
      <c r="EWU4" s="1962"/>
      <c r="EWV4" s="1962"/>
      <c r="EWW4" s="1962"/>
      <c r="EWX4" s="1962"/>
      <c r="EWY4" s="1962"/>
      <c r="EWZ4" s="1962"/>
      <c r="EXA4" s="1962"/>
      <c r="EXB4" s="1962"/>
      <c r="EXC4" s="1962"/>
      <c r="EXD4" s="1962"/>
      <c r="EXE4" s="1962"/>
      <c r="EXF4" s="1962"/>
      <c r="EXG4" s="1962"/>
      <c r="EXH4" s="1962"/>
      <c r="EXI4" s="1962"/>
      <c r="EXJ4" s="1962"/>
      <c r="EXK4" s="1962"/>
      <c r="EXL4" s="1962"/>
      <c r="EXM4" s="1962"/>
      <c r="EXN4" s="1962"/>
      <c r="EXO4" s="1962"/>
      <c r="EXP4" s="1962"/>
      <c r="EXQ4" s="1962"/>
      <c r="EXR4" s="1962"/>
      <c r="EXS4" s="1962"/>
      <c r="EXT4" s="1962"/>
      <c r="EXU4" s="1962"/>
      <c r="EXV4" s="1962"/>
      <c r="EXW4" s="1962"/>
      <c r="EXX4" s="1962"/>
      <c r="EXY4" s="1962"/>
      <c r="EXZ4" s="1962"/>
      <c r="EYA4" s="1962"/>
      <c r="EYB4" s="1962"/>
      <c r="EYC4" s="1962"/>
      <c r="EYD4" s="1962"/>
      <c r="EYE4" s="1962"/>
      <c r="EYF4" s="1962"/>
      <c r="EYG4" s="1962"/>
      <c r="EYH4" s="1962"/>
      <c r="EYI4" s="1962"/>
      <c r="EYJ4" s="1962"/>
      <c r="EYK4" s="1962"/>
      <c r="EYL4" s="1962"/>
      <c r="EYM4" s="1962"/>
      <c r="EYN4" s="1962"/>
      <c r="EYO4" s="1962"/>
      <c r="EYP4" s="1962"/>
      <c r="EYQ4" s="1962"/>
      <c r="EYR4" s="1962"/>
      <c r="EYS4" s="1962"/>
      <c r="EYT4" s="1962"/>
      <c r="EYU4" s="1962"/>
      <c r="EYV4" s="1962"/>
      <c r="EYW4" s="1962"/>
      <c r="EYX4" s="1962"/>
      <c r="EYY4" s="1962"/>
      <c r="EYZ4" s="1962"/>
      <c r="EZA4" s="1962"/>
      <c r="EZB4" s="1962"/>
      <c r="EZC4" s="1962"/>
      <c r="EZD4" s="1962"/>
      <c r="EZE4" s="1962"/>
      <c r="EZF4" s="1962"/>
      <c r="EZG4" s="1962"/>
      <c r="EZH4" s="1962"/>
      <c r="EZI4" s="1962"/>
      <c r="EZJ4" s="1962"/>
      <c r="EZK4" s="1962"/>
      <c r="EZL4" s="1962"/>
      <c r="EZM4" s="1962"/>
      <c r="EZN4" s="1962"/>
      <c r="EZO4" s="1962"/>
      <c r="EZP4" s="1962"/>
      <c r="EZQ4" s="1962"/>
      <c r="EZR4" s="1962"/>
      <c r="EZS4" s="1962"/>
      <c r="EZT4" s="1962"/>
      <c r="EZU4" s="1962"/>
      <c r="EZV4" s="1962"/>
      <c r="EZW4" s="1962"/>
      <c r="EZX4" s="1962"/>
      <c r="EZY4" s="1962"/>
      <c r="EZZ4" s="1962"/>
      <c r="FAA4" s="1962"/>
      <c r="FAB4" s="1962"/>
      <c r="FAC4" s="1962"/>
      <c r="FAD4" s="1962"/>
      <c r="FAE4" s="1962"/>
      <c r="FAF4" s="1962"/>
      <c r="FAG4" s="1962"/>
      <c r="FAH4" s="1962"/>
      <c r="FAI4" s="1962"/>
      <c r="FAJ4" s="1962"/>
      <c r="FAK4" s="1962"/>
      <c r="FAL4" s="1962"/>
      <c r="FAM4" s="1962"/>
      <c r="FAN4" s="1962"/>
      <c r="FAO4" s="1962"/>
      <c r="FAP4" s="1962"/>
      <c r="FAQ4" s="1962"/>
      <c r="FAR4" s="1962"/>
      <c r="FAS4" s="1962"/>
      <c r="FAT4" s="1962"/>
      <c r="FAU4" s="1962"/>
      <c r="FAV4" s="1962"/>
      <c r="FAW4" s="1962"/>
      <c r="FAX4" s="1962"/>
      <c r="FAY4" s="1962"/>
      <c r="FAZ4" s="1962"/>
      <c r="FBA4" s="1962"/>
      <c r="FBB4" s="1962"/>
      <c r="FBC4" s="1962"/>
      <c r="FBD4" s="1962"/>
      <c r="FBE4" s="1962"/>
      <c r="FBF4" s="1962"/>
      <c r="FBG4" s="1962"/>
      <c r="FBH4" s="1962"/>
      <c r="FBI4" s="1962"/>
      <c r="FBJ4" s="1962"/>
      <c r="FBK4" s="1962"/>
      <c r="FBL4" s="1962"/>
      <c r="FBM4" s="1962"/>
      <c r="FBN4" s="1962"/>
      <c r="FBO4" s="1962"/>
      <c r="FBP4" s="1962"/>
      <c r="FBQ4" s="1962"/>
      <c r="FBR4" s="1962"/>
      <c r="FBS4" s="1962"/>
      <c r="FBT4" s="1962"/>
      <c r="FBU4" s="1962"/>
      <c r="FBV4" s="1962"/>
      <c r="FBW4" s="1962"/>
      <c r="FBX4" s="1962"/>
      <c r="FBY4" s="1962"/>
      <c r="FBZ4" s="1962"/>
      <c r="FCA4" s="1962"/>
      <c r="FCB4" s="1962"/>
      <c r="FCC4" s="1962"/>
      <c r="FCD4" s="1962"/>
      <c r="FCE4" s="1962"/>
      <c r="FCF4" s="1962"/>
      <c r="FCG4" s="1962"/>
      <c r="FCH4" s="1962"/>
      <c r="FCI4" s="1962"/>
      <c r="FCJ4" s="1962"/>
      <c r="FCK4" s="1962"/>
      <c r="FCL4" s="1962"/>
      <c r="FCM4" s="1962"/>
      <c r="FCN4" s="1962"/>
      <c r="FCO4" s="1962"/>
      <c r="FCP4" s="1962"/>
      <c r="FCQ4" s="1962"/>
      <c r="FCR4" s="1962"/>
      <c r="FCS4" s="1962"/>
      <c r="FCT4" s="1962"/>
      <c r="FCU4" s="1962"/>
      <c r="FCV4" s="1962"/>
      <c r="FCW4" s="1962"/>
      <c r="FCX4" s="1962"/>
      <c r="FCY4" s="1962"/>
      <c r="FCZ4" s="1962"/>
      <c r="FDA4" s="1962"/>
      <c r="FDB4" s="1962"/>
      <c r="FDC4" s="1962"/>
      <c r="FDD4" s="1962"/>
      <c r="FDE4" s="1962"/>
      <c r="FDF4" s="1962"/>
      <c r="FDG4" s="1962"/>
      <c r="FDH4" s="1962"/>
      <c r="FDI4" s="1962"/>
      <c r="FDJ4" s="1962"/>
      <c r="FDK4" s="1962"/>
      <c r="FDL4" s="1962"/>
      <c r="FDM4" s="1962"/>
      <c r="FDN4" s="1962"/>
      <c r="FDO4" s="1962"/>
      <c r="FDP4" s="1962"/>
      <c r="FDQ4" s="1962"/>
      <c r="FDR4" s="1962"/>
      <c r="FDS4" s="1962"/>
      <c r="FDT4" s="1962"/>
      <c r="FDU4" s="1962"/>
      <c r="FDV4" s="1962"/>
      <c r="FDW4" s="1962"/>
      <c r="FDX4" s="1962"/>
      <c r="FDY4" s="1962"/>
      <c r="FDZ4" s="1962"/>
      <c r="FEA4" s="1962"/>
      <c r="FEB4" s="1962"/>
      <c r="FEC4" s="1962"/>
      <c r="FED4" s="1962"/>
      <c r="FEE4" s="1962"/>
      <c r="FEF4" s="1962"/>
      <c r="FEG4" s="1962"/>
      <c r="FEH4" s="1962"/>
      <c r="FEI4" s="1962"/>
      <c r="FEJ4" s="1962"/>
      <c r="FEK4" s="1962"/>
      <c r="FEL4" s="1962"/>
      <c r="FEM4" s="1962"/>
      <c r="FEN4" s="1962"/>
      <c r="FEO4" s="1962"/>
      <c r="FEP4" s="1962"/>
      <c r="FEQ4" s="1962"/>
      <c r="FER4" s="1962"/>
      <c r="FES4" s="1962"/>
      <c r="FET4" s="1962"/>
      <c r="FEU4" s="1962"/>
      <c r="FEV4" s="1962"/>
      <c r="FEW4" s="1962"/>
      <c r="FEX4" s="1962"/>
      <c r="FEY4" s="1962"/>
      <c r="FEZ4" s="1962"/>
      <c r="FFA4" s="1962"/>
      <c r="FFB4" s="1962"/>
      <c r="FFC4" s="1962"/>
      <c r="FFD4" s="1962"/>
      <c r="FFE4" s="1962"/>
      <c r="FFF4" s="1962"/>
      <c r="FFG4" s="1962"/>
      <c r="FFH4" s="1962"/>
      <c r="FFI4" s="1962"/>
      <c r="FFJ4" s="1962"/>
      <c r="FFK4" s="1962"/>
      <c r="FFL4" s="1962"/>
      <c r="FFM4" s="1962"/>
      <c r="FFN4" s="1962"/>
      <c r="FFO4" s="1962"/>
      <c r="FFP4" s="1962"/>
      <c r="FFQ4" s="1962"/>
      <c r="FFR4" s="1962"/>
      <c r="FFS4" s="1962"/>
      <c r="FFT4" s="1962"/>
      <c r="FFU4" s="1962"/>
      <c r="FFV4" s="1962"/>
      <c r="FFW4" s="1962"/>
      <c r="FFX4" s="1962"/>
      <c r="FFY4" s="1962"/>
      <c r="FFZ4" s="1962"/>
      <c r="FGA4" s="1962"/>
      <c r="FGB4" s="1962"/>
      <c r="FGC4" s="1962"/>
      <c r="FGD4" s="1962"/>
      <c r="FGE4" s="1962"/>
      <c r="FGF4" s="1962"/>
      <c r="FGG4" s="1962"/>
      <c r="FGH4" s="1962"/>
      <c r="FGI4" s="1962"/>
      <c r="FGJ4" s="1962"/>
      <c r="FGK4" s="1962"/>
      <c r="FGL4" s="1962"/>
      <c r="FGM4" s="1962"/>
      <c r="FGN4" s="1962"/>
      <c r="FGO4" s="1962"/>
      <c r="FGP4" s="1962"/>
      <c r="FGQ4" s="1962"/>
      <c r="FGR4" s="1962"/>
      <c r="FGS4" s="1962"/>
      <c r="FGT4" s="1962"/>
      <c r="FGU4" s="1962"/>
      <c r="FGV4" s="1962"/>
      <c r="FGW4" s="1962"/>
      <c r="FGX4" s="1962"/>
      <c r="FGY4" s="1962"/>
      <c r="FGZ4" s="1962"/>
      <c r="FHA4" s="1962"/>
      <c r="FHB4" s="1962"/>
      <c r="FHC4" s="1962"/>
      <c r="FHD4" s="1962"/>
      <c r="FHE4" s="1962"/>
      <c r="FHF4" s="1962"/>
      <c r="FHG4" s="1962"/>
      <c r="FHH4" s="1962"/>
      <c r="FHI4" s="1962"/>
      <c r="FHJ4" s="1962"/>
      <c r="FHK4" s="1962"/>
      <c r="FHL4" s="1962"/>
      <c r="FHM4" s="1962"/>
      <c r="FHN4" s="1962"/>
      <c r="FHO4" s="1962"/>
      <c r="FHP4" s="1962"/>
      <c r="FHQ4" s="1962"/>
      <c r="FHR4" s="1962"/>
      <c r="FHS4" s="1962"/>
      <c r="FHT4" s="1962"/>
      <c r="FHU4" s="1962"/>
      <c r="FHV4" s="1962"/>
      <c r="FHW4" s="1962"/>
      <c r="FHX4" s="1962"/>
      <c r="FHY4" s="1962"/>
      <c r="FHZ4" s="1962"/>
      <c r="FIA4" s="1962"/>
      <c r="FIB4" s="1962"/>
      <c r="FIC4" s="1962"/>
      <c r="FID4" s="1962"/>
      <c r="FIE4" s="1962"/>
      <c r="FIF4" s="1962"/>
      <c r="FIG4" s="1962"/>
      <c r="FIH4" s="1962"/>
      <c r="FII4" s="1962"/>
      <c r="FIJ4" s="1962"/>
      <c r="FIK4" s="1962"/>
      <c r="FIL4" s="1962"/>
      <c r="FIM4" s="1962"/>
      <c r="FIN4" s="1962"/>
      <c r="FIO4" s="1962"/>
      <c r="FIP4" s="1962"/>
      <c r="FIQ4" s="1962"/>
      <c r="FIR4" s="1962"/>
      <c r="FIS4" s="1962"/>
      <c r="FIT4" s="1962"/>
      <c r="FIU4" s="1962"/>
      <c r="FIV4" s="1962"/>
      <c r="FIW4" s="1962"/>
      <c r="FIX4" s="1962"/>
      <c r="FIY4" s="1962"/>
      <c r="FIZ4" s="1962"/>
      <c r="FJA4" s="1962"/>
      <c r="FJB4" s="1962"/>
      <c r="FJC4" s="1962"/>
      <c r="FJD4" s="1962"/>
      <c r="FJE4" s="1962"/>
      <c r="FJF4" s="1962"/>
      <c r="FJG4" s="1962"/>
      <c r="FJH4" s="1962"/>
      <c r="FJI4" s="1962"/>
      <c r="FJJ4" s="1962"/>
      <c r="FJK4" s="1962"/>
      <c r="FJL4" s="1962"/>
      <c r="FJM4" s="1962"/>
      <c r="FJN4" s="1962"/>
      <c r="FJO4" s="1962"/>
      <c r="FJP4" s="1962"/>
      <c r="FJQ4" s="1962"/>
      <c r="FJR4" s="1962"/>
      <c r="FJS4" s="1962"/>
      <c r="FJT4" s="1962"/>
      <c r="FJU4" s="1962"/>
      <c r="FJV4" s="1962"/>
      <c r="FJW4" s="1962"/>
      <c r="FJX4" s="1962"/>
      <c r="FJY4" s="1962"/>
      <c r="FJZ4" s="1962"/>
      <c r="FKA4" s="1962"/>
      <c r="FKB4" s="1962"/>
      <c r="FKC4" s="1962"/>
      <c r="FKD4" s="1962"/>
      <c r="FKE4" s="1962"/>
      <c r="FKF4" s="1962"/>
      <c r="FKG4" s="1962"/>
      <c r="FKH4" s="1962"/>
      <c r="FKI4" s="1962"/>
      <c r="FKJ4" s="1962"/>
      <c r="FKK4" s="1962"/>
      <c r="FKL4" s="1962"/>
      <c r="FKM4" s="1962"/>
      <c r="FKN4" s="1962"/>
      <c r="FKO4" s="1962"/>
      <c r="FKP4" s="1962"/>
      <c r="FKQ4" s="1962"/>
      <c r="FKR4" s="1962"/>
      <c r="FKS4" s="1962"/>
      <c r="FKT4" s="1962"/>
      <c r="FKU4" s="1962"/>
      <c r="FKV4" s="1962"/>
      <c r="FKW4" s="1962"/>
      <c r="FKX4" s="1962"/>
      <c r="FKY4" s="1962"/>
      <c r="FKZ4" s="1962"/>
      <c r="FLA4" s="1962"/>
      <c r="FLB4" s="1962"/>
      <c r="FLC4" s="1962"/>
      <c r="FLD4" s="1962"/>
      <c r="FLE4" s="1962"/>
      <c r="FLF4" s="1962"/>
      <c r="FLG4" s="1962"/>
      <c r="FLH4" s="1962"/>
      <c r="FLI4" s="1962"/>
      <c r="FLJ4" s="1962"/>
      <c r="FLK4" s="1962"/>
      <c r="FLL4" s="1962"/>
      <c r="FLM4" s="1962"/>
      <c r="FLN4" s="1962"/>
      <c r="FLO4" s="1962"/>
      <c r="FLP4" s="1962"/>
      <c r="FLQ4" s="1962"/>
      <c r="FLR4" s="1962"/>
      <c r="FLS4" s="1962"/>
      <c r="FLT4" s="1962"/>
      <c r="FLU4" s="1962"/>
      <c r="FLV4" s="1962"/>
      <c r="FLW4" s="1962"/>
      <c r="FLX4" s="1962"/>
      <c r="FLY4" s="1962"/>
      <c r="FLZ4" s="1962"/>
      <c r="FMA4" s="1962"/>
      <c r="FMB4" s="1962"/>
      <c r="FMC4" s="1962"/>
      <c r="FMD4" s="1962"/>
      <c r="FME4" s="1962"/>
      <c r="FMF4" s="1962"/>
      <c r="FMG4" s="1962"/>
      <c r="FMH4" s="1962"/>
      <c r="FMI4" s="1962"/>
      <c r="FMJ4" s="1962"/>
      <c r="FMK4" s="1962"/>
      <c r="FML4" s="1962"/>
      <c r="FMM4" s="1962"/>
      <c r="FMN4" s="1962"/>
      <c r="FMO4" s="1962"/>
      <c r="FMP4" s="1962"/>
      <c r="FMQ4" s="1962"/>
      <c r="FMR4" s="1962"/>
      <c r="FMS4" s="1962"/>
      <c r="FMT4" s="1962"/>
      <c r="FMU4" s="1962"/>
      <c r="FMV4" s="1962"/>
      <c r="FMW4" s="1962"/>
      <c r="FMX4" s="1962"/>
      <c r="FMY4" s="1962"/>
      <c r="FMZ4" s="1962"/>
      <c r="FNA4" s="1962"/>
      <c r="FNB4" s="1962"/>
      <c r="FNC4" s="1962"/>
      <c r="FND4" s="1962"/>
      <c r="FNE4" s="1962"/>
      <c r="FNF4" s="1962"/>
      <c r="FNG4" s="1962"/>
      <c r="FNH4" s="1962"/>
      <c r="FNI4" s="1962"/>
      <c r="FNJ4" s="1962"/>
      <c r="FNK4" s="1962"/>
      <c r="FNL4" s="1962"/>
      <c r="FNM4" s="1962"/>
      <c r="FNN4" s="1962"/>
      <c r="FNO4" s="1962"/>
      <c r="FNP4" s="1962"/>
      <c r="FNQ4" s="1962"/>
      <c r="FNR4" s="1962"/>
      <c r="FNS4" s="1962"/>
      <c r="FNT4" s="1962"/>
      <c r="FNU4" s="1962"/>
      <c r="FNV4" s="1962"/>
      <c r="FNW4" s="1962"/>
      <c r="FNX4" s="1962"/>
      <c r="FNY4" s="1962"/>
      <c r="FNZ4" s="1962"/>
      <c r="FOA4" s="1962"/>
      <c r="FOB4" s="1962"/>
      <c r="FOC4" s="1962"/>
      <c r="FOD4" s="1962"/>
      <c r="FOE4" s="1962"/>
      <c r="FOF4" s="1962"/>
      <c r="FOG4" s="1962"/>
      <c r="FOH4" s="1962"/>
      <c r="FOI4" s="1962"/>
      <c r="FOJ4" s="1962"/>
      <c r="FOK4" s="1962"/>
      <c r="FOL4" s="1962"/>
      <c r="FOM4" s="1962"/>
      <c r="FON4" s="1962"/>
      <c r="FOO4" s="1962"/>
      <c r="FOP4" s="1962"/>
      <c r="FOQ4" s="1962"/>
      <c r="FOR4" s="1962"/>
      <c r="FOS4" s="1962"/>
      <c r="FOT4" s="1962"/>
      <c r="FOU4" s="1962"/>
      <c r="FOV4" s="1962"/>
      <c r="FOW4" s="1962"/>
      <c r="FOX4" s="1962"/>
      <c r="FOY4" s="1962"/>
      <c r="FOZ4" s="1962"/>
      <c r="FPA4" s="1962"/>
      <c r="FPB4" s="1962"/>
      <c r="FPC4" s="1962"/>
      <c r="FPD4" s="1962"/>
      <c r="FPE4" s="1962"/>
      <c r="FPF4" s="1962"/>
      <c r="FPG4" s="1962"/>
      <c r="FPH4" s="1962"/>
      <c r="FPI4" s="1962"/>
      <c r="FPJ4" s="1962"/>
      <c r="FPK4" s="1962"/>
      <c r="FPL4" s="1962"/>
      <c r="FPM4" s="1962"/>
      <c r="FPN4" s="1962"/>
      <c r="FPO4" s="1962"/>
      <c r="FPP4" s="1962"/>
      <c r="FPQ4" s="1962"/>
      <c r="FPR4" s="1962"/>
      <c r="FPS4" s="1962"/>
      <c r="FPT4" s="1962"/>
      <c r="FPU4" s="1962"/>
      <c r="FPV4" s="1962"/>
      <c r="FPW4" s="1962"/>
      <c r="FPX4" s="1962"/>
      <c r="FPY4" s="1962"/>
      <c r="FPZ4" s="1962"/>
      <c r="FQA4" s="1962"/>
      <c r="FQB4" s="1962"/>
      <c r="FQC4" s="1962"/>
      <c r="FQD4" s="1962"/>
      <c r="FQE4" s="1962"/>
      <c r="FQF4" s="1962"/>
      <c r="FQG4" s="1962"/>
      <c r="FQH4" s="1962"/>
      <c r="FQI4" s="1962"/>
      <c r="FQJ4" s="1962"/>
      <c r="FQK4" s="1962"/>
      <c r="FQL4" s="1962"/>
      <c r="FQM4" s="1962"/>
      <c r="FQN4" s="1962"/>
      <c r="FQO4" s="1962"/>
      <c r="FQP4" s="1962"/>
      <c r="FQQ4" s="1962"/>
      <c r="FQR4" s="1962"/>
      <c r="FQS4" s="1962"/>
      <c r="FQT4" s="1962"/>
      <c r="FQU4" s="1962"/>
      <c r="FQV4" s="1962"/>
      <c r="FQW4" s="1962"/>
      <c r="FQX4" s="1962"/>
      <c r="FQY4" s="1962"/>
      <c r="FQZ4" s="1962"/>
      <c r="FRA4" s="1962"/>
      <c r="FRB4" s="1962"/>
      <c r="FRC4" s="1962"/>
      <c r="FRD4" s="1962"/>
      <c r="FRE4" s="1962"/>
      <c r="FRF4" s="1962"/>
      <c r="FRG4" s="1962"/>
      <c r="FRH4" s="1962"/>
      <c r="FRI4" s="1962"/>
      <c r="FRJ4" s="1962"/>
      <c r="FRK4" s="1962"/>
      <c r="FRL4" s="1962"/>
      <c r="FRM4" s="1962"/>
      <c r="FRN4" s="1962"/>
      <c r="FRO4" s="1962"/>
      <c r="FRP4" s="1962"/>
      <c r="FRQ4" s="1962"/>
      <c r="FRR4" s="1962"/>
      <c r="FRS4" s="1962"/>
      <c r="FRT4" s="1962"/>
      <c r="FRU4" s="1962"/>
      <c r="FRV4" s="1962"/>
      <c r="FRW4" s="1962"/>
      <c r="FRX4" s="1962"/>
      <c r="FRY4" s="1962"/>
      <c r="FRZ4" s="1962"/>
      <c r="FSA4" s="1962"/>
      <c r="FSB4" s="1962"/>
      <c r="FSC4" s="1962"/>
      <c r="FSD4" s="1962"/>
      <c r="FSE4" s="1962"/>
      <c r="FSF4" s="1962"/>
      <c r="FSG4" s="1962"/>
      <c r="FSH4" s="1962"/>
      <c r="FSI4" s="1962"/>
      <c r="FSJ4" s="1962"/>
      <c r="FSK4" s="1962"/>
      <c r="FSL4" s="1962"/>
      <c r="FSM4" s="1962"/>
      <c r="FSN4" s="1962"/>
      <c r="FSO4" s="1962"/>
      <c r="FSP4" s="1962"/>
      <c r="FSQ4" s="1962"/>
      <c r="FSR4" s="1962"/>
      <c r="FSS4" s="1962"/>
      <c r="FST4" s="1962"/>
      <c r="FSU4" s="1962"/>
      <c r="FSV4" s="1962"/>
      <c r="FSW4" s="1962"/>
      <c r="FSX4" s="1962"/>
      <c r="FSY4" s="1962"/>
      <c r="FSZ4" s="1962"/>
      <c r="FTA4" s="1962"/>
      <c r="FTB4" s="1962"/>
      <c r="FTC4" s="1962"/>
      <c r="FTD4" s="1962"/>
      <c r="FTE4" s="1962"/>
      <c r="FTF4" s="1962"/>
      <c r="FTG4" s="1962"/>
      <c r="FTH4" s="1962"/>
      <c r="FTI4" s="1962"/>
      <c r="FTJ4" s="1962"/>
      <c r="FTK4" s="1962"/>
      <c r="FTL4" s="1962"/>
      <c r="FTM4" s="1962"/>
      <c r="FTN4" s="1962"/>
      <c r="FTO4" s="1962"/>
      <c r="FTP4" s="1962"/>
      <c r="FTQ4" s="1962"/>
      <c r="FTR4" s="1962"/>
      <c r="FTS4" s="1962"/>
      <c r="FTT4" s="1962"/>
      <c r="FTU4" s="1962"/>
      <c r="FTV4" s="1962"/>
      <c r="FTW4" s="1962"/>
      <c r="FTX4" s="1962"/>
      <c r="FTY4" s="1962"/>
      <c r="FTZ4" s="1962"/>
      <c r="FUA4" s="1962"/>
      <c r="FUB4" s="1962"/>
      <c r="FUC4" s="1962"/>
      <c r="FUD4" s="1962"/>
      <c r="FUE4" s="1962"/>
      <c r="FUF4" s="1962"/>
      <c r="FUG4" s="1962"/>
      <c r="FUH4" s="1962"/>
      <c r="FUI4" s="1962"/>
      <c r="FUJ4" s="1962"/>
      <c r="FUK4" s="1962"/>
      <c r="FUL4" s="1962"/>
      <c r="FUM4" s="1962"/>
      <c r="FUN4" s="1962"/>
      <c r="FUO4" s="1962"/>
      <c r="FUP4" s="1962"/>
      <c r="FUQ4" s="1962"/>
      <c r="FUR4" s="1962"/>
      <c r="FUS4" s="1962"/>
      <c r="FUT4" s="1962"/>
      <c r="FUU4" s="1962"/>
      <c r="FUV4" s="1962"/>
      <c r="FUW4" s="1962"/>
      <c r="FUX4" s="1962"/>
      <c r="FUY4" s="1962"/>
      <c r="FUZ4" s="1962"/>
      <c r="FVA4" s="1962"/>
      <c r="FVB4" s="1962"/>
      <c r="FVC4" s="1962"/>
      <c r="FVD4" s="1962"/>
      <c r="FVE4" s="1962"/>
      <c r="FVF4" s="1962"/>
      <c r="FVG4" s="1962"/>
      <c r="FVH4" s="1962"/>
      <c r="FVI4" s="1962"/>
      <c r="FVJ4" s="1962"/>
      <c r="FVK4" s="1962"/>
      <c r="FVL4" s="1962"/>
      <c r="FVM4" s="1962"/>
      <c r="FVN4" s="1962"/>
      <c r="FVO4" s="1962"/>
      <c r="FVP4" s="1962"/>
      <c r="FVQ4" s="1962"/>
      <c r="FVR4" s="1962"/>
      <c r="FVS4" s="1962"/>
      <c r="FVT4" s="1962"/>
      <c r="FVU4" s="1962"/>
      <c r="FVV4" s="1962"/>
      <c r="FVW4" s="1962"/>
      <c r="FVX4" s="1962"/>
      <c r="FVY4" s="1962"/>
      <c r="FVZ4" s="1962"/>
      <c r="FWA4" s="1962"/>
      <c r="FWB4" s="1962"/>
      <c r="FWC4" s="1962"/>
      <c r="FWD4" s="1962"/>
      <c r="FWE4" s="1962"/>
      <c r="FWF4" s="1962"/>
      <c r="FWG4" s="1962"/>
      <c r="FWH4" s="1962"/>
      <c r="FWI4" s="1962"/>
      <c r="FWJ4" s="1962"/>
      <c r="FWK4" s="1962"/>
      <c r="FWL4" s="1962"/>
      <c r="FWM4" s="1962"/>
      <c r="FWN4" s="1962"/>
      <c r="FWO4" s="1962"/>
      <c r="FWP4" s="1962"/>
      <c r="FWQ4" s="1962"/>
      <c r="FWR4" s="1962"/>
      <c r="FWS4" s="1962"/>
      <c r="FWT4" s="1962"/>
      <c r="FWU4" s="1962"/>
      <c r="FWV4" s="1962"/>
      <c r="FWW4" s="1962"/>
      <c r="FWX4" s="1962"/>
      <c r="FWY4" s="1962"/>
      <c r="FWZ4" s="1962"/>
      <c r="FXA4" s="1962"/>
      <c r="FXB4" s="1962"/>
      <c r="FXC4" s="1962"/>
      <c r="FXD4" s="1962"/>
      <c r="FXE4" s="1962"/>
      <c r="FXF4" s="1962"/>
      <c r="FXG4" s="1962"/>
      <c r="FXH4" s="1962"/>
      <c r="FXI4" s="1962"/>
      <c r="FXJ4" s="1962"/>
      <c r="FXK4" s="1962"/>
      <c r="FXL4" s="1962"/>
      <c r="FXM4" s="1962"/>
      <c r="FXN4" s="1962"/>
      <c r="FXO4" s="1962"/>
      <c r="FXP4" s="1962"/>
      <c r="FXQ4" s="1962"/>
      <c r="FXR4" s="1962"/>
      <c r="FXS4" s="1962"/>
      <c r="FXT4" s="1962"/>
      <c r="FXU4" s="1962"/>
      <c r="FXV4" s="1962"/>
      <c r="FXW4" s="1962"/>
      <c r="FXX4" s="1962"/>
      <c r="FXY4" s="1962"/>
      <c r="FXZ4" s="1962"/>
      <c r="FYA4" s="1962"/>
      <c r="FYB4" s="1962"/>
      <c r="FYC4" s="1962"/>
      <c r="FYD4" s="1962"/>
      <c r="FYE4" s="1962"/>
      <c r="FYF4" s="1962"/>
      <c r="FYG4" s="1962"/>
      <c r="FYH4" s="1962"/>
      <c r="FYI4" s="1962"/>
      <c r="FYJ4" s="1962"/>
      <c r="FYK4" s="1962"/>
      <c r="FYL4" s="1962"/>
      <c r="FYM4" s="1962"/>
      <c r="FYN4" s="1962"/>
      <c r="FYO4" s="1962"/>
      <c r="FYP4" s="1962"/>
      <c r="FYQ4" s="1962"/>
      <c r="FYR4" s="1962"/>
      <c r="FYS4" s="1962"/>
      <c r="FYT4" s="1962"/>
      <c r="FYU4" s="1962"/>
      <c r="FYV4" s="1962"/>
      <c r="FYW4" s="1962"/>
      <c r="FYX4" s="1962"/>
      <c r="FYY4" s="1962"/>
      <c r="FYZ4" s="1962"/>
      <c r="FZA4" s="1962"/>
      <c r="FZB4" s="1962"/>
      <c r="FZC4" s="1962"/>
      <c r="FZD4" s="1962"/>
      <c r="FZE4" s="1962"/>
      <c r="FZF4" s="1962"/>
      <c r="FZG4" s="1962"/>
      <c r="FZH4" s="1962"/>
      <c r="FZI4" s="1962"/>
      <c r="FZJ4" s="1962"/>
      <c r="FZK4" s="1962"/>
      <c r="FZL4" s="1962"/>
      <c r="FZM4" s="1962"/>
      <c r="FZN4" s="1962"/>
      <c r="FZO4" s="1962"/>
      <c r="FZP4" s="1962"/>
      <c r="FZQ4" s="1962"/>
      <c r="FZR4" s="1962"/>
      <c r="FZS4" s="1962"/>
      <c r="FZT4" s="1962"/>
      <c r="FZU4" s="1962"/>
      <c r="FZV4" s="1962"/>
      <c r="FZW4" s="1962"/>
      <c r="FZX4" s="1962"/>
      <c r="FZY4" s="1962"/>
      <c r="FZZ4" s="1962"/>
      <c r="GAA4" s="1962"/>
      <c r="GAB4" s="1962"/>
      <c r="GAC4" s="1962"/>
      <c r="GAD4" s="1962"/>
      <c r="GAE4" s="1962"/>
      <c r="GAF4" s="1962"/>
      <c r="GAG4" s="1962"/>
      <c r="GAH4" s="1962"/>
      <c r="GAI4" s="1962"/>
      <c r="GAJ4" s="1962"/>
      <c r="GAK4" s="1962"/>
      <c r="GAL4" s="1962"/>
      <c r="GAM4" s="1962"/>
      <c r="GAN4" s="1962"/>
      <c r="GAO4" s="1962"/>
      <c r="GAP4" s="1962"/>
      <c r="GAQ4" s="1962"/>
      <c r="GAR4" s="1962"/>
      <c r="GAS4" s="1962"/>
      <c r="GAT4" s="1962"/>
      <c r="GAU4" s="1962"/>
      <c r="GAV4" s="1962"/>
      <c r="GAW4" s="1962"/>
      <c r="GAX4" s="1962"/>
      <c r="GAY4" s="1962"/>
      <c r="GAZ4" s="1962"/>
      <c r="GBA4" s="1962"/>
      <c r="GBB4" s="1962"/>
      <c r="GBC4" s="1962"/>
      <c r="GBD4" s="1962"/>
      <c r="GBE4" s="1962"/>
      <c r="GBF4" s="1962"/>
      <c r="GBG4" s="1962"/>
      <c r="GBH4" s="1962"/>
      <c r="GBI4" s="1962"/>
      <c r="GBJ4" s="1962"/>
      <c r="GBK4" s="1962"/>
      <c r="GBL4" s="1962"/>
      <c r="GBM4" s="1962"/>
      <c r="GBN4" s="1962"/>
      <c r="GBO4" s="1962"/>
      <c r="GBP4" s="1962"/>
      <c r="GBQ4" s="1962"/>
      <c r="GBR4" s="1962"/>
      <c r="GBS4" s="1962"/>
      <c r="GBT4" s="1962"/>
      <c r="GBU4" s="1962"/>
      <c r="GBV4" s="1962"/>
      <c r="GBW4" s="1962"/>
      <c r="GBX4" s="1962"/>
      <c r="GBY4" s="1962"/>
      <c r="GBZ4" s="1962"/>
      <c r="GCA4" s="1962"/>
      <c r="GCB4" s="1962"/>
      <c r="GCC4" s="1962"/>
      <c r="GCD4" s="1962"/>
      <c r="GCE4" s="1962"/>
      <c r="GCF4" s="1962"/>
      <c r="GCG4" s="1962"/>
      <c r="GCH4" s="1962"/>
      <c r="GCI4" s="1962"/>
      <c r="GCJ4" s="1962"/>
      <c r="GCK4" s="1962"/>
      <c r="GCL4" s="1962"/>
      <c r="GCM4" s="1962"/>
      <c r="GCN4" s="1962"/>
      <c r="GCO4" s="1962"/>
      <c r="GCP4" s="1962"/>
      <c r="GCQ4" s="1962"/>
      <c r="GCR4" s="1962"/>
      <c r="GCS4" s="1962"/>
      <c r="GCT4" s="1962"/>
      <c r="GCU4" s="1962"/>
      <c r="GCV4" s="1962"/>
      <c r="GCW4" s="1962"/>
      <c r="GCX4" s="1962"/>
      <c r="GCY4" s="1962"/>
      <c r="GCZ4" s="1962"/>
      <c r="GDA4" s="1962"/>
      <c r="GDB4" s="1962"/>
      <c r="GDC4" s="1962"/>
      <c r="GDD4" s="1962"/>
      <c r="GDE4" s="1962"/>
      <c r="GDF4" s="1962"/>
      <c r="GDG4" s="1962"/>
      <c r="GDH4" s="1962"/>
      <c r="GDI4" s="1962"/>
      <c r="GDJ4" s="1962"/>
      <c r="GDK4" s="1962"/>
      <c r="GDL4" s="1962"/>
      <c r="GDM4" s="1962"/>
      <c r="GDN4" s="1962"/>
      <c r="GDO4" s="1962"/>
      <c r="GDP4" s="1962"/>
      <c r="GDQ4" s="1962"/>
      <c r="GDR4" s="1962"/>
      <c r="GDS4" s="1962"/>
      <c r="GDT4" s="1962"/>
      <c r="GDU4" s="1962"/>
      <c r="GDV4" s="1962"/>
      <c r="GDW4" s="1962"/>
      <c r="GDX4" s="1962"/>
      <c r="GDY4" s="1962"/>
      <c r="GDZ4" s="1962"/>
      <c r="GEA4" s="1962"/>
      <c r="GEB4" s="1962"/>
      <c r="GEC4" s="1962"/>
      <c r="GED4" s="1962"/>
      <c r="GEE4" s="1962"/>
      <c r="GEF4" s="1962"/>
      <c r="GEG4" s="1962"/>
      <c r="GEH4" s="1962"/>
      <c r="GEI4" s="1962"/>
      <c r="GEJ4" s="1962"/>
      <c r="GEK4" s="1962"/>
      <c r="GEL4" s="1962"/>
      <c r="GEM4" s="1962"/>
      <c r="GEN4" s="1962"/>
      <c r="GEO4" s="1962"/>
      <c r="GEP4" s="1962"/>
      <c r="GEQ4" s="1962"/>
      <c r="GER4" s="1962"/>
      <c r="GES4" s="1962"/>
      <c r="GET4" s="1962"/>
      <c r="GEU4" s="1962"/>
      <c r="GEV4" s="1962"/>
      <c r="GEW4" s="1962"/>
      <c r="GEX4" s="1962"/>
      <c r="GEY4" s="1962"/>
      <c r="GEZ4" s="1962"/>
      <c r="GFA4" s="1962"/>
      <c r="GFB4" s="1962"/>
      <c r="GFC4" s="1962"/>
      <c r="GFD4" s="1962"/>
      <c r="GFE4" s="1962"/>
      <c r="GFF4" s="1962"/>
      <c r="GFG4" s="1962"/>
      <c r="GFH4" s="1962"/>
      <c r="GFI4" s="1962"/>
      <c r="GFJ4" s="1962"/>
      <c r="GFK4" s="1962"/>
      <c r="GFL4" s="1962"/>
      <c r="GFM4" s="1962"/>
      <c r="GFN4" s="1962"/>
      <c r="GFO4" s="1962"/>
      <c r="GFP4" s="1962"/>
      <c r="GFQ4" s="1962"/>
      <c r="GFR4" s="1962"/>
      <c r="GFS4" s="1962"/>
      <c r="GFT4" s="1962"/>
      <c r="GFU4" s="1962"/>
      <c r="GFV4" s="1962"/>
      <c r="GFW4" s="1962"/>
      <c r="GFX4" s="1962"/>
      <c r="GFY4" s="1962"/>
      <c r="GFZ4" s="1962"/>
      <c r="GGA4" s="1962"/>
      <c r="GGB4" s="1962"/>
      <c r="GGC4" s="1962"/>
      <c r="GGD4" s="1962"/>
      <c r="GGE4" s="1962"/>
      <c r="GGF4" s="1962"/>
      <c r="GGG4" s="1962"/>
      <c r="GGH4" s="1962"/>
      <c r="GGI4" s="1962"/>
      <c r="GGJ4" s="1962"/>
      <c r="GGK4" s="1962"/>
      <c r="GGL4" s="1962"/>
      <c r="GGM4" s="1962"/>
      <c r="GGN4" s="1962"/>
      <c r="GGO4" s="1962"/>
      <c r="GGP4" s="1962"/>
      <c r="GGQ4" s="1962"/>
      <c r="GGR4" s="1962"/>
      <c r="GGS4" s="1962"/>
      <c r="GGT4" s="1962"/>
      <c r="GGU4" s="1962"/>
      <c r="GGV4" s="1962"/>
      <c r="GGW4" s="1962"/>
      <c r="GGX4" s="1962"/>
      <c r="GGY4" s="1962"/>
      <c r="GGZ4" s="1962"/>
      <c r="GHA4" s="1962"/>
      <c r="GHB4" s="1962"/>
      <c r="GHC4" s="1962"/>
      <c r="GHD4" s="1962"/>
      <c r="GHE4" s="1962"/>
      <c r="GHF4" s="1962"/>
      <c r="GHG4" s="1962"/>
      <c r="GHH4" s="1962"/>
      <c r="GHI4" s="1962"/>
      <c r="GHJ4" s="1962"/>
      <c r="GHK4" s="1962"/>
      <c r="GHL4" s="1962"/>
      <c r="GHM4" s="1962"/>
      <c r="GHN4" s="1962"/>
      <c r="GHO4" s="1962"/>
      <c r="GHP4" s="1962"/>
      <c r="GHQ4" s="1962"/>
      <c r="GHR4" s="1962"/>
      <c r="GHS4" s="1962"/>
      <c r="GHT4" s="1962"/>
      <c r="GHU4" s="1962"/>
      <c r="GHV4" s="1962"/>
      <c r="GHW4" s="1962"/>
      <c r="GHX4" s="1962"/>
      <c r="GHY4" s="1962"/>
      <c r="GHZ4" s="1962"/>
      <c r="GIA4" s="1962"/>
      <c r="GIB4" s="1962"/>
      <c r="GIC4" s="1962"/>
      <c r="GID4" s="1962"/>
      <c r="GIE4" s="1962"/>
      <c r="GIF4" s="1962"/>
      <c r="GIG4" s="1962"/>
      <c r="GIH4" s="1962"/>
      <c r="GII4" s="1962"/>
      <c r="GIJ4" s="1962"/>
      <c r="GIK4" s="1962"/>
      <c r="GIL4" s="1962"/>
      <c r="GIM4" s="1962"/>
      <c r="GIN4" s="1962"/>
      <c r="GIO4" s="1962"/>
      <c r="GIP4" s="1962"/>
      <c r="GIQ4" s="1962"/>
      <c r="GIR4" s="1962"/>
      <c r="GIS4" s="1962"/>
      <c r="GIT4" s="1962"/>
      <c r="GIU4" s="1962"/>
      <c r="GIV4" s="1962"/>
      <c r="GIW4" s="1962"/>
      <c r="GIX4" s="1962"/>
      <c r="GIY4" s="1962"/>
      <c r="GIZ4" s="1962"/>
      <c r="GJA4" s="1962"/>
      <c r="GJB4" s="1962"/>
      <c r="GJC4" s="1962"/>
      <c r="GJD4" s="1962"/>
      <c r="GJE4" s="1962"/>
      <c r="GJF4" s="1962"/>
      <c r="GJG4" s="1962"/>
      <c r="GJH4" s="1962"/>
      <c r="GJI4" s="1962"/>
      <c r="GJJ4" s="1962"/>
      <c r="GJK4" s="1962"/>
      <c r="GJL4" s="1962"/>
      <c r="GJM4" s="1962"/>
      <c r="GJN4" s="1962"/>
      <c r="GJO4" s="1962"/>
      <c r="GJP4" s="1962"/>
      <c r="GJQ4" s="1962"/>
      <c r="GJR4" s="1962"/>
      <c r="GJS4" s="1962"/>
      <c r="GJT4" s="1962"/>
      <c r="GJU4" s="1962"/>
      <c r="GJV4" s="1962"/>
      <c r="GJW4" s="1962"/>
      <c r="GJX4" s="1962"/>
      <c r="GJY4" s="1962"/>
      <c r="GJZ4" s="1962"/>
      <c r="GKA4" s="1962"/>
      <c r="GKB4" s="1962"/>
      <c r="GKC4" s="1962"/>
      <c r="GKD4" s="1962"/>
      <c r="GKE4" s="1962"/>
      <c r="GKF4" s="1962"/>
      <c r="GKG4" s="1962"/>
      <c r="GKH4" s="1962"/>
      <c r="GKI4" s="1962"/>
      <c r="GKJ4" s="1962"/>
      <c r="GKK4" s="1962"/>
      <c r="GKL4" s="1962"/>
      <c r="GKM4" s="1962"/>
      <c r="GKN4" s="1962"/>
      <c r="GKO4" s="1962"/>
      <c r="GKP4" s="1962"/>
      <c r="GKQ4" s="1962"/>
      <c r="GKR4" s="1962"/>
      <c r="GKS4" s="1962"/>
      <c r="GKT4" s="1962"/>
      <c r="GKU4" s="1962"/>
      <c r="GKV4" s="1962"/>
      <c r="GKW4" s="1962"/>
      <c r="GKX4" s="1962"/>
      <c r="GKY4" s="1962"/>
      <c r="GKZ4" s="1962"/>
      <c r="GLA4" s="1962"/>
      <c r="GLB4" s="1962"/>
      <c r="GLC4" s="1962"/>
      <c r="GLD4" s="1962"/>
      <c r="GLE4" s="1962"/>
      <c r="GLF4" s="1962"/>
      <c r="GLG4" s="1962"/>
      <c r="GLH4" s="1962"/>
      <c r="GLI4" s="1962"/>
      <c r="GLJ4" s="1962"/>
      <c r="GLK4" s="1962"/>
      <c r="GLL4" s="1962"/>
      <c r="GLM4" s="1962"/>
      <c r="GLN4" s="1962"/>
      <c r="GLO4" s="1962"/>
      <c r="GLP4" s="1962"/>
      <c r="GLQ4" s="1962"/>
      <c r="GLR4" s="1962"/>
      <c r="GLS4" s="1962"/>
      <c r="GLT4" s="1962"/>
      <c r="GLU4" s="1962"/>
      <c r="GLV4" s="1962"/>
      <c r="GLW4" s="1962"/>
      <c r="GLX4" s="1962"/>
      <c r="GLY4" s="1962"/>
      <c r="GLZ4" s="1962"/>
      <c r="GMA4" s="1962"/>
      <c r="GMB4" s="1962"/>
      <c r="GMC4" s="1962"/>
      <c r="GMD4" s="1962"/>
      <c r="GME4" s="1962"/>
      <c r="GMF4" s="1962"/>
      <c r="GMG4" s="1962"/>
      <c r="GMH4" s="1962"/>
      <c r="GMI4" s="1962"/>
      <c r="GMJ4" s="1962"/>
      <c r="GMK4" s="1962"/>
      <c r="GML4" s="1962"/>
      <c r="GMM4" s="1962"/>
      <c r="GMN4" s="1962"/>
      <c r="GMO4" s="1962"/>
      <c r="GMP4" s="1962"/>
      <c r="GMQ4" s="1962"/>
      <c r="GMR4" s="1962"/>
      <c r="GMS4" s="1962"/>
      <c r="GMT4" s="1962"/>
      <c r="GMU4" s="1962"/>
      <c r="GMV4" s="1962"/>
      <c r="GMW4" s="1962"/>
      <c r="GMX4" s="1962"/>
      <c r="GMY4" s="1962"/>
      <c r="GMZ4" s="1962"/>
      <c r="GNA4" s="1962"/>
      <c r="GNB4" s="1962"/>
      <c r="GNC4" s="1962"/>
      <c r="GND4" s="1962"/>
      <c r="GNE4" s="1962"/>
      <c r="GNF4" s="1962"/>
      <c r="GNG4" s="1962"/>
      <c r="GNH4" s="1962"/>
      <c r="GNI4" s="1962"/>
      <c r="GNJ4" s="1962"/>
      <c r="GNK4" s="1962"/>
      <c r="GNL4" s="1962"/>
      <c r="GNM4" s="1962"/>
      <c r="GNN4" s="1962"/>
      <c r="GNO4" s="1962"/>
      <c r="GNP4" s="1962"/>
      <c r="GNQ4" s="1962"/>
      <c r="GNR4" s="1962"/>
      <c r="GNS4" s="1962"/>
      <c r="GNT4" s="1962"/>
      <c r="GNU4" s="1962"/>
      <c r="GNV4" s="1962"/>
      <c r="GNW4" s="1962"/>
      <c r="GNX4" s="1962"/>
      <c r="GNY4" s="1962"/>
      <c r="GNZ4" s="1962"/>
      <c r="GOA4" s="1962"/>
      <c r="GOB4" s="1962"/>
      <c r="GOC4" s="1962"/>
      <c r="GOD4" s="1962"/>
      <c r="GOE4" s="1962"/>
      <c r="GOF4" s="1962"/>
      <c r="GOG4" s="1962"/>
      <c r="GOH4" s="1962"/>
      <c r="GOI4" s="1962"/>
      <c r="GOJ4" s="1962"/>
      <c r="GOK4" s="1962"/>
      <c r="GOL4" s="1962"/>
      <c r="GOM4" s="1962"/>
      <c r="GON4" s="1962"/>
      <c r="GOO4" s="1962"/>
      <c r="GOP4" s="1962"/>
      <c r="GOQ4" s="1962"/>
      <c r="GOR4" s="1962"/>
      <c r="GOS4" s="1962"/>
      <c r="GOT4" s="1962"/>
      <c r="GOU4" s="1962"/>
      <c r="GOV4" s="1962"/>
      <c r="GOW4" s="1962"/>
      <c r="GOX4" s="1962"/>
      <c r="GOY4" s="1962"/>
      <c r="GOZ4" s="1962"/>
      <c r="GPA4" s="1962"/>
      <c r="GPB4" s="1962"/>
      <c r="GPC4" s="1962"/>
      <c r="GPD4" s="1962"/>
      <c r="GPE4" s="1962"/>
      <c r="GPF4" s="1962"/>
      <c r="GPG4" s="1962"/>
      <c r="GPH4" s="1962"/>
      <c r="GPI4" s="1962"/>
      <c r="GPJ4" s="1962"/>
      <c r="GPK4" s="1962"/>
      <c r="GPL4" s="1962"/>
      <c r="GPM4" s="1962"/>
      <c r="GPN4" s="1962"/>
      <c r="GPO4" s="1962"/>
      <c r="GPP4" s="1962"/>
      <c r="GPQ4" s="1962"/>
      <c r="GPR4" s="1962"/>
      <c r="GPS4" s="1962"/>
      <c r="GPT4" s="1962"/>
      <c r="GPU4" s="1962"/>
      <c r="GPV4" s="1962"/>
      <c r="GPW4" s="1962"/>
      <c r="GPX4" s="1962"/>
      <c r="GPY4" s="1962"/>
      <c r="GPZ4" s="1962"/>
      <c r="GQA4" s="1962"/>
      <c r="GQB4" s="1962"/>
      <c r="GQC4" s="1962"/>
      <c r="GQD4" s="1962"/>
      <c r="GQE4" s="1962"/>
      <c r="GQF4" s="1962"/>
      <c r="GQG4" s="1962"/>
      <c r="GQH4" s="1962"/>
      <c r="GQI4" s="1962"/>
      <c r="GQJ4" s="1962"/>
      <c r="GQK4" s="1962"/>
      <c r="GQL4" s="1962"/>
      <c r="GQM4" s="1962"/>
      <c r="GQN4" s="1962"/>
      <c r="GQO4" s="1962"/>
      <c r="GQP4" s="1962"/>
      <c r="GQQ4" s="1962"/>
      <c r="GQR4" s="1962"/>
      <c r="GQS4" s="1962"/>
      <c r="GQT4" s="1962"/>
      <c r="GQU4" s="1962"/>
      <c r="GQV4" s="1962"/>
      <c r="GQW4" s="1962"/>
      <c r="GQX4" s="1962"/>
      <c r="GQY4" s="1962"/>
      <c r="GQZ4" s="1962"/>
      <c r="GRA4" s="1962"/>
      <c r="GRB4" s="1962"/>
      <c r="GRC4" s="1962"/>
      <c r="GRD4" s="1962"/>
      <c r="GRE4" s="1962"/>
      <c r="GRF4" s="1962"/>
      <c r="GRG4" s="1962"/>
      <c r="GRH4" s="1962"/>
      <c r="GRI4" s="1962"/>
      <c r="GRJ4" s="1962"/>
      <c r="GRK4" s="1962"/>
      <c r="GRL4" s="1962"/>
      <c r="GRM4" s="1962"/>
      <c r="GRN4" s="1962"/>
      <c r="GRO4" s="1962"/>
      <c r="GRP4" s="1962"/>
      <c r="GRQ4" s="1962"/>
      <c r="GRR4" s="1962"/>
      <c r="GRS4" s="1962"/>
      <c r="GRT4" s="1962"/>
      <c r="GRU4" s="1962"/>
      <c r="GRV4" s="1962"/>
      <c r="GRW4" s="1962"/>
      <c r="GRX4" s="1962"/>
      <c r="GRY4" s="1962"/>
      <c r="GRZ4" s="1962"/>
      <c r="GSA4" s="1962"/>
      <c r="GSB4" s="1962"/>
      <c r="GSC4" s="1962"/>
      <c r="GSD4" s="1962"/>
      <c r="GSE4" s="1962"/>
      <c r="GSF4" s="1962"/>
      <c r="GSG4" s="1962"/>
      <c r="GSH4" s="1962"/>
      <c r="GSI4" s="1962"/>
      <c r="GSJ4" s="1962"/>
      <c r="GSK4" s="1962"/>
      <c r="GSL4" s="1962"/>
      <c r="GSM4" s="1962"/>
      <c r="GSN4" s="1962"/>
      <c r="GSO4" s="1962"/>
      <c r="GSP4" s="1962"/>
      <c r="GSQ4" s="1962"/>
      <c r="GSR4" s="1962"/>
      <c r="GSS4" s="1962"/>
      <c r="GST4" s="1962"/>
      <c r="GSU4" s="1962"/>
      <c r="GSV4" s="1962"/>
      <c r="GSW4" s="1962"/>
      <c r="GSX4" s="1962"/>
      <c r="GSY4" s="1962"/>
      <c r="GSZ4" s="1962"/>
      <c r="GTA4" s="1962"/>
      <c r="GTB4" s="1962"/>
      <c r="GTC4" s="1962"/>
      <c r="GTD4" s="1962"/>
      <c r="GTE4" s="1962"/>
      <c r="GTF4" s="1962"/>
      <c r="GTG4" s="1962"/>
      <c r="GTH4" s="1962"/>
      <c r="GTI4" s="1962"/>
      <c r="GTJ4" s="1962"/>
      <c r="GTK4" s="1962"/>
      <c r="GTL4" s="1962"/>
      <c r="GTM4" s="1962"/>
      <c r="GTN4" s="1962"/>
      <c r="GTO4" s="1962"/>
      <c r="GTP4" s="1962"/>
      <c r="GTQ4" s="1962"/>
      <c r="GTR4" s="1962"/>
      <c r="GTS4" s="1962"/>
      <c r="GTT4" s="1962"/>
      <c r="GTU4" s="1962"/>
      <c r="GTV4" s="1962"/>
      <c r="GTW4" s="1962"/>
      <c r="GTX4" s="1962"/>
      <c r="GTY4" s="1962"/>
      <c r="GTZ4" s="1962"/>
      <c r="GUA4" s="1962"/>
      <c r="GUB4" s="1962"/>
      <c r="GUC4" s="1962"/>
      <c r="GUD4" s="1962"/>
      <c r="GUE4" s="1962"/>
      <c r="GUF4" s="1962"/>
      <c r="GUG4" s="1962"/>
      <c r="GUH4" s="1962"/>
      <c r="GUI4" s="1962"/>
      <c r="GUJ4" s="1962"/>
      <c r="GUK4" s="1962"/>
      <c r="GUL4" s="1962"/>
      <c r="GUM4" s="1962"/>
      <c r="GUN4" s="1962"/>
      <c r="GUO4" s="1962"/>
      <c r="GUP4" s="1962"/>
      <c r="GUQ4" s="1962"/>
      <c r="GUR4" s="1962"/>
      <c r="GUS4" s="1962"/>
      <c r="GUT4" s="1962"/>
      <c r="GUU4" s="1962"/>
      <c r="GUV4" s="1962"/>
      <c r="GUW4" s="1962"/>
      <c r="GUX4" s="1962"/>
      <c r="GUY4" s="1962"/>
      <c r="GUZ4" s="1962"/>
      <c r="GVA4" s="1962"/>
      <c r="GVB4" s="1962"/>
      <c r="GVC4" s="1962"/>
      <c r="GVD4" s="1962"/>
      <c r="GVE4" s="1962"/>
      <c r="GVF4" s="1962"/>
      <c r="GVG4" s="1962"/>
      <c r="GVH4" s="1962"/>
      <c r="GVI4" s="1962"/>
      <c r="GVJ4" s="1962"/>
      <c r="GVK4" s="1962"/>
      <c r="GVL4" s="1962"/>
      <c r="GVM4" s="1962"/>
      <c r="GVN4" s="1962"/>
      <c r="GVO4" s="1962"/>
      <c r="GVP4" s="1962"/>
      <c r="GVQ4" s="1962"/>
      <c r="GVR4" s="1962"/>
      <c r="GVS4" s="1962"/>
      <c r="GVT4" s="1962"/>
      <c r="GVU4" s="1962"/>
      <c r="GVV4" s="1962"/>
      <c r="GVW4" s="1962"/>
      <c r="GVX4" s="1962"/>
      <c r="GVY4" s="1962"/>
      <c r="GVZ4" s="1962"/>
      <c r="GWA4" s="1962"/>
      <c r="GWB4" s="1962"/>
      <c r="GWC4" s="1962"/>
      <c r="GWD4" s="1962"/>
      <c r="GWE4" s="1962"/>
      <c r="GWF4" s="1962"/>
      <c r="GWG4" s="1962"/>
      <c r="GWH4" s="1962"/>
      <c r="GWI4" s="1962"/>
      <c r="GWJ4" s="1962"/>
      <c r="GWK4" s="1962"/>
      <c r="GWL4" s="1962"/>
      <c r="GWM4" s="1962"/>
      <c r="GWN4" s="1962"/>
      <c r="GWO4" s="1962"/>
      <c r="GWP4" s="1962"/>
      <c r="GWQ4" s="1962"/>
      <c r="GWR4" s="1962"/>
      <c r="GWS4" s="1962"/>
      <c r="GWT4" s="1962"/>
      <c r="GWU4" s="1962"/>
      <c r="GWV4" s="1962"/>
      <c r="GWW4" s="1962"/>
      <c r="GWX4" s="1962"/>
      <c r="GWY4" s="1962"/>
      <c r="GWZ4" s="1962"/>
      <c r="GXA4" s="1962"/>
      <c r="GXB4" s="1962"/>
      <c r="GXC4" s="1962"/>
      <c r="GXD4" s="1962"/>
      <c r="GXE4" s="1962"/>
      <c r="GXF4" s="1962"/>
      <c r="GXG4" s="1962"/>
      <c r="GXH4" s="1962"/>
      <c r="GXI4" s="1962"/>
      <c r="GXJ4" s="1962"/>
      <c r="GXK4" s="1962"/>
      <c r="GXL4" s="1962"/>
      <c r="GXM4" s="1962"/>
      <c r="GXN4" s="1962"/>
      <c r="GXO4" s="1962"/>
      <c r="GXP4" s="1962"/>
      <c r="GXQ4" s="1962"/>
      <c r="GXR4" s="1962"/>
      <c r="GXS4" s="1962"/>
      <c r="GXT4" s="1962"/>
      <c r="GXU4" s="1962"/>
      <c r="GXV4" s="1962"/>
      <c r="GXW4" s="1962"/>
      <c r="GXX4" s="1962"/>
      <c r="GXY4" s="1962"/>
      <c r="GXZ4" s="1962"/>
      <c r="GYA4" s="1962"/>
      <c r="GYB4" s="1962"/>
      <c r="GYC4" s="1962"/>
      <c r="GYD4" s="1962"/>
      <c r="GYE4" s="1962"/>
      <c r="GYF4" s="1962"/>
      <c r="GYG4" s="1962"/>
      <c r="GYH4" s="1962"/>
      <c r="GYI4" s="1962"/>
      <c r="GYJ4" s="1962"/>
      <c r="GYK4" s="1962"/>
      <c r="GYL4" s="1962"/>
      <c r="GYM4" s="1962"/>
      <c r="GYN4" s="1962"/>
      <c r="GYO4" s="1962"/>
      <c r="GYP4" s="1962"/>
      <c r="GYQ4" s="1962"/>
      <c r="GYR4" s="1962"/>
      <c r="GYS4" s="1962"/>
      <c r="GYT4" s="1962"/>
      <c r="GYU4" s="1962"/>
      <c r="GYV4" s="1962"/>
      <c r="GYW4" s="1962"/>
      <c r="GYX4" s="1962"/>
      <c r="GYY4" s="1962"/>
      <c r="GYZ4" s="1962"/>
      <c r="GZA4" s="1962"/>
      <c r="GZB4" s="1962"/>
      <c r="GZC4" s="1962"/>
      <c r="GZD4" s="1962"/>
      <c r="GZE4" s="1962"/>
      <c r="GZF4" s="1962"/>
      <c r="GZG4" s="1962"/>
      <c r="GZH4" s="1962"/>
      <c r="GZI4" s="1962"/>
      <c r="GZJ4" s="1962"/>
      <c r="GZK4" s="1962"/>
      <c r="GZL4" s="1962"/>
      <c r="GZM4" s="1962"/>
      <c r="GZN4" s="1962"/>
      <c r="GZO4" s="1962"/>
      <c r="GZP4" s="1962"/>
      <c r="GZQ4" s="1962"/>
      <c r="GZR4" s="1962"/>
      <c r="GZS4" s="1962"/>
      <c r="GZT4" s="1962"/>
      <c r="GZU4" s="1962"/>
      <c r="GZV4" s="1962"/>
      <c r="GZW4" s="1962"/>
      <c r="GZX4" s="1962"/>
      <c r="GZY4" s="1962"/>
      <c r="GZZ4" s="1962"/>
      <c r="HAA4" s="1962"/>
      <c r="HAB4" s="1962"/>
      <c r="HAC4" s="1962"/>
      <c r="HAD4" s="1962"/>
      <c r="HAE4" s="1962"/>
      <c r="HAF4" s="1962"/>
      <c r="HAG4" s="1962"/>
      <c r="HAH4" s="1962"/>
      <c r="HAI4" s="1962"/>
      <c r="HAJ4" s="1962"/>
      <c r="HAK4" s="1962"/>
      <c r="HAL4" s="1962"/>
      <c r="HAM4" s="1962"/>
      <c r="HAN4" s="1962"/>
      <c r="HAO4" s="1962"/>
      <c r="HAP4" s="1962"/>
      <c r="HAQ4" s="1962"/>
      <c r="HAR4" s="1962"/>
      <c r="HAS4" s="1962"/>
      <c r="HAT4" s="1962"/>
      <c r="HAU4" s="1962"/>
      <c r="HAV4" s="1962"/>
      <c r="HAW4" s="1962"/>
      <c r="HAX4" s="1962"/>
      <c r="HAY4" s="1962"/>
      <c r="HAZ4" s="1962"/>
      <c r="HBA4" s="1962"/>
      <c r="HBB4" s="1962"/>
      <c r="HBC4" s="1962"/>
      <c r="HBD4" s="1962"/>
      <c r="HBE4" s="1962"/>
      <c r="HBF4" s="1962"/>
      <c r="HBG4" s="1962"/>
      <c r="HBH4" s="1962"/>
      <c r="HBI4" s="1962"/>
      <c r="HBJ4" s="1962"/>
      <c r="HBK4" s="1962"/>
      <c r="HBL4" s="1962"/>
      <c r="HBM4" s="1962"/>
      <c r="HBN4" s="1962"/>
      <c r="HBO4" s="1962"/>
      <c r="HBP4" s="1962"/>
      <c r="HBQ4" s="1962"/>
      <c r="HBR4" s="1962"/>
      <c r="HBS4" s="1962"/>
      <c r="HBT4" s="1962"/>
      <c r="HBU4" s="1962"/>
      <c r="HBV4" s="1962"/>
      <c r="HBW4" s="1962"/>
      <c r="HBX4" s="1962"/>
      <c r="HBY4" s="1962"/>
      <c r="HBZ4" s="1962"/>
      <c r="HCA4" s="1962"/>
      <c r="HCB4" s="1962"/>
      <c r="HCC4" s="1962"/>
      <c r="HCD4" s="1962"/>
      <c r="HCE4" s="1962"/>
      <c r="HCF4" s="1962"/>
      <c r="HCG4" s="1962"/>
      <c r="HCH4" s="1962"/>
      <c r="HCI4" s="1962"/>
      <c r="HCJ4" s="1962"/>
      <c r="HCK4" s="1962"/>
      <c r="HCL4" s="1962"/>
      <c r="HCM4" s="1962"/>
      <c r="HCN4" s="1962"/>
      <c r="HCO4" s="1962"/>
      <c r="HCP4" s="1962"/>
      <c r="HCQ4" s="1962"/>
      <c r="HCR4" s="1962"/>
      <c r="HCS4" s="1962"/>
      <c r="HCT4" s="1962"/>
      <c r="HCU4" s="1962"/>
      <c r="HCV4" s="1962"/>
      <c r="HCW4" s="1962"/>
      <c r="HCX4" s="1962"/>
      <c r="HCY4" s="1962"/>
      <c r="HCZ4" s="1962"/>
      <c r="HDA4" s="1962"/>
      <c r="HDB4" s="1962"/>
      <c r="HDC4" s="1962"/>
      <c r="HDD4" s="1962"/>
      <c r="HDE4" s="1962"/>
      <c r="HDF4" s="1962"/>
      <c r="HDG4" s="1962"/>
      <c r="HDH4" s="1962"/>
      <c r="HDI4" s="1962"/>
      <c r="HDJ4" s="1962"/>
      <c r="HDK4" s="1962"/>
      <c r="HDL4" s="1962"/>
      <c r="HDM4" s="1962"/>
      <c r="HDN4" s="1962"/>
      <c r="HDO4" s="1962"/>
      <c r="HDP4" s="1962"/>
      <c r="HDQ4" s="1962"/>
      <c r="HDR4" s="1962"/>
      <c r="HDS4" s="1962"/>
      <c r="HDT4" s="1962"/>
      <c r="HDU4" s="1962"/>
      <c r="HDV4" s="1962"/>
      <c r="HDW4" s="1962"/>
      <c r="HDX4" s="1962"/>
      <c r="HDY4" s="1962"/>
      <c r="HDZ4" s="1962"/>
      <c r="HEA4" s="1962"/>
      <c r="HEB4" s="1962"/>
      <c r="HEC4" s="1962"/>
      <c r="HED4" s="1962"/>
      <c r="HEE4" s="1962"/>
      <c r="HEF4" s="1962"/>
      <c r="HEG4" s="1962"/>
      <c r="HEH4" s="1962"/>
      <c r="HEI4" s="1962"/>
      <c r="HEJ4" s="1962"/>
      <c r="HEK4" s="1962"/>
      <c r="HEL4" s="1962"/>
      <c r="HEM4" s="1962"/>
      <c r="HEN4" s="1962"/>
      <c r="HEO4" s="1962"/>
      <c r="HEP4" s="1962"/>
      <c r="HEQ4" s="1962"/>
      <c r="HER4" s="1962"/>
      <c r="HES4" s="1962"/>
      <c r="HET4" s="1962"/>
      <c r="HEU4" s="1962"/>
      <c r="HEV4" s="1962"/>
      <c r="HEW4" s="1962"/>
      <c r="HEX4" s="1962"/>
      <c r="HEY4" s="1962"/>
      <c r="HEZ4" s="1962"/>
      <c r="HFA4" s="1962"/>
      <c r="HFB4" s="1962"/>
      <c r="HFC4" s="1962"/>
      <c r="HFD4" s="1962"/>
      <c r="HFE4" s="1962"/>
      <c r="HFF4" s="1962"/>
      <c r="HFG4" s="1962"/>
      <c r="HFH4" s="1962"/>
      <c r="HFI4" s="1962"/>
      <c r="HFJ4" s="1962"/>
      <c r="HFK4" s="1962"/>
      <c r="HFL4" s="1962"/>
      <c r="HFM4" s="1962"/>
      <c r="HFN4" s="1962"/>
      <c r="HFO4" s="1962"/>
      <c r="HFP4" s="1962"/>
      <c r="HFQ4" s="1962"/>
      <c r="HFR4" s="1962"/>
      <c r="HFS4" s="1962"/>
      <c r="HFT4" s="1962"/>
      <c r="HFU4" s="1962"/>
      <c r="HFV4" s="1962"/>
      <c r="HFW4" s="1962"/>
      <c r="HFX4" s="1962"/>
      <c r="HFY4" s="1962"/>
      <c r="HFZ4" s="1962"/>
      <c r="HGA4" s="1962"/>
      <c r="HGB4" s="1962"/>
      <c r="HGC4" s="1962"/>
      <c r="HGD4" s="1962"/>
      <c r="HGE4" s="1962"/>
      <c r="HGF4" s="1962"/>
      <c r="HGG4" s="1962"/>
      <c r="HGH4" s="1962"/>
      <c r="HGI4" s="1962"/>
      <c r="HGJ4" s="1962"/>
      <c r="HGK4" s="1962"/>
      <c r="HGL4" s="1962"/>
      <c r="HGM4" s="1962"/>
      <c r="HGN4" s="1962"/>
      <c r="HGO4" s="1962"/>
      <c r="HGP4" s="1962"/>
      <c r="HGQ4" s="1962"/>
      <c r="HGR4" s="1962"/>
      <c r="HGS4" s="1962"/>
      <c r="HGT4" s="1962"/>
      <c r="HGU4" s="1962"/>
      <c r="HGV4" s="1962"/>
      <c r="HGW4" s="1962"/>
      <c r="HGX4" s="1962"/>
      <c r="HGY4" s="1962"/>
      <c r="HGZ4" s="1962"/>
      <c r="HHA4" s="1962"/>
      <c r="HHB4" s="1962"/>
      <c r="HHC4" s="1962"/>
      <c r="HHD4" s="1962"/>
      <c r="HHE4" s="1962"/>
      <c r="HHF4" s="1962"/>
      <c r="HHG4" s="1962"/>
      <c r="HHH4" s="1962"/>
      <c r="HHI4" s="1962"/>
      <c r="HHJ4" s="1962"/>
      <c r="HHK4" s="1962"/>
      <c r="HHL4" s="1962"/>
      <c r="HHM4" s="1962"/>
      <c r="HHN4" s="1962"/>
      <c r="HHO4" s="1962"/>
      <c r="HHP4" s="1962"/>
      <c r="HHQ4" s="1962"/>
      <c r="HHR4" s="1962"/>
      <c r="HHS4" s="1962"/>
      <c r="HHT4" s="1962"/>
      <c r="HHU4" s="1962"/>
      <c r="HHV4" s="1962"/>
      <c r="HHW4" s="1962"/>
      <c r="HHX4" s="1962"/>
      <c r="HHY4" s="1962"/>
      <c r="HHZ4" s="1962"/>
      <c r="HIA4" s="1962"/>
      <c r="HIB4" s="1962"/>
      <c r="HIC4" s="1962"/>
      <c r="HID4" s="1962"/>
      <c r="HIE4" s="1962"/>
      <c r="HIF4" s="1962"/>
      <c r="HIG4" s="1962"/>
      <c r="HIH4" s="1962"/>
      <c r="HII4" s="1962"/>
      <c r="HIJ4" s="1962"/>
      <c r="HIK4" s="1962"/>
      <c r="HIL4" s="1962"/>
      <c r="HIM4" s="1962"/>
      <c r="HIN4" s="1962"/>
      <c r="HIO4" s="1962"/>
      <c r="HIP4" s="1962"/>
      <c r="HIQ4" s="1962"/>
      <c r="HIR4" s="1962"/>
      <c r="HIS4" s="1962"/>
      <c r="HIT4" s="1962"/>
      <c r="HIU4" s="1962"/>
      <c r="HIV4" s="1962"/>
      <c r="HIW4" s="1962"/>
      <c r="HIX4" s="1962"/>
      <c r="HIY4" s="1962"/>
      <c r="HIZ4" s="1962"/>
      <c r="HJA4" s="1962"/>
      <c r="HJB4" s="1962"/>
      <c r="HJC4" s="1962"/>
      <c r="HJD4" s="1962"/>
      <c r="HJE4" s="1962"/>
      <c r="HJF4" s="1962"/>
      <c r="HJG4" s="1962"/>
      <c r="HJH4" s="1962"/>
      <c r="HJI4" s="1962"/>
      <c r="HJJ4" s="1962"/>
      <c r="HJK4" s="1962"/>
      <c r="HJL4" s="1962"/>
      <c r="HJM4" s="1962"/>
      <c r="HJN4" s="1962"/>
      <c r="HJO4" s="1962"/>
      <c r="HJP4" s="1962"/>
      <c r="HJQ4" s="1962"/>
      <c r="HJR4" s="1962"/>
      <c r="HJS4" s="1962"/>
      <c r="HJT4" s="1962"/>
      <c r="HJU4" s="1962"/>
      <c r="HJV4" s="1962"/>
      <c r="HJW4" s="1962"/>
      <c r="HJX4" s="1962"/>
      <c r="HJY4" s="1962"/>
      <c r="HJZ4" s="1962"/>
      <c r="HKA4" s="1962"/>
      <c r="HKB4" s="1962"/>
      <c r="HKC4" s="1962"/>
      <c r="HKD4" s="1962"/>
      <c r="HKE4" s="1962"/>
      <c r="HKF4" s="1962"/>
      <c r="HKG4" s="1962"/>
      <c r="HKH4" s="1962"/>
      <c r="HKI4" s="1962"/>
      <c r="HKJ4" s="1962"/>
      <c r="HKK4" s="1962"/>
      <c r="HKL4" s="1962"/>
      <c r="HKM4" s="1962"/>
      <c r="HKN4" s="1962"/>
      <c r="HKO4" s="1962"/>
      <c r="HKP4" s="1962"/>
      <c r="HKQ4" s="1962"/>
      <c r="HKR4" s="1962"/>
      <c r="HKS4" s="1962"/>
      <c r="HKT4" s="1962"/>
      <c r="HKU4" s="1962"/>
      <c r="HKV4" s="1962"/>
      <c r="HKW4" s="1962"/>
      <c r="HKX4" s="1962"/>
      <c r="HKY4" s="1962"/>
      <c r="HKZ4" s="1962"/>
      <c r="HLA4" s="1962"/>
      <c r="HLB4" s="1962"/>
      <c r="HLC4" s="1962"/>
      <c r="HLD4" s="1962"/>
      <c r="HLE4" s="1962"/>
      <c r="HLF4" s="1962"/>
      <c r="HLG4" s="1962"/>
      <c r="HLH4" s="1962"/>
      <c r="HLI4" s="1962"/>
      <c r="HLJ4" s="1962"/>
      <c r="HLK4" s="1962"/>
      <c r="HLL4" s="1962"/>
      <c r="HLM4" s="1962"/>
      <c r="HLN4" s="1962"/>
      <c r="HLO4" s="1962"/>
      <c r="HLP4" s="1962"/>
      <c r="HLQ4" s="1962"/>
      <c r="HLR4" s="1962"/>
      <c r="HLS4" s="1962"/>
      <c r="HLT4" s="1962"/>
      <c r="HLU4" s="1962"/>
      <c r="HLV4" s="1962"/>
      <c r="HLW4" s="1962"/>
      <c r="HLX4" s="1962"/>
      <c r="HLY4" s="1962"/>
      <c r="HLZ4" s="1962"/>
      <c r="HMA4" s="1962"/>
      <c r="HMB4" s="1962"/>
      <c r="HMC4" s="1962"/>
      <c r="HMD4" s="1962"/>
      <c r="HME4" s="1962"/>
      <c r="HMF4" s="1962"/>
      <c r="HMG4" s="1962"/>
      <c r="HMH4" s="1962"/>
      <c r="HMI4" s="1962"/>
      <c r="HMJ4" s="1962"/>
      <c r="HMK4" s="1962"/>
      <c r="HML4" s="1962"/>
      <c r="HMM4" s="1962"/>
      <c r="HMN4" s="1962"/>
      <c r="HMO4" s="1962"/>
      <c r="HMP4" s="1962"/>
      <c r="HMQ4" s="1962"/>
      <c r="HMR4" s="1962"/>
      <c r="HMS4" s="1962"/>
      <c r="HMT4" s="1962"/>
      <c r="HMU4" s="1962"/>
      <c r="HMV4" s="1962"/>
      <c r="HMW4" s="1962"/>
      <c r="HMX4" s="1962"/>
      <c r="HMY4" s="1962"/>
      <c r="HMZ4" s="1962"/>
      <c r="HNA4" s="1962"/>
      <c r="HNB4" s="1962"/>
      <c r="HNC4" s="1962"/>
      <c r="HND4" s="1962"/>
      <c r="HNE4" s="1962"/>
      <c r="HNF4" s="1962"/>
      <c r="HNG4" s="1962"/>
      <c r="HNH4" s="1962"/>
      <c r="HNI4" s="1962"/>
      <c r="HNJ4" s="1962"/>
      <c r="HNK4" s="1962"/>
      <c r="HNL4" s="1962"/>
      <c r="HNM4" s="1962"/>
      <c r="HNN4" s="1962"/>
      <c r="HNO4" s="1962"/>
      <c r="HNP4" s="1962"/>
      <c r="HNQ4" s="1962"/>
      <c r="HNR4" s="1962"/>
      <c r="HNS4" s="1962"/>
      <c r="HNT4" s="1962"/>
      <c r="HNU4" s="1962"/>
      <c r="HNV4" s="1962"/>
      <c r="HNW4" s="1962"/>
      <c r="HNX4" s="1962"/>
      <c r="HNY4" s="1962"/>
      <c r="HNZ4" s="1962"/>
      <c r="HOA4" s="1962"/>
      <c r="HOB4" s="1962"/>
      <c r="HOC4" s="1962"/>
      <c r="HOD4" s="1962"/>
      <c r="HOE4" s="1962"/>
      <c r="HOF4" s="1962"/>
      <c r="HOG4" s="1962"/>
      <c r="HOH4" s="1962"/>
      <c r="HOI4" s="1962"/>
      <c r="HOJ4" s="1962"/>
      <c r="HOK4" s="1962"/>
      <c r="HOL4" s="1962"/>
      <c r="HOM4" s="1962"/>
      <c r="HON4" s="1962"/>
      <c r="HOO4" s="1962"/>
      <c r="HOP4" s="1962"/>
      <c r="HOQ4" s="1962"/>
      <c r="HOR4" s="1962"/>
      <c r="HOS4" s="1962"/>
      <c r="HOT4" s="1962"/>
      <c r="HOU4" s="1962"/>
      <c r="HOV4" s="1962"/>
      <c r="HOW4" s="1962"/>
      <c r="HOX4" s="1962"/>
      <c r="HOY4" s="1962"/>
      <c r="HOZ4" s="1962"/>
      <c r="HPA4" s="1962"/>
      <c r="HPB4" s="1962"/>
      <c r="HPC4" s="1962"/>
      <c r="HPD4" s="1962"/>
      <c r="HPE4" s="1962"/>
      <c r="HPF4" s="1962"/>
      <c r="HPG4" s="1962"/>
      <c r="HPH4" s="1962"/>
      <c r="HPI4" s="1962"/>
      <c r="HPJ4" s="1962"/>
      <c r="HPK4" s="1962"/>
      <c r="HPL4" s="1962"/>
      <c r="HPM4" s="1962"/>
      <c r="HPN4" s="1962"/>
      <c r="HPO4" s="1962"/>
      <c r="HPP4" s="1962"/>
      <c r="HPQ4" s="1962"/>
      <c r="HPR4" s="1962"/>
      <c r="HPS4" s="1962"/>
      <c r="HPT4" s="1962"/>
      <c r="HPU4" s="1962"/>
      <c r="HPV4" s="1962"/>
      <c r="HPW4" s="1962"/>
      <c r="HPX4" s="1962"/>
      <c r="HPY4" s="1962"/>
      <c r="HPZ4" s="1962"/>
      <c r="HQA4" s="1962"/>
      <c r="HQB4" s="1962"/>
      <c r="HQC4" s="1962"/>
      <c r="HQD4" s="1962"/>
      <c r="HQE4" s="1962"/>
      <c r="HQF4" s="1962"/>
      <c r="HQG4" s="1962"/>
      <c r="HQH4" s="1962"/>
      <c r="HQI4" s="1962"/>
      <c r="HQJ4" s="1962"/>
      <c r="HQK4" s="1962"/>
      <c r="HQL4" s="1962"/>
      <c r="HQM4" s="1962"/>
      <c r="HQN4" s="1962"/>
      <c r="HQO4" s="1962"/>
      <c r="HQP4" s="1962"/>
      <c r="HQQ4" s="1962"/>
      <c r="HQR4" s="1962"/>
      <c r="HQS4" s="1962"/>
      <c r="HQT4" s="1962"/>
      <c r="HQU4" s="1962"/>
      <c r="HQV4" s="1962"/>
      <c r="HQW4" s="1962"/>
      <c r="HQX4" s="1962"/>
      <c r="HQY4" s="1962"/>
      <c r="HQZ4" s="1962"/>
      <c r="HRA4" s="1962"/>
      <c r="HRB4" s="1962"/>
      <c r="HRC4" s="1962"/>
      <c r="HRD4" s="1962"/>
      <c r="HRE4" s="1962"/>
      <c r="HRF4" s="1962"/>
      <c r="HRG4" s="1962"/>
      <c r="HRH4" s="1962"/>
      <c r="HRI4" s="1962"/>
      <c r="HRJ4" s="1962"/>
      <c r="HRK4" s="1962"/>
      <c r="HRL4" s="1962"/>
      <c r="HRM4" s="1962"/>
      <c r="HRN4" s="1962"/>
      <c r="HRO4" s="1962"/>
      <c r="HRP4" s="1962"/>
      <c r="HRQ4" s="1962"/>
      <c r="HRR4" s="1962"/>
      <c r="HRS4" s="1962"/>
      <c r="HRT4" s="1962"/>
      <c r="HRU4" s="1962"/>
      <c r="HRV4" s="1962"/>
      <c r="HRW4" s="1962"/>
      <c r="HRX4" s="1962"/>
      <c r="HRY4" s="1962"/>
      <c r="HRZ4" s="1962"/>
      <c r="HSA4" s="1962"/>
      <c r="HSB4" s="1962"/>
      <c r="HSC4" s="1962"/>
      <c r="HSD4" s="1962"/>
      <c r="HSE4" s="1962"/>
      <c r="HSF4" s="1962"/>
      <c r="HSG4" s="1962"/>
      <c r="HSH4" s="1962"/>
      <c r="HSI4" s="1962"/>
      <c r="HSJ4" s="1962"/>
      <c r="HSK4" s="1962"/>
      <c r="HSL4" s="1962"/>
      <c r="HSM4" s="1962"/>
      <c r="HSN4" s="1962"/>
      <c r="HSO4" s="1962"/>
      <c r="HSP4" s="1962"/>
      <c r="HSQ4" s="1962"/>
      <c r="HSR4" s="1962"/>
      <c r="HSS4" s="1962"/>
      <c r="HST4" s="1962"/>
      <c r="HSU4" s="1962"/>
      <c r="HSV4" s="1962"/>
      <c r="HSW4" s="1962"/>
      <c r="HSX4" s="1962"/>
      <c r="HSY4" s="1962"/>
      <c r="HSZ4" s="1962"/>
      <c r="HTA4" s="1962"/>
      <c r="HTB4" s="1962"/>
      <c r="HTC4" s="1962"/>
      <c r="HTD4" s="1962"/>
      <c r="HTE4" s="1962"/>
      <c r="HTF4" s="1962"/>
      <c r="HTG4" s="1962"/>
      <c r="HTH4" s="1962"/>
      <c r="HTI4" s="1962"/>
      <c r="HTJ4" s="1962"/>
      <c r="HTK4" s="1962"/>
      <c r="HTL4" s="1962"/>
      <c r="HTM4" s="1962"/>
      <c r="HTN4" s="1962"/>
      <c r="HTO4" s="1962"/>
      <c r="HTP4" s="1962"/>
      <c r="HTQ4" s="1962"/>
      <c r="HTR4" s="1962"/>
      <c r="HTS4" s="1962"/>
      <c r="HTT4" s="1962"/>
      <c r="HTU4" s="1962"/>
      <c r="HTV4" s="1962"/>
      <c r="HTW4" s="1962"/>
      <c r="HTX4" s="1962"/>
      <c r="HTY4" s="1962"/>
      <c r="HTZ4" s="1962"/>
      <c r="HUA4" s="1962"/>
      <c r="HUB4" s="1962"/>
      <c r="HUC4" s="1962"/>
      <c r="HUD4" s="1962"/>
      <c r="HUE4" s="1962"/>
      <c r="HUF4" s="1962"/>
      <c r="HUG4" s="1962"/>
      <c r="HUH4" s="1962"/>
      <c r="HUI4" s="1962"/>
      <c r="HUJ4" s="1962"/>
      <c r="HUK4" s="1962"/>
      <c r="HUL4" s="1962"/>
      <c r="HUM4" s="1962"/>
      <c r="HUN4" s="1962"/>
      <c r="HUO4" s="1962"/>
      <c r="HUP4" s="1962"/>
      <c r="HUQ4" s="1962"/>
      <c r="HUR4" s="1962"/>
      <c r="HUS4" s="1962"/>
      <c r="HUT4" s="1962"/>
      <c r="HUU4" s="1962"/>
      <c r="HUV4" s="1962"/>
      <c r="HUW4" s="1962"/>
      <c r="HUX4" s="1962"/>
      <c r="HUY4" s="1962"/>
      <c r="HUZ4" s="1962"/>
      <c r="HVA4" s="1962"/>
      <c r="HVB4" s="1962"/>
      <c r="HVC4" s="1962"/>
      <c r="HVD4" s="1962"/>
      <c r="HVE4" s="1962"/>
      <c r="HVF4" s="1962"/>
      <c r="HVG4" s="1962"/>
      <c r="HVH4" s="1962"/>
      <c r="HVI4" s="1962"/>
      <c r="HVJ4" s="1962"/>
      <c r="HVK4" s="1962"/>
      <c r="HVL4" s="1962"/>
      <c r="HVM4" s="1962"/>
      <c r="HVN4" s="1962"/>
      <c r="HVO4" s="1962"/>
      <c r="HVP4" s="1962"/>
      <c r="HVQ4" s="1962"/>
      <c r="HVR4" s="1962"/>
      <c r="HVS4" s="1962"/>
      <c r="HVT4" s="1962"/>
      <c r="HVU4" s="1962"/>
      <c r="HVV4" s="1962"/>
      <c r="HVW4" s="1962"/>
      <c r="HVX4" s="1962"/>
      <c r="HVY4" s="1962"/>
      <c r="HVZ4" s="1962"/>
      <c r="HWA4" s="1962"/>
      <c r="HWB4" s="1962"/>
      <c r="HWC4" s="1962"/>
      <c r="HWD4" s="1962"/>
      <c r="HWE4" s="1962"/>
      <c r="HWF4" s="1962"/>
      <c r="HWG4" s="1962"/>
      <c r="HWH4" s="1962"/>
      <c r="HWI4" s="1962"/>
      <c r="HWJ4" s="1962"/>
      <c r="HWK4" s="1962"/>
      <c r="HWL4" s="1962"/>
      <c r="HWM4" s="1962"/>
      <c r="HWN4" s="1962"/>
      <c r="HWO4" s="1962"/>
      <c r="HWP4" s="1962"/>
      <c r="HWQ4" s="1962"/>
      <c r="HWR4" s="1962"/>
      <c r="HWS4" s="1962"/>
      <c r="HWT4" s="1962"/>
      <c r="HWU4" s="1962"/>
      <c r="HWV4" s="1962"/>
      <c r="HWW4" s="1962"/>
      <c r="HWX4" s="1962"/>
      <c r="HWY4" s="1962"/>
      <c r="HWZ4" s="1962"/>
      <c r="HXA4" s="1962"/>
      <c r="HXB4" s="1962"/>
      <c r="HXC4" s="1962"/>
      <c r="HXD4" s="1962"/>
      <c r="HXE4" s="1962"/>
      <c r="HXF4" s="1962"/>
      <c r="HXG4" s="1962"/>
      <c r="HXH4" s="1962"/>
      <c r="HXI4" s="1962"/>
      <c r="HXJ4" s="1962"/>
      <c r="HXK4" s="1962"/>
      <c r="HXL4" s="1962"/>
      <c r="HXM4" s="1962"/>
      <c r="HXN4" s="1962"/>
      <c r="HXO4" s="1962"/>
      <c r="HXP4" s="1962"/>
      <c r="HXQ4" s="1962"/>
      <c r="HXR4" s="1962"/>
      <c r="HXS4" s="1962"/>
      <c r="HXT4" s="1962"/>
      <c r="HXU4" s="1962"/>
      <c r="HXV4" s="1962"/>
      <c r="HXW4" s="1962"/>
      <c r="HXX4" s="1962"/>
      <c r="HXY4" s="1962"/>
      <c r="HXZ4" s="1962"/>
      <c r="HYA4" s="1962"/>
      <c r="HYB4" s="1962"/>
      <c r="HYC4" s="1962"/>
      <c r="HYD4" s="1962"/>
      <c r="HYE4" s="1962"/>
      <c r="HYF4" s="1962"/>
      <c r="HYG4" s="1962"/>
      <c r="HYH4" s="1962"/>
      <c r="HYI4" s="1962"/>
      <c r="HYJ4" s="1962"/>
      <c r="HYK4" s="1962"/>
      <c r="HYL4" s="1962"/>
      <c r="HYM4" s="1962"/>
      <c r="HYN4" s="1962"/>
      <c r="HYO4" s="1962"/>
      <c r="HYP4" s="1962"/>
      <c r="HYQ4" s="1962"/>
      <c r="HYR4" s="1962"/>
      <c r="HYS4" s="1962"/>
      <c r="HYT4" s="1962"/>
      <c r="HYU4" s="1962"/>
      <c r="HYV4" s="1962"/>
      <c r="HYW4" s="1962"/>
      <c r="HYX4" s="1962"/>
      <c r="HYY4" s="1962"/>
      <c r="HYZ4" s="1962"/>
      <c r="HZA4" s="1962"/>
      <c r="HZB4" s="1962"/>
      <c r="HZC4" s="1962"/>
      <c r="HZD4" s="1962"/>
      <c r="HZE4" s="1962"/>
      <c r="HZF4" s="1962"/>
      <c r="HZG4" s="1962"/>
      <c r="HZH4" s="1962"/>
      <c r="HZI4" s="1962"/>
      <c r="HZJ4" s="1962"/>
      <c r="HZK4" s="1962"/>
      <c r="HZL4" s="1962"/>
      <c r="HZM4" s="1962"/>
      <c r="HZN4" s="1962"/>
      <c r="HZO4" s="1962"/>
      <c r="HZP4" s="1962"/>
      <c r="HZQ4" s="1962"/>
      <c r="HZR4" s="1962"/>
      <c r="HZS4" s="1962"/>
      <c r="HZT4" s="1962"/>
      <c r="HZU4" s="1962"/>
      <c r="HZV4" s="1962"/>
      <c r="HZW4" s="1962"/>
      <c r="HZX4" s="1962"/>
      <c r="HZY4" s="1962"/>
      <c r="HZZ4" s="1962"/>
      <c r="IAA4" s="1962"/>
      <c r="IAB4" s="1962"/>
      <c r="IAC4" s="1962"/>
      <c r="IAD4" s="1962"/>
      <c r="IAE4" s="1962"/>
      <c r="IAF4" s="1962"/>
      <c r="IAG4" s="1962"/>
      <c r="IAH4" s="1962"/>
      <c r="IAI4" s="1962"/>
      <c r="IAJ4" s="1962"/>
      <c r="IAK4" s="1962"/>
      <c r="IAL4" s="1962"/>
      <c r="IAM4" s="1962"/>
      <c r="IAN4" s="1962"/>
      <c r="IAO4" s="1962"/>
      <c r="IAP4" s="1962"/>
      <c r="IAQ4" s="1962"/>
      <c r="IAR4" s="1962"/>
      <c r="IAS4" s="1962"/>
      <c r="IAT4" s="1962"/>
      <c r="IAU4" s="1962"/>
      <c r="IAV4" s="1962"/>
      <c r="IAW4" s="1962"/>
      <c r="IAX4" s="1962"/>
      <c r="IAY4" s="1962"/>
      <c r="IAZ4" s="1962"/>
      <c r="IBA4" s="1962"/>
      <c r="IBB4" s="1962"/>
      <c r="IBC4" s="1962"/>
      <c r="IBD4" s="1962"/>
      <c r="IBE4" s="1962"/>
      <c r="IBF4" s="1962"/>
      <c r="IBG4" s="1962"/>
      <c r="IBH4" s="1962"/>
      <c r="IBI4" s="1962"/>
      <c r="IBJ4" s="1962"/>
      <c r="IBK4" s="1962"/>
      <c r="IBL4" s="1962"/>
      <c r="IBM4" s="1962"/>
      <c r="IBN4" s="1962"/>
      <c r="IBO4" s="1962"/>
      <c r="IBP4" s="1962"/>
      <c r="IBQ4" s="1962"/>
      <c r="IBR4" s="1962"/>
      <c r="IBS4" s="1962"/>
      <c r="IBT4" s="1962"/>
      <c r="IBU4" s="1962"/>
      <c r="IBV4" s="1962"/>
      <c r="IBW4" s="1962"/>
      <c r="IBX4" s="1962"/>
      <c r="IBY4" s="1962"/>
      <c r="IBZ4" s="1962"/>
      <c r="ICA4" s="1962"/>
      <c r="ICB4" s="1962"/>
      <c r="ICC4" s="1962"/>
      <c r="ICD4" s="1962"/>
      <c r="ICE4" s="1962"/>
      <c r="ICF4" s="1962"/>
      <c r="ICG4" s="1962"/>
      <c r="ICH4" s="1962"/>
      <c r="ICI4" s="1962"/>
      <c r="ICJ4" s="1962"/>
      <c r="ICK4" s="1962"/>
      <c r="ICL4" s="1962"/>
      <c r="ICM4" s="1962"/>
      <c r="ICN4" s="1962"/>
      <c r="ICO4" s="1962"/>
      <c r="ICP4" s="1962"/>
      <c r="ICQ4" s="1962"/>
      <c r="ICR4" s="1962"/>
      <c r="ICS4" s="1962"/>
      <c r="ICT4" s="1962"/>
      <c r="ICU4" s="1962"/>
      <c r="ICV4" s="1962"/>
      <c r="ICW4" s="1962"/>
      <c r="ICX4" s="1962"/>
      <c r="ICY4" s="1962"/>
      <c r="ICZ4" s="1962"/>
      <c r="IDA4" s="1962"/>
      <c r="IDB4" s="1962"/>
      <c r="IDC4" s="1962"/>
      <c r="IDD4" s="1962"/>
      <c r="IDE4" s="1962"/>
      <c r="IDF4" s="1962"/>
      <c r="IDG4" s="1962"/>
      <c r="IDH4" s="1962"/>
      <c r="IDI4" s="1962"/>
      <c r="IDJ4" s="1962"/>
      <c r="IDK4" s="1962"/>
      <c r="IDL4" s="1962"/>
      <c r="IDM4" s="1962"/>
      <c r="IDN4" s="1962"/>
      <c r="IDO4" s="1962"/>
      <c r="IDP4" s="1962"/>
      <c r="IDQ4" s="1962"/>
      <c r="IDR4" s="1962"/>
      <c r="IDS4" s="1962"/>
      <c r="IDT4" s="1962"/>
      <c r="IDU4" s="1962"/>
      <c r="IDV4" s="1962"/>
      <c r="IDW4" s="1962"/>
      <c r="IDX4" s="1962"/>
      <c r="IDY4" s="1962"/>
      <c r="IDZ4" s="1962"/>
      <c r="IEA4" s="1962"/>
      <c r="IEB4" s="1962"/>
      <c r="IEC4" s="1962"/>
      <c r="IED4" s="1962"/>
      <c r="IEE4" s="1962"/>
      <c r="IEF4" s="1962"/>
      <c r="IEG4" s="1962"/>
      <c r="IEH4" s="1962"/>
      <c r="IEI4" s="1962"/>
      <c r="IEJ4" s="1962"/>
      <c r="IEK4" s="1962"/>
      <c r="IEL4" s="1962"/>
      <c r="IEM4" s="1962"/>
      <c r="IEN4" s="1962"/>
      <c r="IEO4" s="1962"/>
      <c r="IEP4" s="1962"/>
      <c r="IEQ4" s="1962"/>
      <c r="IER4" s="1962"/>
      <c r="IES4" s="1962"/>
      <c r="IET4" s="1962"/>
      <c r="IEU4" s="1962"/>
      <c r="IEV4" s="1962"/>
      <c r="IEW4" s="1962"/>
      <c r="IEX4" s="1962"/>
      <c r="IEY4" s="1962"/>
      <c r="IEZ4" s="1962"/>
      <c r="IFA4" s="1962"/>
      <c r="IFB4" s="1962"/>
      <c r="IFC4" s="1962"/>
      <c r="IFD4" s="1962"/>
      <c r="IFE4" s="1962"/>
      <c r="IFF4" s="1962"/>
      <c r="IFG4" s="1962"/>
      <c r="IFH4" s="1962"/>
      <c r="IFI4" s="1962"/>
      <c r="IFJ4" s="1962"/>
      <c r="IFK4" s="1962"/>
      <c r="IFL4" s="1962"/>
      <c r="IFM4" s="1962"/>
      <c r="IFN4" s="1962"/>
      <c r="IFO4" s="1962"/>
      <c r="IFP4" s="1962"/>
      <c r="IFQ4" s="1962"/>
      <c r="IFR4" s="1962"/>
      <c r="IFS4" s="1962"/>
      <c r="IFT4" s="1962"/>
      <c r="IFU4" s="1962"/>
      <c r="IFV4" s="1962"/>
      <c r="IFW4" s="1962"/>
      <c r="IFX4" s="1962"/>
      <c r="IFY4" s="1962"/>
      <c r="IFZ4" s="1962"/>
      <c r="IGA4" s="1962"/>
      <c r="IGB4" s="1962"/>
      <c r="IGC4" s="1962"/>
      <c r="IGD4" s="1962"/>
      <c r="IGE4" s="1962"/>
      <c r="IGF4" s="1962"/>
      <c r="IGG4" s="1962"/>
      <c r="IGH4" s="1962"/>
      <c r="IGI4" s="1962"/>
      <c r="IGJ4" s="1962"/>
      <c r="IGK4" s="1962"/>
      <c r="IGL4" s="1962"/>
      <c r="IGM4" s="1962"/>
      <c r="IGN4" s="1962"/>
      <c r="IGO4" s="1962"/>
      <c r="IGP4" s="1962"/>
      <c r="IGQ4" s="1962"/>
      <c r="IGR4" s="1962"/>
      <c r="IGS4" s="1962"/>
      <c r="IGT4" s="1962"/>
      <c r="IGU4" s="1962"/>
      <c r="IGV4" s="1962"/>
      <c r="IGW4" s="1962"/>
      <c r="IGX4" s="1962"/>
      <c r="IGY4" s="1962"/>
      <c r="IGZ4" s="1962"/>
      <c r="IHA4" s="1962"/>
      <c r="IHB4" s="1962"/>
      <c r="IHC4" s="1962"/>
      <c r="IHD4" s="1962"/>
      <c r="IHE4" s="1962"/>
      <c r="IHF4" s="1962"/>
      <c r="IHG4" s="1962"/>
      <c r="IHH4" s="1962"/>
      <c r="IHI4" s="1962"/>
      <c r="IHJ4" s="1962"/>
      <c r="IHK4" s="1962"/>
      <c r="IHL4" s="1962"/>
      <c r="IHM4" s="1962"/>
      <c r="IHN4" s="1962"/>
      <c r="IHO4" s="1962"/>
      <c r="IHP4" s="1962"/>
      <c r="IHQ4" s="1962"/>
      <c r="IHR4" s="1962"/>
      <c r="IHS4" s="1962"/>
      <c r="IHT4" s="1962"/>
      <c r="IHU4" s="1962"/>
      <c r="IHV4" s="1962"/>
      <c r="IHW4" s="1962"/>
      <c r="IHX4" s="1962"/>
      <c r="IHY4" s="1962"/>
      <c r="IHZ4" s="1962"/>
      <c r="IIA4" s="1962"/>
      <c r="IIB4" s="1962"/>
      <c r="IIC4" s="1962"/>
      <c r="IID4" s="1962"/>
      <c r="IIE4" s="1962"/>
      <c r="IIF4" s="1962"/>
      <c r="IIG4" s="1962"/>
      <c r="IIH4" s="1962"/>
      <c r="III4" s="1962"/>
      <c r="IIJ4" s="1962"/>
      <c r="IIK4" s="1962"/>
      <c r="IIL4" s="1962"/>
      <c r="IIM4" s="1962"/>
      <c r="IIN4" s="1962"/>
      <c r="IIO4" s="1962"/>
      <c r="IIP4" s="1962"/>
      <c r="IIQ4" s="1962"/>
      <c r="IIR4" s="1962"/>
      <c r="IIS4" s="1962"/>
      <c r="IIT4" s="1962"/>
      <c r="IIU4" s="1962"/>
      <c r="IIV4" s="1962"/>
      <c r="IIW4" s="1962"/>
      <c r="IIX4" s="1962"/>
      <c r="IIY4" s="1962"/>
      <c r="IIZ4" s="1962"/>
      <c r="IJA4" s="1962"/>
      <c r="IJB4" s="1962"/>
      <c r="IJC4" s="1962"/>
      <c r="IJD4" s="1962"/>
      <c r="IJE4" s="1962"/>
      <c r="IJF4" s="1962"/>
      <c r="IJG4" s="1962"/>
      <c r="IJH4" s="1962"/>
      <c r="IJI4" s="1962"/>
      <c r="IJJ4" s="1962"/>
      <c r="IJK4" s="1962"/>
      <c r="IJL4" s="1962"/>
      <c r="IJM4" s="1962"/>
      <c r="IJN4" s="1962"/>
      <c r="IJO4" s="1962"/>
      <c r="IJP4" s="1962"/>
      <c r="IJQ4" s="1962"/>
      <c r="IJR4" s="1962"/>
      <c r="IJS4" s="1962"/>
      <c r="IJT4" s="1962"/>
      <c r="IJU4" s="1962"/>
      <c r="IJV4" s="1962"/>
      <c r="IJW4" s="1962"/>
      <c r="IJX4" s="1962"/>
      <c r="IJY4" s="1962"/>
      <c r="IJZ4" s="1962"/>
      <c r="IKA4" s="1962"/>
      <c r="IKB4" s="1962"/>
      <c r="IKC4" s="1962"/>
      <c r="IKD4" s="1962"/>
      <c r="IKE4" s="1962"/>
      <c r="IKF4" s="1962"/>
      <c r="IKG4" s="1962"/>
      <c r="IKH4" s="1962"/>
      <c r="IKI4" s="1962"/>
      <c r="IKJ4" s="1962"/>
      <c r="IKK4" s="1962"/>
      <c r="IKL4" s="1962"/>
      <c r="IKM4" s="1962"/>
      <c r="IKN4" s="1962"/>
      <c r="IKO4" s="1962"/>
      <c r="IKP4" s="1962"/>
      <c r="IKQ4" s="1962"/>
      <c r="IKR4" s="1962"/>
      <c r="IKS4" s="1962"/>
      <c r="IKT4" s="1962"/>
      <c r="IKU4" s="1962"/>
      <c r="IKV4" s="1962"/>
      <c r="IKW4" s="1962"/>
      <c r="IKX4" s="1962"/>
      <c r="IKY4" s="1962"/>
      <c r="IKZ4" s="1962"/>
      <c r="ILA4" s="1962"/>
      <c r="ILB4" s="1962"/>
      <c r="ILC4" s="1962"/>
      <c r="ILD4" s="1962"/>
      <c r="ILE4" s="1962"/>
      <c r="ILF4" s="1962"/>
      <c r="ILG4" s="1962"/>
      <c r="ILH4" s="1962"/>
      <c r="ILI4" s="1962"/>
      <c r="ILJ4" s="1962"/>
      <c r="ILK4" s="1962"/>
      <c r="ILL4" s="1962"/>
      <c r="ILM4" s="1962"/>
      <c r="ILN4" s="1962"/>
      <c r="ILO4" s="1962"/>
      <c r="ILP4" s="1962"/>
      <c r="ILQ4" s="1962"/>
      <c r="ILR4" s="1962"/>
      <c r="ILS4" s="1962"/>
      <c r="ILT4" s="1962"/>
      <c r="ILU4" s="1962"/>
      <c r="ILV4" s="1962"/>
      <c r="ILW4" s="1962"/>
      <c r="ILX4" s="1962"/>
      <c r="ILY4" s="1962"/>
      <c r="ILZ4" s="1962"/>
      <c r="IMA4" s="1962"/>
      <c r="IMB4" s="1962"/>
      <c r="IMC4" s="1962"/>
      <c r="IMD4" s="1962"/>
      <c r="IME4" s="1962"/>
      <c r="IMF4" s="1962"/>
      <c r="IMG4" s="1962"/>
      <c r="IMH4" s="1962"/>
      <c r="IMI4" s="1962"/>
      <c r="IMJ4" s="1962"/>
      <c r="IMK4" s="1962"/>
      <c r="IML4" s="1962"/>
      <c r="IMM4" s="1962"/>
      <c r="IMN4" s="1962"/>
      <c r="IMO4" s="1962"/>
      <c r="IMP4" s="1962"/>
      <c r="IMQ4" s="1962"/>
      <c r="IMR4" s="1962"/>
      <c r="IMS4" s="1962"/>
      <c r="IMT4" s="1962"/>
      <c r="IMU4" s="1962"/>
      <c r="IMV4" s="1962"/>
      <c r="IMW4" s="1962"/>
      <c r="IMX4" s="1962"/>
      <c r="IMY4" s="1962"/>
      <c r="IMZ4" s="1962"/>
      <c r="INA4" s="1962"/>
      <c r="INB4" s="1962"/>
      <c r="INC4" s="1962"/>
      <c r="IND4" s="1962"/>
      <c r="INE4" s="1962"/>
      <c r="INF4" s="1962"/>
      <c r="ING4" s="1962"/>
      <c r="INH4" s="1962"/>
      <c r="INI4" s="1962"/>
      <c r="INJ4" s="1962"/>
      <c r="INK4" s="1962"/>
      <c r="INL4" s="1962"/>
      <c r="INM4" s="1962"/>
      <c r="INN4" s="1962"/>
      <c r="INO4" s="1962"/>
      <c r="INP4" s="1962"/>
      <c r="INQ4" s="1962"/>
      <c r="INR4" s="1962"/>
      <c r="INS4" s="1962"/>
      <c r="INT4" s="1962"/>
      <c r="INU4" s="1962"/>
      <c r="INV4" s="1962"/>
      <c r="INW4" s="1962"/>
      <c r="INX4" s="1962"/>
      <c r="INY4" s="1962"/>
      <c r="INZ4" s="1962"/>
      <c r="IOA4" s="1962"/>
      <c r="IOB4" s="1962"/>
      <c r="IOC4" s="1962"/>
      <c r="IOD4" s="1962"/>
      <c r="IOE4" s="1962"/>
      <c r="IOF4" s="1962"/>
      <c r="IOG4" s="1962"/>
      <c r="IOH4" s="1962"/>
      <c r="IOI4" s="1962"/>
      <c r="IOJ4" s="1962"/>
      <c r="IOK4" s="1962"/>
      <c r="IOL4" s="1962"/>
      <c r="IOM4" s="1962"/>
      <c r="ION4" s="1962"/>
      <c r="IOO4" s="1962"/>
      <c r="IOP4" s="1962"/>
      <c r="IOQ4" s="1962"/>
      <c r="IOR4" s="1962"/>
      <c r="IOS4" s="1962"/>
      <c r="IOT4" s="1962"/>
      <c r="IOU4" s="1962"/>
      <c r="IOV4" s="1962"/>
      <c r="IOW4" s="1962"/>
      <c r="IOX4" s="1962"/>
      <c r="IOY4" s="1962"/>
      <c r="IOZ4" s="1962"/>
      <c r="IPA4" s="1962"/>
      <c r="IPB4" s="1962"/>
      <c r="IPC4" s="1962"/>
      <c r="IPD4" s="1962"/>
      <c r="IPE4" s="1962"/>
      <c r="IPF4" s="1962"/>
      <c r="IPG4" s="1962"/>
      <c r="IPH4" s="1962"/>
      <c r="IPI4" s="1962"/>
      <c r="IPJ4" s="1962"/>
      <c r="IPK4" s="1962"/>
      <c r="IPL4" s="1962"/>
      <c r="IPM4" s="1962"/>
      <c r="IPN4" s="1962"/>
      <c r="IPO4" s="1962"/>
      <c r="IPP4" s="1962"/>
      <c r="IPQ4" s="1962"/>
      <c r="IPR4" s="1962"/>
      <c r="IPS4" s="1962"/>
      <c r="IPT4" s="1962"/>
      <c r="IPU4" s="1962"/>
      <c r="IPV4" s="1962"/>
      <c r="IPW4" s="1962"/>
      <c r="IPX4" s="1962"/>
      <c r="IPY4" s="1962"/>
      <c r="IPZ4" s="1962"/>
      <c r="IQA4" s="1962"/>
      <c r="IQB4" s="1962"/>
      <c r="IQC4" s="1962"/>
      <c r="IQD4" s="1962"/>
      <c r="IQE4" s="1962"/>
      <c r="IQF4" s="1962"/>
      <c r="IQG4" s="1962"/>
      <c r="IQH4" s="1962"/>
      <c r="IQI4" s="1962"/>
      <c r="IQJ4" s="1962"/>
      <c r="IQK4" s="1962"/>
      <c r="IQL4" s="1962"/>
      <c r="IQM4" s="1962"/>
      <c r="IQN4" s="1962"/>
      <c r="IQO4" s="1962"/>
      <c r="IQP4" s="1962"/>
      <c r="IQQ4" s="1962"/>
      <c r="IQR4" s="1962"/>
      <c r="IQS4" s="1962"/>
      <c r="IQT4" s="1962"/>
      <c r="IQU4" s="1962"/>
      <c r="IQV4" s="1962"/>
      <c r="IQW4" s="1962"/>
      <c r="IQX4" s="1962"/>
      <c r="IQY4" s="1962"/>
      <c r="IQZ4" s="1962"/>
      <c r="IRA4" s="1962"/>
      <c r="IRB4" s="1962"/>
      <c r="IRC4" s="1962"/>
      <c r="IRD4" s="1962"/>
      <c r="IRE4" s="1962"/>
      <c r="IRF4" s="1962"/>
      <c r="IRG4" s="1962"/>
      <c r="IRH4" s="1962"/>
      <c r="IRI4" s="1962"/>
      <c r="IRJ4" s="1962"/>
      <c r="IRK4" s="1962"/>
      <c r="IRL4" s="1962"/>
      <c r="IRM4" s="1962"/>
      <c r="IRN4" s="1962"/>
      <c r="IRO4" s="1962"/>
      <c r="IRP4" s="1962"/>
      <c r="IRQ4" s="1962"/>
      <c r="IRR4" s="1962"/>
      <c r="IRS4" s="1962"/>
      <c r="IRT4" s="1962"/>
      <c r="IRU4" s="1962"/>
      <c r="IRV4" s="1962"/>
      <c r="IRW4" s="1962"/>
      <c r="IRX4" s="1962"/>
      <c r="IRY4" s="1962"/>
      <c r="IRZ4" s="1962"/>
      <c r="ISA4" s="1962"/>
      <c r="ISB4" s="1962"/>
      <c r="ISC4" s="1962"/>
      <c r="ISD4" s="1962"/>
      <c r="ISE4" s="1962"/>
      <c r="ISF4" s="1962"/>
      <c r="ISG4" s="1962"/>
      <c r="ISH4" s="1962"/>
      <c r="ISI4" s="1962"/>
      <c r="ISJ4" s="1962"/>
      <c r="ISK4" s="1962"/>
      <c r="ISL4" s="1962"/>
      <c r="ISM4" s="1962"/>
      <c r="ISN4" s="1962"/>
      <c r="ISO4" s="1962"/>
      <c r="ISP4" s="1962"/>
      <c r="ISQ4" s="1962"/>
      <c r="ISR4" s="1962"/>
      <c r="ISS4" s="1962"/>
      <c r="IST4" s="1962"/>
      <c r="ISU4" s="1962"/>
      <c r="ISV4" s="1962"/>
      <c r="ISW4" s="1962"/>
      <c r="ISX4" s="1962"/>
      <c r="ISY4" s="1962"/>
      <c r="ISZ4" s="1962"/>
      <c r="ITA4" s="1962"/>
      <c r="ITB4" s="1962"/>
      <c r="ITC4" s="1962"/>
      <c r="ITD4" s="1962"/>
      <c r="ITE4" s="1962"/>
      <c r="ITF4" s="1962"/>
      <c r="ITG4" s="1962"/>
      <c r="ITH4" s="1962"/>
      <c r="ITI4" s="1962"/>
      <c r="ITJ4" s="1962"/>
      <c r="ITK4" s="1962"/>
      <c r="ITL4" s="1962"/>
      <c r="ITM4" s="1962"/>
      <c r="ITN4" s="1962"/>
      <c r="ITO4" s="1962"/>
      <c r="ITP4" s="1962"/>
      <c r="ITQ4" s="1962"/>
      <c r="ITR4" s="1962"/>
      <c r="ITS4" s="1962"/>
      <c r="ITT4" s="1962"/>
      <c r="ITU4" s="1962"/>
      <c r="ITV4" s="1962"/>
      <c r="ITW4" s="1962"/>
      <c r="ITX4" s="1962"/>
      <c r="ITY4" s="1962"/>
      <c r="ITZ4" s="1962"/>
      <c r="IUA4" s="1962"/>
      <c r="IUB4" s="1962"/>
      <c r="IUC4" s="1962"/>
      <c r="IUD4" s="1962"/>
      <c r="IUE4" s="1962"/>
      <c r="IUF4" s="1962"/>
      <c r="IUG4" s="1962"/>
      <c r="IUH4" s="1962"/>
      <c r="IUI4" s="1962"/>
      <c r="IUJ4" s="1962"/>
      <c r="IUK4" s="1962"/>
      <c r="IUL4" s="1962"/>
      <c r="IUM4" s="1962"/>
      <c r="IUN4" s="1962"/>
      <c r="IUO4" s="1962"/>
      <c r="IUP4" s="1962"/>
      <c r="IUQ4" s="1962"/>
      <c r="IUR4" s="1962"/>
      <c r="IUS4" s="1962"/>
      <c r="IUT4" s="1962"/>
      <c r="IUU4" s="1962"/>
      <c r="IUV4" s="1962"/>
      <c r="IUW4" s="1962"/>
      <c r="IUX4" s="1962"/>
      <c r="IUY4" s="1962"/>
      <c r="IUZ4" s="1962"/>
      <c r="IVA4" s="1962"/>
      <c r="IVB4" s="1962"/>
      <c r="IVC4" s="1962"/>
      <c r="IVD4" s="1962"/>
      <c r="IVE4" s="1962"/>
      <c r="IVF4" s="1962"/>
      <c r="IVG4" s="1962"/>
      <c r="IVH4" s="1962"/>
      <c r="IVI4" s="1962"/>
      <c r="IVJ4" s="1962"/>
      <c r="IVK4" s="1962"/>
      <c r="IVL4" s="1962"/>
      <c r="IVM4" s="1962"/>
      <c r="IVN4" s="1962"/>
      <c r="IVO4" s="1962"/>
      <c r="IVP4" s="1962"/>
      <c r="IVQ4" s="1962"/>
      <c r="IVR4" s="1962"/>
      <c r="IVS4" s="1962"/>
      <c r="IVT4" s="1962"/>
      <c r="IVU4" s="1962"/>
      <c r="IVV4" s="1962"/>
      <c r="IVW4" s="1962"/>
      <c r="IVX4" s="1962"/>
      <c r="IVY4" s="1962"/>
      <c r="IVZ4" s="1962"/>
      <c r="IWA4" s="1962"/>
      <c r="IWB4" s="1962"/>
      <c r="IWC4" s="1962"/>
      <c r="IWD4" s="1962"/>
      <c r="IWE4" s="1962"/>
      <c r="IWF4" s="1962"/>
      <c r="IWG4" s="1962"/>
      <c r="IWH4" s="1962"/>
      <c r="IWI4" s="1962"/>
      <c r="IWJ4" s="1962"/>
      <c r="IWK4" s="1962"/>
      <c r="IWL4" s="1962"/>
      <c r="IWM4" s="1962"/>
      <c r="IWN4" s="1962"/>
      <c r="IWO4" s="1962"/>
      <c r="IWP4" s="1962"/>
      <c r="IWQ4" s="1962"/>
      <c r="IWR4" s="1962"/>
      <c r="IWS4" s="1962"/>
      <c r="IWT4" s="1962"/>
      <c r="IWU4" s="1962"/>
      <c r="IWV4" s="1962"/>
      <c r="IWW4" s="1962"/>
      <c r="IWX4" s="1962"/>
      <c r="IWY4" s="1962"/>
      <c r="IWZ4" s="1962"/>
      <c r="IXA4" s="1962"/>
      <c r="IXB4" s="1962"/>
      <c r="IXC4" s="1962"/>
      <c r="IXD4" s="1962"/>
      <c r="IXE4" s="1962"/>
      <c r="IXF4" s="1962"/>
      <c r="IXG4" s="1962"/>
      <c r="IXH4" s="1962"/>
      <c r="IXI4" s="1962"/>
      <c r="IXJ4" s="1962"/>
      <c r="IXK4" s="1962"/>
      <c r="IXL4" s="1962"/>
      <c r="IXM4" s="1962"/>
      <c r="IXN4" s="1962"/>
      <c r="IXO4" s="1962"/>
      <c r="IXP4" s="1962"/>
      <c r="IXQ4" s="1962"/>
      <c r="IXR4" s="1962"/>
      <c r="IXS4" s="1962"/>
      <c r="IXT4" s="1962"/>
      <c r="IXU4" s="1962"/>
      <c r="IXV4" s="1962"/>
      <c r="IXW4" s="1962"/>
      <c r="IXX4" s="1962"/>
      <c r="IXY4" s="1962"/>
      <c r="IXZ4" s="1962"/>
      <c r="IYA4" s="1962"/>
      <c r="IYB4" s="1962"/>
      <c r="IYC4" s="1962"/>
      <c r="IYD4" s="1962"/>
      <c r="IYE4" s="1962"/>
      <c r="IYF4" s="1962"/>
      <c r="IYG4" s="1962"/>
      <c r="IYH4" s="1962"/>
      <c r="IYI4" s="1962"/>
      <c r="IYJ4" s="1962"/>
      <c r="IYK4" s="1962"/>
      <c r="IYL4" s="1962"/>
      <c r="IYM4" s="1962"/>
      <c r="IYN4" s="1962"/>
      <c r="IYO4" s="1962"/>
      <c r="IYP4" s="1962"/>
      <c r="IYQ4" s="1962"/>
      <c r="IYR4" s="1962"/>
      <c r="IYS4" s="1962"/>
      <c r="IYT4" s="1962"/>
      <c r="IYU4" s="1962"/>
      <c r="IYV4" s="1962"/>
      <c r="IYW4" s="1962"/>
      <c r="IYX4" s="1962"/>
      <c r="IYY4" s="1962"/>
      <c r="IYZ4" s="1962"/>
      <c r="IZA4" s="1962"/>
      <c r="IZB4" s="1962"/>
      <c r="IZC4" s="1962"/>
      <c r="IZD4" s="1962"/>
      <c r="IZE4" s="1962"/>
      <c r="IZF4" s="1962"/>
      <c r="IZG4" s="1962"/>
      <c r="IZH4" s="1962"/>
      <c r="IZI4" s="1962"/>
      <c r="IZJ4" s="1962"/>
      <c r="IZK4" s="1962"/>
      <c r="IZL4" s="1962"/>
      <c r="IZM4" s="1962"/>
      <c r="IZN4" s="1962"/>
      <c r="IZO4" s="1962"/>
      <c r="IZP4" s="1962"/>
      <c r="IZQ4" s="1962"/>
      <c r="IZR4" s="1962"/>
      <c r="IZS4" s="1962"/>
      <c r="IZT4" s="1962"/>
      <c r="IZU4" s="1962"/>
      <c r="IZV4" s="1962"/>
      <c r="IZW4" s="1962"/>
      <c r="IZX4" s="1962"/>
      <c r="IZY4" s="1962"/>
      <c r="IZZ4" s="1962"/>
      <c r="JAA4" s="1962"/>
      <c r="JAB4" s="1962"/>
      <c r="JAC4" s="1962"/>
      <c r="JAD4" s="1962"/>
      <c r="JAE4" s="1962"/>
      <c r="JAF4" s="1962"/>
      <c r="JAG4" s="1962"/>
      <c r="JAH4" s="1962"/>
      <c r="JAI4" s="1962"/>
      <c r="JAJ4" s="1962"/>
      <c r="JAK4" s="1962"/>
      <c r="JAL4" s="1962"/>
      <c r="JAM4" s="1962"/>
      <c r="JAN4" s="1962"/>
      <c r="JAO4" s="1962"/>
      <c r="JAP4" s="1962"/>
      <c r="JAQ4" s="1962"/>
      <c r="JAR4" s="1962"/>
      <c r="JAS4" s="1962"/>
      <c r="JAT4" s="1962"/>
      <c r="JAU4" s="1962"/>
      <c r="JAV4" s="1962"/>
      <c r="JAW4" s="1962"/>
      <c r="JAX4" s="1962"/>
      <c r="JAY4" s="1962"/>
      <c r="JAZ4" s="1962"/>
      <c r="JBA4" s="1962"/>
      <c r="JBB4" s="1962"/>
      <c r="JBC4" s="1962"/>
      <c r="JBD4" s="1962"/>
      <c r="JBE4" s="1962"/>
      <c r="JBF4" s="1962"/>
      <c r="JBG4" s="1962"/>
      <c r="JBH4" s="1962"/>
      <c r="JBI4" s="1962"/>
      <c r="JBJ4" s="1962"/>
      <c r="JBK4" s="1962"/>
      <c r="JBL4" s="1962"/>
      <c r="JBM4" s="1962"/>
      <c r="JBN4" s="1962"/>
      <c r="JBO4" s="1962"/>
      <c r="JBP4" s="1962"/>
      <c r="JBQ4" s="1962"/>
      <c r="JBR4" s="1962"/>
      <c r="JBS4" s="1962"/>
      <c r="JBT4" s="1962"/>
      <c r="JBU4" s="1962"/>
      <c r="JBV4" s="1962"/>
      <c r="JBW4" s="1962"/>
      <c r="JBX4" s="1962"/>
      <c r="JBY4" s="1962"/>
      <c r="JBZ4" s="1962"/>
      <c r="JCA4" s="1962"/>
      <c r="JCB4" s="1962"/>
      <c r="JCC4" s="1962"/>
      <c r="JCD4" s="1962"/>
      <c r="JCE4" s="1962"/>
      <c r="JCF4" s="1962"/>
      <c r="JCG4" s="1962"/>
      <c r="JCH4" s="1962"/>
      <c r="JCI4" s="1962"/>
      <c r="JCJ4" s="1962"/>
      <c r="JCK4" s="1962"/>
      <c r="JCL4" s="1962"/>
      <c r="JCM4" s="1962"/>
      <c r="JCN4" s="1962"/>
      <c r="JCO4" s="1962"/>
      <c r="JCP4" s="1962"/>
      <c r="JCQ4" s="1962"/>
      <c r="JCR4" s="1962"/>
      <c r="JCS4" s="1962"/>
      <c r="JCT4" s="1962"/>
      <c r="JCU4" s="1962"/>
      <c r="JCV4" s="1962"/>
      <c r="JCW4" s="1962"/>
      <c r="JCX4" s="1962"/>
      <c r="JCY4" s="1962"/>
      <c r="JCZ4" s="1962"/>
      <c r="JDA4" s="1962"/>
      <c r="JDB4" s="1962"/>
      <c r="JDC4" s="1962"/>
      <c r="JDD4" s="1962"/>
      <c r="JDE4" s="1962"/>
      <c r="JDF4" s="1962"/>
      <c r="JDG4" s="1962"/>
      <c r="JDH4" s="1962"/>
      <c r="JDI4" s="1962"/>
      <c r="JDJ4" s="1962"/>
      <c r="JDK4" s="1962"/>
      <c r="JDL4" s="1962"/>
      <c r="JDM4" s="1962"/>
      <c r="JDN4" s="1962"/>
      <c r="JDO4" s="1962"/>
      <c r="JDP4" s="1962"/>
      <c r="JDQ4" s="1962"/>
      <c r="JDR4" s="1962"/>
      <c r="JDS4" s="1962"/>
      <c r="JDT4" s="1962"/>
      <c r="JDU4" s="1962"/>
      <c r="JDV4" s="1962"/>
      <c r="JDW4" s="1962"/>
      <c r="JDX4" s="1962"/>
      <c r="JDY4" s="1962"/>
      <c r="JDZ4" s="1962"/>
      <c r="JEA4" s="1962"/>
      <c r="JEB4" s="1962"/>
      <c r="JEC4" s="1962"/>
      <c r="JED4" s="1962"/>
      <c r="JEE4" s="1962"/>
      <c r="JEF4" s="1962"/>
      <c r="JEG4" s="1962"/>
      <c r="JEH4" s="1962"/>
      <c r="JEI4" s="1962"/>
      <c r="JEJ4" s="1962"/>
      <c r="JEK4" s="1962"/>
      <c r="JEL4" s="1962"/>
      <c r="JEM4" s="1962"/>
      <c r="JEN4" s="1962"/>
      <c r="JEO4" s="1962"/>
      <c r="JEP4" s="1962"/>
      <c r="JEQ4" s="1962"/>
      <c r="JER4" s="1962"/>
      <c r="JES4" s="1962"/>
      <c r="JET4" s="1962"/>
      <c r="JEU4" s="1962"/>
      <c r="JEV4" s="1962"/>
      <c r="JEW4" s="1962"/>
      <c r="JEX4" s="1962"/>
      <c r="JEY4" s="1962"/>
      <c r="JEZ4" s="1962"/>
      <c r="JFA4" s="1962"/>
      <c r="JFB4" s="1962"/>
      <c r="JFC4" s="1962"/>
      <c r="JFD4" s="1962"/>
      <c r="JFE4" s="1962"/>
      <c r="JFF4" s="1962"/>
      <c r="JFG4" s="1962"/>
      <c r="JFH4" s="1962"/>
      <c r="JFI4" s="1962"/>
      <c r="JFJ4" s="1962"/>
      <c r="JFK4" s="1962"/>
      <c r="JFL4" s="1962"/>
      <c r="JFM4" s="1962"/>
      <c r="JFN4" s="1962"/>
      <c r="JFO4" s="1962"/>
      <c r="JFP4" s="1962"/>
      <c r="JFQ4" s="1962"/>
      <c r="JFR4" s="1962"/>
      <c r="JFS4" s="1962"/>
      <c r="JFT4" s="1962"/>
      <c r="JFU4" s="1962"/>
      <c r="JFV4" s="1962"/>
      <c r="JFW4" s="1962"/>
      <c r="JFX4" s="1962"/>
      <c r="JFY4" s="1962"/>
      <c r="JFZ4" s="1962"/>
      <c r="JGA4" s="1962"/>
      <c r="JGB4" s="1962"/>
      <c r="JGC4" s="1962"/>
      <c r="JGD4" s="1962"/>
      <c r="JGE4" s="1962"/>
      <c r="JGF4" s="1962"/>
      <c r="JGG4" s="1962"/>
      <c r="JGH4" s="1962"/>
      <c r="JGI4" s="1962"/>
      <c r="JGJ4" s="1962"/>
      <c r="JGK4" s="1962"/>
      <c r="JGL4" s="1962"/>
      <c r="JGM4" s="1962"/>
      <c r="JGN4" s="1962"/>
      <c r="JGO4" s="1962"/>
      <c r="JGP4" s="1962"/>
      <c r="JGQ4" s="1962"/>
      <c r="JGR4" s="1962"/>
      <c r="JGS4" s="1962"/>
      <c r="JGT4" s="1962"/>
      <c r="JGU4" s="1962"/>
      <c r="JGV4" s="1962"/>
      <c r="JGW4" s="1962"/>
      <c r="JGX4" s="1962"/>
      <c r="JGY4" s="1962"/>
      <c r="JGZ4" s="1962"/>
      <c r="JHA4" s="1962"/>
      <c r="JHB4" s="1962"/>
      <c r="JHC4" s="1962"/>
      <c r="JHD4" s="1962"/>
      <c r="JHE4" s="1962"/>
      <c r="JHF4" s="1962"/>
      <c r="JHG4" s="1962"/>
      <c r="JHH4" s="1962"/>
      <c r="JHI4" s="1962"/>
      <c r="JHJ4" s="1962"/>
      <c r="JHK4" s="1962"/>
      <c r="JHL4" s="1962"/>
      <c r="JHM4" s="1962"/>
      <c r="JHN4" s="1962"/>
      <c r="JHO4" s="1962"/>
      <c r="JHP4" s="1962"/>
      <c r="JHQ4" s="1962"/>
      <c r="JHR4" s="1962"/>
      <c r="JHS4" s="1962"/>
      <c r="JHT4" s="1962"/>
      <c r="JHU4" s="1962"/>
      <c r="JHV4" s="1962"/>
      <c r="JHW4" s="1962"/>
      <c r="JHX4" s="1962"/>
      <c r="JHY4" s="1962"/>
      <c r="JHZ4" s="1962"/>
      <c r="JIA4" s="1962"/>
      <c r="JIB4" s="1962"/>
      <c r="JIC4" s="1962"/>
      <c r="JID4" s="1962"/>
      <c r="JIE4" s="1962"/>
      <c r="JIF4" s="1962"/>
      <c r="JIG4" s="1962"/>
      <c r="JIH4" s="1962"/>
      <c r="JII4" s="1962"/>
      <c r="JIJ4" s="1962"/>
      <c r="JIK4" s="1962"/>
      <c r="JIL4" s="1962"/>
      <c r="JIM4" s="1962"/>
      <c r="JIN4" s="1962"/>
      <c r="JIO4" s="1962"/>
      <c r="JIP4" s="1962"/>
      <c r="JIQ4" s="1962"/>
      <c r="JIR4" s="1962"/>
      <c r="JIS4" s="1962"/>
      <c r="JIT4" s="1962"/>
      <c r="JIU4" s="1962"/>
      <c r="JIV4" s="1962"/>
      <c r="JIW4" s="1962"/>
      <c r="JIX4" s="1962"/>
      <c r="JIY4" s="1962"/>
      <c r="JIZ4" s="1962"/>
      <c r="JJA4" s="1962"/>
      <c r="JJB4" s="1962"/>
      <c r="JJC4" s="1962"/>
      <c r="JJD4" s="1962"/>
      <c r="JJE4" s="1962"/>
      <c r="JJF4" s="1962"/>
      <c r="JJG4" s="1962"/>
      <c r="JJH4" s="1962"/>
      <c r="JJI4" s="1962"/>
      <c r="JJJ4" s="1962"/>
      <c r="JJK4" s="1962"/>
      <c r="JJL4" s="1962"/>
      <c r="JJM4" s="1962"/>
      <c r="JJN4" s="1962"/>
      <c r="JJO4" s="1962"/>
      <c r="JJP4" s="1962"/>
      <c r="JJQ4" s="1962"/>
      <c r="JJR4" s="1962"/>
      <c r="JJS4" s="1962"/>
      <c r="JJT4" s="1962"/>
      <c r="JJU4" s="1962"/>
      <c r="JJV4" s="1962"/>
      <c r="JJW4" s="1962"/>
      <c r="JJX4" s="1962"/>
      <c r="JJY4" s="1962"/>
      <c r="JJZ4" s="1962"/>
      <c r="JKA4" s="1962"/>
      <c r="JKB4" s="1962"/>
      <c r="JKC4" s="1962"/>
      <c r="JKD4" s="1962"/>
      <c r="JKE4" s="1962"/>
      <c r="JKF4" s="1962"/>
      <c r="JKG4" s="1962"/>
      <c r="JKH4" s="1962"/>
      <c r="JKI4" s="1962"/>
      <c r="JKJ4" s="1962"/>
      <c r="JKK4" s="1962"/>
      <c r="JKL4" s="1962"/>
      <c r="JKM4" s="1962"/>
      <c r="JKN4" s="1962"/>
      <c r="JKO4" s="1962"/>
      <c r="JKP4" s="1962"/>
      <c r="JKQ4" s="1962"/>
      <c r="JKR4" s="1962"/>
      <c r="JKS4" s="1962"/>
      <c r="JKT4" s="1962"/>
      <c r="JKU4" s="1962"/>
      <c r="JKV4" s="1962"/>
      <c r="JKW4" s="1962"/>
      <c r="JKX4" s="1962"/>
      <c r="JKY4" s="1962"/>
      <c r="JKZ4" s="1962"/>
      <c r="JLA4" s="1962"/>
      <c r="JLB4" s="1962"/>
      <c r="JLC4" s="1962"/>
      <c r="JLD4" s="1962"/>
      <c r="JLE4" s="1962"/>
      <c r="JLF4" s="1962"/>
      <c r="JLG4" s="1962"/>
      <c r="JLH4" s="1962"/>
      <c r="JLI4" s="1962"/>
      <c r="JLJ4" s="1962"/>
      <c r="JLK4" s="1962"/>
      <c r="JLL4" s="1962"/>
      <c r="JLM4" s="1962"/>
      <c r="JLN4" s="1962"/>
      <c r="JLO4" s="1962"/>
      <c r="JLP4" s="1962"/>
      <c r="JLQ4" s="1962"/>
      <c r="JLR4" s="1962"/>
      <c r="JLS4" s="1962"/>
      <c r="JLT4" s="1962"/>
      <c r="JLU4" s="1962"/>
      <c r="JLV4" s="1962"/>
      <c r="JLW4" s="1962"/>
      <c r="JLX4" s="1962"/>
      <c r="JLY4" s="1962"/>
      <c r="JLZ4" s="1962"/>
      <c r="JMA4" s="1962"/>
      <c r="JMB4" s="1962"/>
      <c r="JMC4" s="1962"/>
      <c r="JMD4" s="1962"/>
      <c r="JME4" s="1962"/>
      <c r="JMF4" s="1962"/>
      <c r="JMG4" s="1962"/>
      <c r="JMH4" s="1962"/>
      <c r="JMI4" s="1962"/>
      <c r="JMJ4" s="1962"/>
      <c r="JMK4" s="1962"/>
      <c r="JML4" s="1962"/>
      <c r="JMM4" s="1962"/>
      <c r="JMN4" s="1962"/>
      <c r="JMO4" s="1962"/>
      <c r="JMP4" s="1962"/>
      <c r="JMQ4" s="1962"/>
      <c r="JMR4" s="1962"/>
      <c r="JMS4" s="1962"/>
      <c r="JMT4" s="1962"/>
      <c r="JMU4" s="1962"/>
      <c r="JMV4" s="1962"/>
      <c r="JMW4" s="1962"/>
      <c r="JMX4" s="1962"/>
      <c r="JMY4" s="1962"/>
      <c r="JMZ4" s="1962"/>
      <c r="JNA4" s="1962"/>
      <c r="JNB4" s="1962"/>
      <c r="JNC4" s="1962"/>
      <c r="JND4" s="1962"/>
      <c r="JNE4" s="1962"/>
      <c r="JNF4" s="1962"/>
      <c r="JNG4" s="1962"/>
      <c r="JNH4" s="1962"/>
      <c r="JNI4" s="1962"/>
      <c r="JNJ4" s="1962"/>
      <c r="JNK4" s="1962"/>
      <c r="JNL4" s="1962"/>
      <c r="JNM4" s="1962"/>
      <c r="JNN4" s="1962"/>
      <c r="JNO4" s="1962"/>
      <c r="JNP4" s="1962"/>
      <c r="JNQ4" s="1962"/>
      <c r="JNR4" s="1962"/>
      <c r="JNS4" s="1962"/>
      <c r="JNT4" s="1962"/>
      <c r="JNU4" s="1962"/>
      <c r="JNV4" s="1962"/>
      <c r="JNW4" s="1962"/>
      <c r="JNX4" s="1962"/>
      <c r="JNY4" s="1962"/>
      <c r="JNZ4" s="1962"/>
      <c r="JOA4" s="1962"/>
      <c r="JOB4" s="1962"/>
      <c r="JOC4" s="1962"/>
      <c r="JOD4" s="1962"/>
      <c r="JOE4" s="1962"/>
      <c r="JOF4" s="1962"/>
      <c r="JOG4" s="1962"/>
      <c r="JOH4" s="1962"/>
      <c r="JOI4" s="1962"/>
      <c r="JOJ4" s="1962"/>
      <c r="JOK4" s="1962"/>
      <c r="JOL4" s="1962"/>
      <c r="JOM4" s="1962"/>
      <c r="JON4" s="1962"/>
      <c r="JOO4" s="1962"/>
      <c r="JOP4" s="1962"/>
      <c r="JOQ4" s="1962"/>
      <c r="JOR4" s="1962"/>
      <c r="JOS4" s="1962"/>
      <c r="JOT4" s="1962"/>
      <c r="JOU4" s="1962"/>
      <c r="JOV4" s="1962"/>
      <c r="JOW4" s="1962"/>
      <c r="JOX4" s="1962"/>
      <c r="JOY4" s="1962"/>
      <c r="JOZ4" s="1962"/>
      <c r="JPA4" s="1962"/>
      <c r="JPB4" s="1962"/>
      <c r="JPC4" s="1962"/>
      <c r="JPD4" s="1962"/>
      <c r="JPE4" s="1962"/>
      <c r="JPF4" s="1962"/>
      <c r="JPG4" s="1962"/>
      <c r="JPH4" s="1962"/>
      <c r="JPI4" s="1962"/>
      <c r="JPJ4" s="1962"/>
      <c r="JPK4" s="1962"/>
      <c r="JPL4" s="1962"/>
      <c r="JPM4" s="1962"/>
      <c r="JPN4" s="1962"/>
      <c r="JPO4" s="1962"/>
      <c r="JPP4" s="1962"/>
      <c r="JPQ4" s="1962"/>
      <c r="JPR4" s="1962"/>
      <c r="JPS4" s="1962"/>
      <c r="JPT4" s="1962"/>
      <c r="JPU4" s="1962"/>
      <c r="JPV4" s="1962"/>
      <c r="JPW4" s="1962"/>
      <c r="JPX4" s="1962"/>
      <c r="JPY4" s="1962"/>
      <c r="JPZ4" s="1962"/>
      <c r="JQA4" s="1962"/>
      <c r="JQB4" s="1962"/>
      <c r="JQC4" s="1962"/>
      <c r="JQD4" s="1962"/>
      <c r="JQE4" s="1962"/>
      <c r="JQF4" s="1962"/>
      <c r="JQG4" s="1962"/>
      <c r="JQH4" s="1962"/>
      <c r="JQI4" s="1962"/>
      <c r="JQJ4" s="1962"/>
      <c r="JQK4" s="1962"/>
      <c r="JQL4" s="1962"/>
      <c r="JQM4" s="1962"/>
      <c r="JQN4" s="1962"/>
      <c r="JQO4" s="1962"/>
      <c r="JQP4" s="1962"/>
      <c r="JQQ4" s="1962"/>
      <c r="JQR4" s="1962"/>
      <c r="JQS4" s="1962"/>
      <c r="JQT4" s="1962"/>
      <c r="JQU4" s="1962"/>
      <c r="JQV4" s="1962"/>
      <c r="JQW4" s="1962"/>
      <c r="JQX4" s="1962"/>
      <c r="JQY4" s="1962"/>
      <c r="JQZ4" s="1962"/>
      <c r="JRA4" s="1962"/>
      <c r="JRB4" s="1962"/>
      <c r="JRC4" s="1962"/>
      <c r="JRD4" s="1962"/>
      <c r="JRE4" s="1962"/>
      <c r="JRF4" s="1962"/>
      <c r="JRG4" s="1962"/>
      <c r="JRH4" s="1962"/>
      <c r="JRI4" s="1962"/>
      <c r="JRJ4" s="1962"/>
      <c r="JRK4" s="1962"/>
      <c r="JRL4" s="1962"/>
      <c r="JRM4" s="1962"/>
      <c r="JRN4" s="1962"/>
      <c r="JRO4" s="1962"/>
      <c r="JRP4" s="1962"/>
      <c r="JRQ4" s="1962"/>
      <c r="JRR4" s="1962"/>
      <c r="JRS4" s="1962"/>
      <c r="JRT4" s="1962"/>
      <c r="JRU4" s="1962"/>
      <c r="JRV4" s="1962"/>
      <c r="JRW4" s="1962"/>
      <c r="JRX4" s="1962"/>
      <c r="JRY4" s="1962"/>
      <c r="JRZ4" s="1962"/>
      <c r="JSA4" s="1962"/>
      <c r="JSB4" s="1962"/>
      <c r="JSC4" s="1962"/>
      <c r="JSD4" s="1962"/>
      <c r="JSE4" s="1962"/>
      <c r="JSF4" s="1962"/>
      <c r="JSG4" s="1962"/>
      <c r="JSH4" s="1962"/>
      <c r="JSI4" s="1962"/>
      <c r="JSJ4" s="1962"/>
      <c r="JSK4" s="1962"/>
      <c r="JSL4" s="1962"/>
      <c r="JSM4" s="1962"/>
      <c r="JSN4" s="1962"/>
      <c r="JSO4" s="1962"/>
      <c r="JSP4" s="1962"/>
      <c r="JSQ4" s="1962"/>
      <c r="JSR4" s="1962"/>
      <c r="JSS4" s="1962"/>
      <c r="JST4" s="1962"/>
      <c r="JSU4" s="1962"/>
      <c r="JSV4" s="1962"/>
      <c r="JSW4" s="1962"/>
      <c r="JSX4" s="1962"/>
      <c r="JSY4" s="1962"/>
      <c r="JSZ4" s="1962"/>
      <c r="JTA4" s="1962"/>
      <c r="JTB4" s="1962"/>
      <c r="JTC4" s="1962"/>
      <c r="JTD4" s="1962"/>
      <c r="JTE4" s="1962"/>
      <c r="JTF4" s="1962"/>
      <c r="JTG4" s="1962"/>
      <c r="JTH4" s="1962"/>
      <c r="JTI4" s="1962"/>
      <c r="JTJ4" s="1962"/>
      <c r="JTK4" s="1962"/>
      <c r="JTL4" s="1962"/>
      <c r="JTM4" s="1962"/>
      <c r="JTN4" s="1962"/>
      <c r="JTO4" s="1962"/>
      <c r="JTP4" s="1962"/>
      <c r="JTQ4" s="1962"/>
      <c r="JTR4" s="1962"/>
      <c r="JTS4" s="1962"/>
      <c r="JTT4" s="1962"/>
      <c r="JTU4" s="1962"/>
      <c r="JTV4" s="1962"/>
      <c r="JTW4" s="1962"/>
      <c r="JTX4" s="1962"/>
      <c r="JTY4" s="1962"/>
      <c r="JTZ4" s="1962"/>
      <c r="JUA4" s="1962"/>
      <c r="JUB4" s="1962"/>
      <c r="JUC4" s="1962"/>
      <c r="JUD4" s="1962"/>
      <c r="JUE4" s="1962"/>
      <c r="JUF4" s="1962"/>
      <c r="JUG4" s="1962"/>
      <c r="JUH4" s="1962"/>
      <c r="JUI4" s="1962"/>
      <c r="JUJ4" s="1962"/>
      <c r="JUK4" s="1962"/>
      <c r="JUL4" s="1962"/>
      <c r="JUM4" s="1962"/>
      <c r="JUN4" s="1962"/>
      <c r="JUO4" s="1962"/>
      <c r="JUP4" s="1962"/>
      <c r="JUQ4" s="1962"/>
      <c r="JUR4" s="1962"/>
      <c r="JUS4" s="1962"/>
      <c r="JUT4" s="1962"/>
      <c r="JUU4" s="1962"/>
      <c r="JUV4" s="1962"/>
      <c r="JUW4" s="1962"/>
      <c r="JUX4" s="1962"/>
      <c r="JUY4" s="1962"/>
      <c r="JUZ4" s="1962"/>
      <c r="JVA4" s="1962"/>
      <c r="JVB4" s="1962"/>
      <c r="JVC4" s="1962"/>
      <c r="JVD4" s="1962"/>
      <c r="JVE4" s="1962"/>
      <c r="JVF4" s="1962"/>
      <c r="JVG4" s="1962"/>
      <c r="JVH4" s="1962"/>
      <c r="JVI4" s="1962"/>
      <c r="JVJ4" s="1962"/>
      <c r="JVK4" s="1962"/>
      <c r="JVL4" s="1962"/>
      <c r="JVM4" s="1962"/>
      <c r="JVN4" s="1962"/>
      <c r="JVO4" s="1962"/>
      <c r="JVP4" s="1962"/>
      <c r="JVQ4" s="1962"/>
      <c r="JVR4" s="1962"/>
      <c r="JVS4" s="1962"/>
      <c r="JVT4" s="1962"/>
      <c r="JVU4" s="1962"/>
      <c r="JVV4" s="1962"/>
      <c r="JVW4" s="1962"/>
      <c r="JVX4" s="1962"/>
      <c r="JVY4" s="1962"/>
      <c r="JVZ4" s="1962"/>
      <c r="JWA4" s="1962"/>
      <c r="JWB4" s="1962"/>
      <c r="JWC4" s="1962"/>
      <c r="JWD4" s="1962"/>
      <c r="JWE4" s="1962"/>
      <c r="JWF4" s="1962"/>
      <c r="JWG4" s="1962"/>
      <c r="JWH4" s="1962"/>
      <c r="JWI4" s="1962"/>
      <c r="JWJ4" s="1962"/>
      <c r="JWK4" s="1962"/>
      <c r="JWL4" s="1962"/>
      <c r="JWM4" s="1962"/>
      <c r="JWN4" s="1962"/>
      <c r="JWO4" s="1962"/>
      <c r="JWP4" s="1962"/>
      <c r="JWQ4" s="1962"/>
      <c r="JWR4" s="1962"/>
      <c r="JWS4" s="1962"/>
      <c r="JWT4" s="1962"/>
      <c r="JWU4" s="1962"/>
      <c r="JWV4" s="1962"/>
      <c r="JWW4" s="1962"/>
      <c r="JWX4" s="1962"/>
      <c r="JWY4" s="1962"/>
      <c r="JWZ4" s="1962"/>
      <c r="JXA4" s="1962"/>
      <c r="JXB4" s="1962"/>
      <c r="JXC4" s="1962"/>
      <c r="JXD4" s="1962"/>
      <c r="JXE4" s="1962"/>
      <c r="JXF4" s="1962"/>
      <c r="JXG4" s="1962"/>
      <c r="JXH4" s="1962"/>
      <c r="JXI4" s="1962"/>
      <c r="JXJ4" s="1962"/>
      <c r="JXK4" s="1962"/>
      <c r="JXL4" s="1962"/>
      <c r="JXM4" s="1962"/>
      <c r="JXN4" s="1962"/>
      <c r="JXO4" s="1962"/>
      <c r="JXP4" s="1962"/>
      <c r="JXQ4" s="1962"/>
      <c r="JXR4" s="1962"/>
      <c r="JXS4" s="1962"/>
      <c r="JXT4" s="1962"/>
      <c r="JXU4" s="1962"/>
      <c r="JXV4" s="1962"/>
      <c r="JXW4" s="1962"/>
      <c r="JXX4" s="1962"/>
      <c r="JXY4" s="1962"/>
      <c r="JXZ4" s="1962"/>
      <c r="JYA4" s="1962"/>
      <c r="JYB4" s="1962"/>
      <c r="JYC4" s="1962"/>
      <c r="JYD4" s="1962"/>
      <c r="JYE4" s="1962"/>
      <c r="JYF4" s="1962"/>
      <c r="JYG4" s="1962"/>
      <c r="JYH4" s="1962"/>
      <c r="JYI4" s="1962"/>
      <c r="JYJ4" s="1962"/>
      <c r="JYK4" s="1962"/>
      <c r="JYL4" s="1962"/>
      <c r="JYM4" s="1962"/>
      <c r="JYN4" s="1962"/>
      <c r="JYO4" s="1962"/>
      <c r="JYP4" s="1962"/>
      <c r="JYQ4" s="1962"/>
      <c r="JYR4" s="1962"/>
      <c r="JYS4" s="1962"/>
      <c r="JYT4" s="1962"/>
      <c r="JYU4" s="1962"/>
      <c r="JYV4" s="1962"/>
      <c r="JYW4" s="1962"/>
      <c r="JYX4" s="1962"/>
      <c r="JYY4" s="1962"/>
      <c r="JYZ4" s="1962"/>
      <c r="JZA4" s="1962"/>
      <c r="JZB4" s="1962"/>
      <c r="JZC4" s="1962"/>
      <c r="JZD4" s="1962"/>
      <c r="JZE4" s="1962"/>
      <c r="JZF4" s="1962"/>
      <c r="JZG4" s="1962"/>
      <c r="JZH4" s="1962"/>
      <c r="JZI4" s="1962"/>
      <c r="JZJ4" s="1962"/>
      <c r="JZK4" s="1962"/>
      <c r="JZL4" s="1962"/>
      <c r="JZM4" s="1962"/>
      <c r="JZN4" s="1962"/>
      <c r="JZO4" s="1962"/>
      <c r="JZP4" s="1962"/>
      <c r="JZQ4" s="1962"/>
      <c r="JZR4" s="1962"/>
      <c r="JZS4" s="1962"/>
      <c r="JZT4" s="1962"/>
      <c r="JZU4" s="1962"/>
      <c r="JZV4" s="1962"/>
      <c r="JZW4" s="1962"/>
      <c r="JZX4" s="1962"/>
      <c r="JZY4" s="1962"/>
      <c r="JZZ4" s="1962"/>
      <c r="KAA4" s="1962"/>
      <c r="KAB4" s="1962"/>
      <c r="KAC4" s="1962"/>
      <c r="KAD4" s="1962"/>
      <c r="KAE4" s="1962"/>
      <c r="KAF4" s="1962"/>
      <c r="KAG4" s="1962"/>
      <c r="KAH4" s="1962"/>
      <c r="KAI4" s="1962"/>
      <c r="KAJ4" s="1962"/>
      <c r="KAK4" s="1962"/>
      <c r="KAL4" s="1962"/>
      <c r="KAM4" s="1962"/>
      <c r="KAN4" s="1962"/>
      <c r="KAO4" s="1962"/>
      <c r="KAP4" s="1962"/>
      <c r="KAQ4" s="1962"/>
      <c r="KAR4" s="1962"/>
      <c r="KAS4" s="1962"/>
      <c r="KAT4" s="1962"/>
      <c r="KAU4" s="1962"/>
      <c r="KAV4" s="1962"/>
      <c r="KAW4" s="1962"/>
      <c r="KAX4" s="1962"/>
      <c r="KAY4" s="1962"/>
      <c r="KAZ4" s="1962"/>
      <c r="KBA4" s="1962"/>
      <c r="KBB4" s="1962"/>
      <c r="KBC4" s="1962"/>
      <c r="KBD4" s="1962"/>
      <c r="KBE4" s="1962"/>
      <c r="KBF4" s="1962"/>
      <c r="KBG4" s="1962"/>
      <c r="KBH4" s="1962"/>
      <c r="KBI4" s="1962"/>
      <c r="KBJ4" s="1962"/>
      <c r="KBK4" s="1962"/>
      <c r="KBL4" s="1962"/>
      <c r="KBM4" s="1962"/>
      <c r="KBN4" s="1962"/>
      <c r="KBO4" s="1962"/>
      <c r="KBP4" s="1962"/>
      <c r="KBQ4" s="1962"/>
      <c r="KBR4" s="1962"/>
      <c r="KBS4" s="1962"/>
      <c r="KBT4" s="1962"/>
      <c r="KBU4" s="1962"/>
      <c r="KBV4" s="1962"/>
      <c r="KBW4" s="1962"/>
      <c r="KBX4" s="1962"/>
      <c r="KBY4" s="1962"/>
      <c r="KBZ4" s="1962"/>
      <c r="KCA4" s="1962"/>
      <c r="KCB4" s="1962"/>
      <c r="KCC4" s="1962"/>
      <c r="KCD4" s="1962"/>
      <c r="KCE4" s="1962"/>
      <c r="KCF4" s="1962"/>
      <c r="KCG4" s="1962"/>
      <c r="KCH4" s="1962"/>
      <c r="KCI4" s="1962"/>
      <c r="KCJ4" s="1962"/>
      <c r="KCK4" s="1962"/>
      <c r="KCL4" s="1962"/>
      <c r="KCM4" s="1962"/>
      <c r="KCN4" s="1962"/>
      <c r="KCO4" s="1962"/>
      <c r="KCP4" s="1962"/>
      <c r="KCQ4" s="1962"/>
      <c r="KCR4" s="1962"/>
      <c r="KCS4" s="1962"/>
      <c r="KCT4" s="1962"/>
      <c r="KCU4" s="1962"/>
      <c r="KCV4" s="1962"/>
      <c r="KCW4" s="1962"/>
      <c r="KCX4" s="1962"/>
      <c r="KCY4" s="1962"/>
      <c r="KCZ4" s="1962"/>
      <c r="KDA4" s="1962"/>
      <c r="KDB4" s="1962"/>
      <c r="KDC4" s="1962"/>
      <c r="KDD4" s="1962"/>
      <c r="KDE4" s="1962"/>
      <c r="KDF4" s="1962"/>
      <c r="KDG4" s="1962"/>
      <c r="KDH4" s="1962"/>
      <c r="KDI4" s="1962"/>
      <c r="KDJ4" s="1962"/>
      <c r="KDK4" s="1962"/>
      <c r="KDL4" s="1962"/>
      <c r="KDM4" s="1962"/>
      <c r="KDN4" s="1962"/>
      <c r="KDO4" s="1962"/>
      <c r="KDP4" s="1962"/>
      <c r="KDQ4" s="1962"/>
      <c r="KDR4" s="1962"/>
      <c r="KDS4" s="1962"/>
      <c r="KDT4" s="1962"/>
      <c r="KDU4" s="1962"/>
      <c r="KDV4" s="1962"/>
      <c r="KDW4" s="1962"/>
      <c r="KDX4" s="1962"/>
      <c r="KDY4" s="1962"/>
      <c r="KDZ4" s="1962"/>
      <c r="KEA4" s="1962"/>
      <c r="KEB4" s="1962"/>
      <c r="KEC4" s="1962"/>
      <c r="KED4" s="1962"/>
      <c r="KEE4" s="1962"/>
      <c r="KEF4" s="1962"/>
      <c r="KEG4" s="1962"/>
      <c r="KEH4" s="1962"/>
      <c r="KEI4" s="1962"/>
      <c r="KEJ4" s="1962"/>
      <c r="KEK4" s="1962"/>
      <c r="KEL4" s="1962"/>
      <c r="KEM4" s="1962"/>
      <c r="KEN4" s="1962"/>
      <c r="KEO4" s="1962"/>
      <c r="KEP4" s="1962"/>
      <c r="KEQ4" s="1962"/>
      <c r="KER4" s="1962"/>
      <c r="KES4" s="1962"/>
      <c r="KET4" s="1962"/>
      <c r="KEU4" s="1962"/>
      <c r="KEV4" s="1962"/>
      <c r="KEW4" s="1962"/>
      <c r="KEX4" s="1962"/>
      <c r="KEY4" s="1962"/>
      <c r="KEZ4" s="1962"/>
      <c r="KFA4" s="1962"/>
      <c r="KFB4" s="1962"/>
      <c r="KFC4" s="1962"/>
      <c r="KFD4" s="1962"/>
      <c r="KFE4" s="1962"/>
      <c r="KFF4" s="1962"/>
      <c r="KFG4" s="1962"/>
      <c r="KFH4" s="1962"/>
      <c r="KFI4" s="1962"/>
      <c r="KFJ4" s="1962"/>
      <c r="KFK4" s="1962"/>
      <c r="KFL4" s="1962"/>
      <c r="KFM4" s="1962"/>
      <c r="KFN4" s="1962"/>
      <c r="KFO4" s="1962"/>
      <c r="KFP4" s="1962"/>
      <c r="KFQ4" s="1962"/>
      <c r="KFR4" s="1962"/>
      <c r="KFS4" s="1962"/>
      <c r="KFT4" s="1962"/>
      <c r="KFU4" s="1962"/>
      <c r="KFV4" s="1962"/>
      <c r="KFW4" s="1962"/>
      <c r="KFX4" s="1962"/>
      <c r="KFY4" s="1962"/>
      <c r="KFZ4" s="1962"/>
      <c r="KGA4" s="1962"/>
      <c r="KGB4" s="1962"/>
      <c r="KGC4" s="1962"/>
      <c r="KGD4" s="1962"/>
      <c r="KGE4" s="1962"/>
      <c r="KGF4" s="1962"/>
      <c r="KGG4" s="1962"/>
      <c r="KGH4" s="1962"/>
      <c r="KGI4" s="1962"/>
      <c r="KGJ4" s="1962"/>
      <c r="KGK4" s="1962"/>
      <c r="KGL4" s="1962"/>
      <c r="KGM4" s="1962"/>
      <c r="KGN4" s="1962"/>
      <c r="KGO4" s="1962"/>
      <c r="KGP4" s="1962"/>
      <c r="KGQ4" s="1962"/>
      <c r="KGR4" s="1962"/>
      <c r="KGS4" s="1962"/>
      <c r="KGT4" s="1962"/>
      <c r="KGU4" s="1962"/>
      <c r="KGV4" s="1962"/>
      <c r="KGW4" s="1962"/>
      <c r="KGX4" s="1962"/>
      <c r="KGY4" s="1962"/>
      <c r="KGZ4" s="1962"/>
      <c r="KHA4" s="1962"/>
      <c r="KHB4" s="1962"/>
      <c r="KHC4" s="1962"/>
      <c r="KHD4" s="1962"/>
      <c r="KHE4" s="1962"/>
      <c r="KHF4" s="1962"/>
      <c r="KHG4" s="1962"/>
      <c r="KHH4" s="1962"/>
      <c r="KHI4" s="1962"/>
      <c r="KHJ4" s="1962"/>
      <c r="KHK4" s="1962"/>
      <c r="KHL4" s="1962"/>
      <c r="KHM4" s="1962"/>
      <c r="KHN4" s="1962"/>
      <c r="KHO4" s="1962"/>
      <c r="KHP4" s="1962"/>
      <c r="KHQ4" s="1962"/>
      <c r="KHR4" s="1962"/>
      <c r="KHS4" s="1962"/>
      <c r="KHT4" s="1962"/>
      <c r="KHU4" s="1962"/>
      <c r="KHV4" s="1962"/>
      <c r="KHW4" s="1962"/>
      <c r="KHX4" s="1962"/>
      <c r="KHY4" s="1962"/>
      <c r="KHZ4" s="1962"/>
      <c r="KIA4" s="1962"/>
      <c r="KIB4" s="1962"/>
      <c r="KIC4" s="1962"/>
      <c r="KID4" s="1962"/>
      <c r="KIE4" s="1962"/>
      <c r="KIF4" s="1962"/>
      <c r="KIG4" s="1962"/>
      <c r="KIH4" s="1962"/>
      <c r="KII4" s="1962"/>
      <c r="KIJ4" s="1962"/>
      <c r="KIK4" s="1962"/>
      <c r="KIL4" s="1962"/>
      <c r="KIM4" s="1962"/>
      <c r="KIN4" s="1962"/>
      <c r="KIO4" s="1962"/>
      <c r="KIP4" s="1962"/>
      <c r="KIQ4" s="1962"/>
      <c r="KIR4" s="1962"/>
      <c r="KIS4" s="1962"/>
      <c r="KIT4" s="1962"/>
      <c r="KIU4" s="1962"/>
      <c r="KIV4" s="1962"/>
      <c r="KIW4" s="1962"/>
      <c r="KIX4" s="1962"/>
      <c r="KIY4" s="1962"/>
      <c r="KIZ4" s="1962"/>
      <c r="KJA4" s="1962"/>
      <c r="KJB4" s="1962"/>
      <c r="KJC4" s="1962"/>
      <c r="KJD4" s="1962"/>
      <c r="KJE4" s="1962"/>
      <c r="KJF4" s="1962"/>
      <c r="KJG4" s="1962"/>
      <c r="KJH4" s="1962"/>
      <c r="KJI4" s="1962"/>
      <c r="KJJ4" s="1962"/>
      <c r="KJK4" s="1962"/>
      <c r="KJL4" s="1962"/>
      <c r="KJM4" s="1962"/>
      <c r="KJN4" s="1962"/>
      <c r="KJO4" s="1962"/>
      <c r="KJP4" s="1962"/>
      <c r="KJQ4" s="1962"/>
      <c r="KJR4" s="1962"/>
      <c r="KJS4" s="1962"/>
      <c r="KJT4" s="1962"/>
      <c r="KJU4" s="1962"/>
      <c r="KJV4" s="1962"/>
      <c r="KJW4" s="1962"/>
      <c r="KJX4" s="1962"/>
      <c r="KJY4" s="1962"/>
      <c r="KJZ4" s="1962"/>
      <c r="KKA4" s="1962"/>
      <c r="KKB4" s="1962"/>
      <c r="KKC4" s="1962"/>
      <c r="KKD4" s="1962"/>
      <c r="KKE4" s="1962"/>
      <c r="KKF4" s="1962"/>
      <c r="KKG4" s="1962"/>
      <c r="KKH4" s="1962"/>
      <c r="KKI4" s="1962"/>
      <c r="KKJ4" s="1962"/>
      <c r="KKK4" s="1962"/>
      <c r="KKL4" s="1962"/>
      <c r="KKM4" s="1962"/>
      <c r="KKN4" s="1962"/>
      <c r="KKO4" s="1962"/>
      <c r="KKP4" s="1962"/>
      <c r="KKQ4" s="1962"/>
      <c r="KKR4" s="1962"/>
      <c r="KKS4" s="1962"/>
      <c r="KKT4" s="1962"/>
      <c r="KKU4" s="1962"/>
      <c r="KKV4" s="1962"/>
      <c r="KKW4" s="1962"/>
      <c r="KKX4" s="1962"/>
      <c r="KKY4" s="1962"/>
      <c r="KKZ4" s="1962"/>
      <c r="KLA4" s="1962"/>
      <c r="KLB4" s="1962"/>
      <c r="KLC4" s="1962"/>
      <c r="KLD4" s="1962"/>
      <c r="KLE4" s="1962"/>
      <c r="KLF4" s="1962"/>
      <c r="KLG4" s="1962"/>
      <c r="KLH4" s="1962"/>
      <c r="KLI4" s="1962"/>
      <c r="KLJ4" s="1962"/>
      <c r="KLK4" s="1962"/>
      <c r="KLL4" s="1962"/>
      <c r="KLM4" s="1962"/>
      <c r="KLN4" s="1962"/>
      <c r="KLO4" s="1962"/>
      <c r="KLP4" s="1962"/>
      <c r="KLQ4" s="1962"/>
      <c r="KLR4" s="1962"/>
      <c r="KLS4" s="1962"/>
      <c r="KLT4" s="1962"/>
      <c r="KLU4" s="1962"/>
      <c r="KLV4" s="1962"/>
      <c r="KLW4" s="1962"/>
      <c r="KLX4" s="1962"/>
      <c r="KLY4" s="1962"/>
      <c r="KLZ4" s="1962"/>
      <c r="KMA4" s="1962"/>
      <c r="KMB4" s="1962"/>
      <c r="KMC4" s="1962"/>
      <c r="KMD4" s="1962"/>
      <c r="KME4" s="1962"/>
      <c r="KMF4" s="1962"/>
      <c r="KMG4" s="1962"/>
      <c r="KMH4" s="1962"/>
      <c r="KMI4" s="1962"/>
      <c r="KMJ4" s="1962"/>
      <c r="KMK4" s="1962"/>
      <c r="KML4" s="1962"/>
      <c r="KMM4" s="1962"/>
      <c r="KMN4" s="1962"/>
      <c r="KMO4" s="1962"/>
      <c r="KMP4" s="1962"/>
      <c r="KMQ4" s="1962"/>
      <c r="KMR4" s="1962"/>
      <c r="KMS4" s="1962"/>
      <c r="KMT4" s="1962"/>
      <c r="KMU4" s="1962"/>
      <c r="KMV4" s="1962"/>
      <c r="KMW4" s="1962"/>
      <c r="KMX4" s="1962"/>
      <c r="KMY4" s="1962"/>
      <c r="KMZ4" s="1962"/>
      <c r="KNA4" s="1962"/>
      <c r="KNB4" s="1962"/>
      <c r="KNC4" s="1962"/>
      <c r="KND4" s="1962"/>
      <c r="KNE4" s="1962"/>
      <c r="KNF4" s="1962"/>
      <c r="KNG4" s="1962"/>
      <c r="KNH4" s="1962"/>
      <c r="KNI4" s="1962"/>
      <c r="KNJ4" s="1962"/>
      <c r="KNK4" s="1962"/>
      <c r="KNL4" s="1962"/>
      <c r="KNM4" s="1962"/>
      <c r="KNN4" s="1962"/>
      <c r="KNO4" s="1962"/>
      <c r="KNP4" s="1962"/>
      <c r="KNQ4" s="1962"/>
      <c r="KNR4" s="1962"/>
      <c r="KNS4" s="1962"/>
      <c r="KNT4" s="1962"/>
      <c r="KNU4" s="1962"/>
      <c r="KNV4" s="1962"/>
      <c r="KNW4" s="1962"/>
      <c r="KNX4" s="1962"/>
      <c r="KNY4" s="1962"/>
      <c r="KNZ4" s="1962"/>
      <c r="KOA4" s="1962"/>
      <c r="KOB4" s="1962"/>
      <c r="KOC4" s="1962"/>
      <c r="KOD4" s="1962"/>
      <c r="KOE4" s="1962"/>
      <c r="KOF4" s="1962"/>
      <c r="KOG4" s="1962"/>
      <c r="KOH4" s="1962"/>
      <c r="KOI4" s="1962"/>
      <c r="KOJ4" s="1962"/>
      <c r="KOK4" s="1962"/>
      <c r="KOL4" s="1962"/>
      <c r="KOM4" s="1962"/>
      <c r="KON4" s="1962"/>
      <c r="KOO4" s="1962"/>
      <c r="KOP4" s="1962"/>
      <c r="KOQ4" s="1962"/>
      <c r="KOR4" s="1962"/>
      <c r="KOS4" s="1962"/>
      <c r="KOT4" s="1962"/>
      <c r="KOU4" s="1962"/>
      <c r="KOV4" s="1962"/>
      <c r="KOW4" s="1962"/>
      <c r="KOX4" s="1962"/>
      <c r="KOY4" s="1962"/>
      <c r="KOZ4" s="1962"/>
      <c r="KPA4" s="1962"/>
      <c r="KPB4" s="1962"/>
      <c r="KPC4" s="1962"/>
      <c r="KPD4" s="1962"/>
      <c r="KPE4" s="1962"/>
      <c r="KPF4" s="1962"/>
      <c r="KPG4" s="1962"/>
      <c r="KPH4" s="1962"/>
      <c r="KPI4" s="1962"/>
      <c r="KPJ4" s="1962"/>
      <c r="KPK4" s="1962"/>
      <c r="KPL4" s="1962"/>
      <c r="KPM4" s="1962"/>
      <c r="KPN4" s="1962"/>
      <c r="KPO4" s="1962"/>
      <c r="KPP4" s="1962"/>
      <c r="KPQ4" s="1962"/>
      <c r="KPR4" s="1962"/>
      <c r="KPS4" s="1962"/>
      <c r="KPT4" s="1962"/>
      <c r="KPU4" s="1962"/>
      <c r="KPV4" s="1962"/>
      <c r="KPW4" s="1962"/>
      <c r="KPX4" s="1962"/>
      <c r="KPY4" s="1962"/>
      <c r="KPZ4" s="1962"/>
      <c r="KQA4" s="1962"/>
      <c r="KQB4" s="1962"/>
      <c r="KQC4" s="1962"/>
      <c r="KQD4" s="1962"/>
      <c r="KQE4" s="1962"/>
      <c r="KQF4" s="1962"/>
      <c r="KQG4" s="1962"/>
      <c r="KQH4" s="1962"/>
      <c r="KQI4" s="1962"/>
      <c r="KQJ4" s="1962"/>
      <c r="KQK4" s="1962"/>
      <c r="KQL4" s="1962"/>
      <c r="KQM4" s="1962"/>
      <c r="KQN4" s="1962"/>
      <c r="KQO4" s="1962"/>
      <c r="KQP4" s="1962"/>
      <c r="KQQ4" s="1962"/>
      <c r="KQR4" s="1962"/>
      <c r="KQS4" s="1962"/>
      <c r="KQT4" s="1962"/>
      <c r="KQU4" s="1962"/>
      <c r="KQV4" s="1962"/>
      <c r="KQW4" s="1962"/>
      <c r="KQX4" s="1962"/>
      <c r="KQY4" s="1962"/>
      <c r="KQZ4" s="1962"/>
      <c r="KRA4" s="1962"/>
      <c r="KRB4" s="1962"/>
      <c r="KRC4" s="1962"/>
      <c r="KRD4" s="1962"/>
      <c r="KRE4" s="1962"/>
      <c r="KRF4" s="1962"/>
      <c r="KRG4" s="1962"/>
      <c r="KRH4" s="1962"/>
      <c r="KRI4" s="1962"/>
      <c r="KRJ4" s="1962"/>
      <c r="KRK4" s="1962"/>
      <c r="KRL4" s="1962"/>
      <c r="KRM4" s="1962"/>
      <c r="KRN4" s="1962"/>
      <c r="KRO4" s="1962"/>
      <c r="KRP4" s="1962"/>
      <c r="KRQ4" s="1962"/>
      <c r="KRR4" s="1962"/>
      <c r="KRS4" s="1962"/>
      <c r="KRT4" s="1962"/>
      <c r="KRU4" s="1962"/>
      <c r="KRV4" s="1962"/>
      <c r="KRW4" s="1962"/>
      <c r="KRX4" s="1962"/>
      <c r="KRY4" s="1962"/>
      <c r="KRZ4" s="1962"/>
      <c r="KSA4" s="1962"/>
      <c r="KSB4" s="1962"/>
      <c r="KSC4" s="1962"/>
      <c r="KSD4" s="1962"/>
      <c r="KSE4" s="1962"/>
      <c r="KSF4" s="1962"/>
      <c r="KSG4" s="1962"/>
      <c r="KSH4" s="1962"/>
      <c r="KSI4" s="1962"/>
      <c r="KSJ4" s="1962"/>
      <c r="KSK4" s="1962"/>
      <c r="KSL4" s="1962"/>
      <c r="KSM4" s="1962"/>
      <c r="KSN4" s="1962"/>
      <c r="KSO4" s="1962"/>
      <c r="KSP4" s="1962"/>
      <c r="KSQ4" s="1962"/>
      <c r="KSR4" s="1962"/>
      <c r="KSS4" s="1962"/>
      <c r="KST4" s="1962"/>
      <c r="KSU4" s="1962"/>
      <c r="KSV4" s="1962"/>
      <c r="KSW4" s="1962"/>
      <c r="KSX4" s="1962"/>
      <c r="KSY4" s="1962"/>
      <c r="KSZ4" s="1962"/>
      <c r="KTA4" s="1962"/>
      <c r="KTB4" s="1962"/>
      <c r="KTC4" s="1962"/>
      <c r="KTD4" s="1962"/>
      <c r="KTE4" s="1962"/>
      <c r="KTF4" s="1962"/>
      <c r="KTG4" s="1962"/>
      <c r="KTH4" s="1962"/>
      <c r="KTI4" s="1962"/>
      <c r="KTJ4" s="1962"/>
      <c r="KTK4" s="1962"/>
      <c r="KTL4" s="1962"/>
      <c r="KTM4" s="1962"/>
      <c r="KTN4" s="1962"/>
      <c r="KTO4" s="1962"/>
      <c r="KTP4" s="1962"/>
      <c r="KTQ4" s="1962"/>
      <c r="KTR4" s="1962"/>
      <c r="KTS4" s="1962"/>
      <c r="KTT4" s="1962"/>
      <c r="KTU4" s="1962"/>
      <c r="KTV4" s="1962"/>
      <c r="KTW4" s="1962"/>
      <c r="KTX4" s="1962"/>
      <c r="KTY4" s="1962"/>
      <c r="KTZ4" s="1962"/>
      <c r="KUA4" s="1962"/>
      <c r="KUB4" s="1962"/>
      <c r="KUC4" s="1962"/>
      <c r="KUD4" s="1962"/>
      <c r="KUE4" s="1962"/>
      <c r="KUF4" s="1962"/>
      <c r="KUG4" s="1962"/>
      <c r="KUH4" s="1962"/>
      <c r="KUI4" s="1962"/>
      <c r="KUJ4" s="1962"/>
      <c r="KUK4" s="1962"/>
      <c r="KUL4" s="1962"/>
      <c r="KUM4" s="1962"/>
      <c r="KUN4" s="1962"/>
      <c r="KUO4" s="1962"/>
      <c r="KUP4" s="1962"/>
      <c r="KUQ4" s="1962"/>
      <c r="KUR4" s="1962"/>
      <c r="KUS4" s="1962"/>
      <c r="KUT4" s="1962"/>
      <c r="KUU4" s="1962"/>
      <c r="KUV4" s="1962"/>
      <c r="KUW4" s="1962"/>
      <c r="KUX4" s="1962"/>
      <c r="KUY4" s="1962"/>
      <c r="KUZ4" s="1962"/>
      <c r="KVA4" s="1962"/>
      <c r="KVB4" s="1962"/>
      <c r="KVC4" s="1962"/>
      <c r="KVD4" s="1962"/>
      <c r="KVE4" s="1962"/>
      <c r="KVF4" s="1962"/>
      <c r="KVG4" s="1962"/>
      <c r="KVH4" s="1962"/>
      <c r="KVI4" s="1962"/>
      <c r="KVJ4" s="1962"/>
      <c r="KVK4" s="1962"/>
      <c r="KVL4" s="1962"/>
      <c r="KVM4" s="1962"/>
      <c r="KVN4" s="1962"/>
      <c r="KVO4" s="1962"/>
      <c r="KVP4" s="1962"/>
      <c r="KVQ4" s="1962"/>
      <c r="KVR4" s="1962"/>
      <c r="KVS4" s="1962"/>
      <c r="KVT4" s="1962"/>
      <c r="KVU4" s="1962"/>
      <c r="KVV4" s="1962"/>
      <c r="KVW4" s="1962"/>
      <c r="KVX4" s="1962"/>
      <c r="KVY4" s="1962"/>
      <c r="KVZ4" s="1962"/>
      <c r="KWA4" s="1962"/>
      <c r="KWB4" s="1962"/>
      <c r="KWC4" s="1962"/>
      <c r="KWD4" s="1962"/>
      <c r="KWE4" s="1962"/>
      <c r="KWF4" s="1962"/>
      <c r="KWG4" s="1962"/>
      <c r="KWH4" s="1962"/>
      <c r="KWI4" s="1962"/>
      <c r="KWJ4" s="1962"/>
      <c r="KWK4" s="1962"/>
      <c r="KWL4" s="1962"/>
      <c r="KWM4" s="1962"/>
      <c r="KWN4" s="1962"/>
      <c r="KWO4" s="1962"/>
      <c r="KWP4" s="1962"/>
      <c r="KWQ4" s="1962"/>
      <c r="KWR4" s="1962"/>
      <c r="KWS4" s="1962"/>
      <c r="KWT4" s="1962"/>
      <c r="KWU4" s="1962"/>
      <c r="KWV4" s="1962"/>
      <c r="KWW4" s="1962"/>
      <c r="KWX4" s="1962"/>
      <c r="KWY4" s="1962"/>
      <c r="KWZ4" s="1962"/>
      <c r="KXA4" s="1962"/>
      <c r="KXB4" s="1962"/>
      <c r="KXC4" s="1962"/>
      <c r="KXD4" s="1962"/>
      <c r="KXE4" s="1962"/>
      <c r="KXF4" s="1962"/>
      <c r="KXG4" s="1962"/>
      <c r="KXH4" s="1962"/>
      <c r="KXI4" s="1962"/>
      <c r="KXJ4" s="1962"/>
      <c r="KXK4" s="1962"/>
      <c r="KXL4" s="1962"/>
      <c r="KXM4" s="1962"/>
      <c r="KXN4" s="1962"/>
      <c r="KXO4" s="1962"/>
      <c r="KXP4" s="1962"/>
      <c r="KXQ4" s="1962"/>
      <c r="KXR4" s="1962"/>
      <c r="KXS4" s="1962"/>
      <c r="KXT4" s="1962"/>
      <c r="KXU4" s="1962"/>
      <c r="KXV4" s="1962"/>
      <c r="KXW4" s="1962"/>
      <c r="KXX4" s="1962"/>
      <c r="KXY4" s="1962"/>
      <c r="KXZ4" s="1962"/>
      <c r="KYA4" s="1962"/>
      <c r="KYB4" s="1962"/>
      <c r="KYC4" s="1962"/>
      <c r="KYD4" s="1962"/>
      <c r="KYE4" s="1962"/>
      <c r="KYF4" s="1962"/>
      <c r="KYG4" s="1962"/>
      <c r="KYH4" s="1962"/>
      <c r="KYI4" s="1962"/>
      <c r="KYJ4" s="1962"/>
      <c r="KYK4" s="1962"/>
      <c r="KYL4" s="1962"/>
      <c r="KYM4" s="1962"/>
      <c r="KYN4" s="1962"/>
      <c r="KYO4" s="1962"/>
      <c r="KYP4" s="1962"/>
      <c r="KYQ4" s="1962"/>
      <c r="KYR4" s="1962"/>
      <c r="KYS4" s="1962"/>
      <c r="KYT4" s="1962"/>
      <c r="KYU4" s="1962"/>
      <c r="KYV4" s="1962"/>
      <c r="KYW4" s="1962"/>
      <c r="KYX4" s="1962"/>
      <c r="KYY4" s="1962"/>
      <c r="KYZ4" s="1962"/>
      <c r="KZA4" s="1962"/>
      <c r="KZB4" s="1962"/>
      <c r="KZC4" s="1962"/>
      <c r="KZD4" s="1962"/>
      <c r="KZE4" s="1962"/>
      <c r="KZF4" s="1962"/>
      <c r="KZG4" s="1962"/>
      <c r="KZH4" s="1962"/>
      <c r="KZI4" s="1962"/>
      <c r="KZJ4" s="1962"/>
      <c r="KZK4" s="1962"/>
      <c r="KZL4" s="1962"/>
      <c r="KZM4" s="1962"/>
      <c r="KZN4" s="1962"/>
      <c r="KZO4" s="1962"/>
      <c r="KZP4" s="1962"/>
      <c r="KZQ4" s="1962"/>
      <c r="KZR4" s="1962"/>
      <c r="KZS4" s="1962"/>
      <c r="KZT4" s="1962"/>
      <c r="KZU4" s="1962"/>
      <c r="KZV4" s="1962"/>
      <c r="KZW4" s="1962"/>
      <c r="KZX4" s="1962"/>
      <c r="KZY4" s="1962"/>
      <c r="KZZ4" s="1962"/>
      <c r="LAA4" s="1962"/>
      <c r="LAB4" s="1962"/>
      <c r="LAC4" s="1962"/>
      <c r="LAD4" s="1962"/>
      <c r="LAE4" s="1962"/>
      <c r="LAF4" s="1962"/>
      <c r="LAG4" s="1962"/>
      <c r="LAH4" s="1962"/>
      <c r="LAI4" s="1962"/>
      <c r="LAJ4" s="1962"/>
      <c r="LAK4" s="1962"/>
      <c r="LAL4" s="1962"/>
      <c r="LAM4" s="1962"/>
      <c r="LAN4" s="1962"/>
      <c r="LAO4" s="1962"/>
      <c r="LAP4" s="1962"/>
      <c r="LAQ4" s="1962"/>
      <c r="LAR4" s="1962"/>
      <c r="LAS4" s="1962"/>
      <c r="LAT4" s="1962"/>
      <c r="LAU4" s="1962"/>
      <c r="LAV4" s="1962"/>
      <c r="LAW4" s="1962"/>
      <c r="LAX4" s="1962"/>
      <c r="LAY4" s="1962"/>
      <c r="LAZ4" s="1962"/>
      <c r="LBA4" s="1962"/>
      <c r="LBB4" s="1962"/>
      <c r="LBC4" s="1962"/>
      <c r="LBD4" s="1962"/>
      <c r="LBE4" s="1962"/>
      <c r="LBF4" s="1962"/>
      <c r="LBG4" s="1962"/>
      <c r="LBH4" s="1962"/>
      <c r="LBI4" s="1962"/>
      <c r="LBJ4" s="1962"/>
      <c r="LBK4" s="1962"/>
      <c r="LBL4" s="1962"/>
      <c r="LBM4" s="1962"/>
      <c r="LBN4" s="1962"/>
      <c r="LBO4" s="1962"/>
      <c r="LBP4" s="1962"/>
      <c r="LBQ4" s="1962"/>
      <c r="LBR4" s="1962"/>
      <c r="LBS4" s="1962"/>
      <c r="LBT4" s="1962"/>
      <c r="LBU4" s="1962"/>
      <c r="LBV4" s="1962"/>
      <c r="LBW4" s="1962"/>
      <c r="LBX4" s="1962"/>
      <c r="LBY4" s="1962"/>
      <c r="LBZ4" s="1962"/>
      <c r="LCA4" s="1962"/>
      <c r="LCB4" s="1962"/>
      <c r="LCC4" s="1962"/>
      <c r="LCD4" s="1962"/>
      <c r="LCE4" s="1962"/>
      <c r="LCF4" s="1962"/>
      <c r="LCG4" s="1962"/>
      <c r="LCH4" s="1962"/>
      <c r="LCI4" s="1962"/>
      <c r="LCJ4" s="1962"/>
      <c r="LCK4" s="1962"/>
      <c r="LCL4" s="1962"/>
      <c r="LCM4" s="1962"/>
      <c r="LCN4" s="1962"/>
      <c r="LCO4" s="1962"/>
      <c r="LCP4" s="1962"/>
      <c r="LCQ4" s="1962"/>
      <c r="LCR4" s="1962"/>
      <c r="LCS4" s="1962"/>
      <c r="LCT4" s="1962"/>
      <c r="LCU4" s="1962"/>
      <c r="LCV4" s="1962"/>
      <c r="LCW4" s="1962"/>
      <c r="LCX4" s="1962"/>
      <c r="LCY4" s="1962"/>
      <c r="LCZ4" s="1962"/>
      <c r="LDA4" s="1962"/>
      <c r="LDB4" s="1962"/>
      <c r="LDC4" s="1962"/>
      <c r="LDD4" s="1962"/>
      <c r="LDE4" s="1962"/>
      <c r="LDF4" s="1962"/>
      <c r="LDG4" s="1962"/>
      <c r="LDH4" s="1962"/>
      <c r="LDI4" s="1962"/>
      <c r="LDJ4" s="1962"/>
      <c r="LDK4" s="1962"/>
      <c r="LDL4" s="1962"/>
      <c r="LDM4" s="1962"/>
      <c r="LDN4" s="1962"/>
      <c r="LDO4" s="1962"/>
      <c r="LDP4" s="1962"/>
      <c r="LDQ4" s="1962"/>
      <c r="LDR4" s="1962"/>
      <c r="LDS4" s="1962"/>
      <c r="LDT4" s="1962"/>
      <c r="LDU4" s="1962"/>
      <c r="LDV4" s="1962"/>
      <c r="LDW4" s="1962"/>
      <c r="LDX4" s="1962"/>
      <c r="LDY4" s="1962"/>
      <c r="LDZ4" s="1962"/>
      <c r="LEA4" s="1962"/>
      <c r="LEB4" s="1962"/>
      <c r="LEC4" s="1962"/>
      <c r="LED4" s="1962"/>
      <c r="LEE4" s="1962"/>
      <c r="LEF4" s="1962"/>
      <c r="LEG4" s="1962"/>
      <c r="LEH4" s="1962"/>
      <c r="LEI4" s="1962"/>
      <c r="LEJ4" s="1962"/>
      <c r="LEK4" s="1962"/>
      <c r="LEL4" s="1962"/>
      <c r="LEM4" s="1962"/>
      <c r="LEN4" s="1962"/>
      <c r="LEO4" s="1962"/>
      <c r="LEP4" s="1962"/>
      <c r="LEQ4" s="1962"/>
      <c r="LER4" s="1962"/>
      <c r="LES4" s="1962"/>
      <c r="LET4" s="1962"/>
      <c r="LEU4" s="1962"/>
      <c r="LEV4" s="1962"/>
      <c r="LEW4" s="1962"/>
      <c r="LEX4" s="1962"/>
      <c r="LEY4" s="1962"/>
      <c r="LEZ4" s="1962"/>
      <c r="LFA4" s="1962"/>
      <c r="LFB4" s="1962"/>
      <c r="LFC4" s="1962"/>
      <c r="LFD4" s="1962"/>
      <c r="LFE4" s="1962"/>
      <c r="LFF4" s="1962"/>
      <c r="LFG4" s="1962"/>
      <c r="LFH4" s="1962"/>
      <c r="LFI4" s="1962"/>
      <c r="LFJ4" s="1962"/>
      <c r="LFK4" s="1962"/>
      <c r="LFL4" s="1962"/>
      <c r="LFM4" s="1962"/>
      <c r="LFN4" s="1962"/>
      <c r="LFO4" s="1962"/>
      <c r="LFP4" s="1962"/>
      <c r="LFQ4" s="1962"/>
      <c r="LFR4" s="1962"/>
      <c r="LFS4" s="1962"/>
      <c r="LFT4" s="1962"/>
      <c r="LFU4" s="1962"/>
      <c r="LFV4" s="1962"/>
      <c r="LFW4" s="1962"/>
      <c r="LFX4" s="1962"/>
      <c r="LFY4" s="1962"/>
      <c r="LFZ4" s="1962"/>
      <c r="LGA4" s="1962"/>
      <c r="LGB4" s="1962"/>
      <c r="LGC4" s="1962"/>
      <c r="LGD4" s="1962"/>
      <c r="LGE4" s="1962"/>
      <c r="LGF4" s="1962"/>
      <c r="LGG4" s="1962"/>
      <c r="LGH4" s="1962"/>
      <c r="LGI4" s="1962"/>
      <c r="LGJ4" s="1962"/>
      <c r="LGK4" s="1962"/>
      <c r="LGL4" s="1962"/>
      <c r="LGM4" s="1962"/>
      <c r="LGN4" s="1962"/>
      <c r="LGO4" s="1962"/>
      <c r="LGP4" s="1962"/>
      <c r="LGQ4" s="1962"/>
      <c r="LGR4" s="1962"/>
      <c r="LGS4" s="1962"/>
      <c r="LGT4" s="1962"/>
      <c r="LGU4" s="1962"/>
      <c r="LGV4" s="1962"/>
      <c r="LGW4" s="1962"/>
      <c r="LGX4" s="1962"/>
      <c r="LGY4" s="1962"/>
      <c r="LGZ4" s="1962"/>
      <c r="LHA4" s="1962"/>
      <c r="LHB4" s="1962"/>
      <c r="LHC4" s="1962"/>
      <c r="LHD4" s="1962"/>
      <c r="LHE4" s="1962"/>
      <c r="LHF4" s="1962"/>
      <c r="LHG4" s="1962"/>
      <c r="LHH4" s="1962"/>
      <c r="LHI4" s="1962"/>
      <c r="LHJ4" s="1962"/>
      <c r="LHK4" s="1962"/>
      <c r="LHL4" s="1962"/>
      <c r="LHM4" s="1962"/>
      <c r="LHN4" s="1962"/>
      <c r="LHO4" s="1962"/>
      <c r="LHP4" s="1962"/>
      <c r="LHQ4" s="1962"/>
      <c r="LHR4" s="1962"/>
      <c r="LHS4" s="1962"/>
      <c r="LHT4" s="1962"/>
      <c r="LHU4" s="1962"/>
      <c r="LHV4" s="1962"/>
      <c r="LHW4" s="1962"/>
      <c r="LHX4" s="1962"/>
      <c r="LHY4" s="1962"/>
      <c r="LHZ4" s="1962"/>
      <c r="LIA4" s="1962"/>
      <c r="LIB4" s="1962"/>
      <c r="LIC4" s="1962"/>
      <c r="LID4" s="1962"/>
      <c r="LIE4" s="1962"/>
      <c r="LIF4" s="1962"/>
      <c r="LIG4" s="1962"/>
      <c r="LIH4" s="1962"/>
      <c r="LII4" s="1962"/>
      <c r="LIJ4" s="1962"/>
      <c r="LIK4" s="1962"/>
      <c r="LIL4" s="1962"/>
      <c r="LIM4" s="1962"/>
      <c r="LIN4" s="1962"/>
      <c r="LIO4" s="1962"/>
      <c r="LIP4" s="1962"/>
      <c r="LIQ4" s="1962"/>
      <c r="LIR4" s="1962"/>
      <c r="LIS4" s="1962"/>
      <c r="LIT4" s="1962"/>
      <c r="LIU4" s="1962"/>
      <c r="LIV4" s="1962"/>
      <c r="LIW4" s="1962"/>
      <c r="LIX4" s="1962"/>
      <c r="LIY4" s="1962"/>
      <c r="LIZ4" s="1962"/>
      <c r="LJA4" s="1962"/>
      <c r="LJB4" s="1962"/>
      <c r="LJC4" s="1962"/>
      <c r="LJD4" s="1962"/>
      <c r="LJE4" s="1962"/>
      <c r="LJF4" s="1962"/>
      <c r="LJG4" s="1962"/>
      <c r="LJH4" s="1962"/>
      <c r="LJI4" s="1962"/>
      <c r="LJJ4" s="1962"/>
      <c r="LJK4" s="1962"/>
      <c r="LJL4" s="1962"/>
      <c r="LJM4" s="1962"/>
      <c r="LJN4" s="1962"/>
      <c r="LJO4" s="1962"/>
      <c r="LJP4" s="1962"/>
      <c r="LJQ4" s="1962"/>
      <c r="LJR4" s="1962"/>
      <c r="LJS4" s="1962"/>
      <c r="LJT4" s="1962"/>
      <c r="LJU4" s="1962"/>
      <c r="LJV4" s="1962"/>
      <c r="LJW4" s="1962"/>
      <c r="LJX4" s="1962"/>
      <c r="LJY4" s="1962"/>
      <c r="LJZ4" s="1962"/>
      <c r="LKA4" s="1962"/>
      <c r="LKB4" s="1962"/>
      <c r="LKC4" s="1962"/>
      <c r="LKD4" s="1962"/>
      <c r="LKE4" s="1962"/>
      <c r="LKF4" s="1962"/>
      <c r="LKG4" s="1962"/>
      <c r="LKH4" s="1962"/>
      <c r="LKI4" s="1962"/>
      <c r="LKJ4" s="1962"/>
      <c r="LKK4" s="1962"/>
      <c r="LKL4" s="1962"/>
      <c r="LKM4" s="1962"/>
      <c r="LKN4" s="1962"/>
      <c r="LKO4" s="1962"/>
      <c r="LKP4" s="1962"/>
      <c r="LKQ4" s="1962"/>
      <c r="LKR4" s="1962"/>
      <c r="LKS4" s="1962"/>
      <c r="LKT4" s="1962"/>
      <c r="LKU4" s="1962"/>
      <c r="LKV4" s="1962"/>
      <c r="LKW4" s="1962"/>
      <c r="LKX4" s="1962"/>
      <c r="LKY4" s="1962"/>
      <c r="LKZ4" s="1962"/>
      <c r="LLA4" s="1962"/>
      <c r="LLB4" s="1962"/>
      <c r="LLC4" s="1962"/>
      <c r="LLD4" s="1962"/>
      <c r="LLE4" s="1962"/>
      <c r="LLF4" s="1962"/>
      <c r="LLG4" s="1962"/>
      <c r="LLH4" s="1962"/>
      <c r="LLI4" s="1962"/>
      <c r="LLJ4" s="1962"/>
      <c r="LLK4" s="1962"/>
      <c r="LLL4" s="1962"/>
      <c r="LLM4" s="1962"/>
      <c r="LLN4" s="1962"/>
      <c r="LLO4" s="1962"/>
      <c r="LLP4" s="1962"/>
      <c r="LLQ4" s="1962"/>
      <c r="LLR4" s="1962"/>
      <c r="LLS4" s="1962"/>
      <c r="LLT4" s="1962"/>
      <c r="LLU4" s="1962"/>
      <c r="LLV4" s="1962"/>
      <c r="LLW4" s="1962"/>
      <c r="LLX4" s="1962"/>
      <c r="LLY4" s="1962"/>
      <c r="LLZ4" s="1962"/>
      <c r="LMA4" s="1962"/>
      <c r="LMB4" s="1962"/>
      <c r="LMC4" s="1962"/>
      <c r="LMD4" s="1962"/>
      <c r="LME4" s="1962"/>
      <c r="LMF4" s="1962"/>
      <c r="LMG4" s="1962"/>
      <c r="LMH4" s="1962"/>
      <c r="LMI4" s="1962"/>
      <c r="LMJ4" s="1962"/>
      <c r="LMK4" s="1962"/>
      <c r="LML4" s="1962"/>
      <c r="LMM4" s="1962"/>
      <c r="LMN4" s="1962"/>
      <c r="LMO4" s="1962"/>
      <c r="LMP4" s="1962"/>
      <c r="LMQ4" s="1962"/>
      <c r="LMR4" s="1962"/>
      <c r="LMS4" s="1962"/>
      <c r="LMT4" s="1962"/>
      <c r="LMU4" s="1962"/>
      <c r="LMV4" s="1962"/>
      <c r="LMW4" s="1962"/>
      <c r="LMX4" s="1962"/>
      <c r="LMY4" s="1962"/>
      <c r="LMZ4" s="1962"/>
      <c r="LNA4" s="1962"/>
      <c r="LNB4" s="1962"/>
      <c r="LNC4" s="1962"/>
      <c r="LND4" s="1962"/>
      <c r="LNE4" s="1962"/>
      <c r="LNF4" s="1962"/>
      <c r="LNG4" s="1962"/>
      <c r="LNH4" s="1962"/>
      <c r="LNI4" s="1962"/>
      <c r="LNJ4" s="1962"/>
      <c r="LNK4" s="1962"/>
      <c r="LNL4" s="1962"/>
      <c r="LNM4" s="1962"/>
      <c r="LNN4" s="1962"/>
      <c r="LNO4" s="1962"/>
      <c r="LNP4" s="1962"/>
      <c r="LNQ4" s="1962"/>
      <c r="LNR4" s="1962"/>
      <c r="LNS4" s="1962"/>
      <c r="LNT4" s="1962"/>
      <c r="LNU4" s="1962"/>
      <c r="LNV4" s="1962"/>
      <c r="LNW4" s="1962"/>
      <c r="LNX4" s="1962"/>
      <c r="LNY4" s="1962"/>
      <c r="LNZ4" s="1962"/>
      <c r="LOA4" s="1962"/>
      <c r="LOB4" s="1962"/>
      <c r="LOC4" s="1962"/>
      <c r="LOD4" s="1962"/>
      <c r="LOE4" s="1962"/>
      <c r="LOF4" s="1962"/>
      <c r="LOG4" s="1962"/>
      <c r="LOH4" s="1962"/>
      <c r="LOI4" s="1962"/>
      <c r="LOJ4" s="1962"/>
      <c r="LOK4" s="1962"/>
      <c r="LOL4" s="1962"/>
      <c r="LOM4" s="1962"/>
      <c r="LON4" s="1962"/>
      <c r="LOO4" s="1962"/>
      <c r="LOP4" s="1962"/>
      <c r="LOQ4" s="1962"/>
      <c r="LOR4" s="1962"/>
      <c r="LOS4" s="1962"/>
      <c r="LOT4" s="1962"/>
      <c r="LOU4" s="1962"/>
      <c r="LOV4" s="1962"/>
      <c r="LOW4" s="1962"/>
      <c r="LOX4" s="1962"/>
      <c r="LOY4" s="1962"/>
      <c r="LOZ4" s="1962"/>
      <c r="LPA4" s="1962"/>
      <c r="LPB4" s="1962"/>
      <c r="LPC4" s="1962"/>
      <c r="LPD4" s="1962"/>
      <c r="LPE4" s="1962"/>
      <c r="LPF4" s="1962"/>
      <c r="LPG4" s="1962"/>
      <c r="LPH4" s="1962"/>
      <c r="LPI4" s="1962"/>
      <c r="LPJ4" s="1962"/>
      <c r="LPK4" s="1962"/>
      <c r="LPL4" s="1962"/>
      <c r="LPM4" s="1962"/>
      <c r="LPN4" s="1962"/>
      <c r="LPO4" s="1962"/>
      <c r="LPP4" s="1962"/>
      <c r="LPQ4" s="1962"/>
      <c r="LPR4" s="1962"/>
      <c r="LPS4" s="1962"/>
      <c r="LPT4" s="1962"/>
      <c r="LPU4" s="1962"/>
      <c r="LPV4" s="1962"/>
      <c r="LPW4" s="1962"/>
      <c r="LPX4" s="1962"/>
      <c r="LPY4" s="1962"/>
      <c r="LPZ4" s="1962"/>
      <c r="LQA4" s="1962"/>
      <c r="LQB4" s="1962"/>
      <c r="LQC4" s="1962"/>
      <c r="LQD4" s="1962"/>
      <c r="LQE4" s="1962"/>
      <c r="LQF4" s="1962"/>
      <c r="LQG4" s="1962"/>
      <c r="LQH4" s="1962"/>
      <c r="LQI4" s="1962"/>
      <c r="LQJ4" s="1962"/>
      <c r="LQK4" s="1962"/>
      <c r="LQL4" s="1962"/>
      <c r="LQM4" s="1962"/>
      <c r="LQN4" s="1962"/>
      <c r="LQO4" s="1962"/>
      <c r="LQP4" s="1962"/>
      <c r="LQQ4" s="1962"/>
      <c r="LQR4" s="1962"/>
      <c r="LQS4" s="1962"/>
      <c r="LQT4" s="1962"/>
      <c r="LQU4" s="1962"/>
      <c r="LQV4" s="1962"/>
      <c r="LQW4" s="1962"/>
      <c r="LQX4" s="1962"/>
      <c r="LQY4" s="1962"/>
      <c r="LQZ4" s="1962"/>
      <c r="LRA4" s="1962"/>
      <c r="LRB4" s="1962"/>
      <c r="LRC4" s="1962"/>
      <c r="LRD4" s="1962"/>
      <c r="LRE4" s="1962"/>
      <c r="LRF4" s="1962"/>
      <c r="LRG4" s="1962"/>
      <c r="LRH4" s="1962"/>
      <c r="LRI4" s="1962"/>
      <c r="LRJ4" s="1962"/>
      <c r="LRK4" s="1962"/>
      <c r="LRL4" s="1962"/>
      <c r="LRM4" s="1962"/>
      <c r="LRN4" s="1962"/>
      <c r="LRO4" s="1962"/>
      <c r="LRP4" s="1962"/>
      <c r="LRQ4" s="1962"/>
      <c r="LRR4" s="1962"/>
      <c r="LRS4" s="1962"/>
      <c r="LRT4" s="1962"/>
      <c r="LRU4" s="1962"/>
      <c r="LRV4" s="1962"/>
      <c r="LRW4" s="1962"/>
      <c r="LRX4" s="1962"/>
      <c r="LRY4" s="1962"/>
      <c r="LRZ4" s="1962"/>
      <c r="LSA4" s="1962"/>
      <c r="LSB4" s="1962"/>
      <c r="LSC4" s="1962"/>
      <c r="LSD4" s="1962"/>
      <c r="LSE4" s="1962"/>
      <c r="LSF4" s="1962"/>
      <c r="LSG4" s="1962"/>
      <c r="LSH4" s="1962"/>
      <c r="LSI4" s="1962"/>
      <c r="LSJ4" s="1962"/>
      <c r="LSK4" s="1962"/>
      <c r="LSL4" s="1962"/>
      <c r="LSM4" s="1962"/>
      <c r="LSN4" s="1962"/>
      <c r="LSO4" s="1962"/>
      <c r="LSP4" s="1962"/>
      <c r="LSQ4" s="1962"/>
      <c r="LSR4" s="1962"/>
      <c r="LSS4" s="1962"/>
      <c r="LST4" s="1962"/>
      <c r="LSU4" s="1962"/>
      <c r="LSV4" s="1962"/>
      <c r="LSW4" s="1962"/>
      <c r="LSX4" s="1962"/>
      <c r="LSY4" s="1962"/>
      <c r="LSZ4" s="1962"/>
      <c r="LTA4" s="1962"/>
      <c r="LTB4" s="1962"/>
      <c r="LTC4" s="1962"/>
      <c r="LTD4" s="1962"/>
      <c r="LTE4" s="1962"/>
      <c r="LTF4" s="1962"/>
      <c r="LTG4" s="1962"/>
      <c r="LTH4" s="1962"/>
      <c r="LTI4" s="1962"/>
      <c r="LTJ4" s="1962"/>
      <c r="LTK4" s="1962"/>
      <c r="LTL4" s="1962"/>
      <c r="LTM4" s="1962"/>
      <c r="LTN4" s="1962"/>
      <c r="LTO4" s="1962"/>
      <c r="LTP4" s="1962"/>
      <c r="LTQ4" s="1962"/>
      <c r="LTR4" s="1962"/>
      <c r="LTS4" s="1962"/>
      <c r="LTT4" s="1962"/>
      <c r="LTU4" s="1962"/>
      <c r="LTV4" s="1962"/>
      <c r="LTW4" s="1962"/>
      <c r="LTX4" s="1962"/>
      <c r="LTY4" s="1962"/>
      <c r="LTZ4" s="1962"/>
      <c r="LUA4" s="1962"/>
      <c r="LUB4" s="1962"/>
      <c r="LUC4" s="1962"/>
      <c r="LUD4" s="1962"/>
      <c r="LUE4" s="1962"/>
      <c r="LUF4" s="1962"/>
      <c r="LUG4" s="1962"/>
      <c r="LUH4" s="1962"/>
      <c r="LUI4" s="1962"/>
      <c r="LUJ4" s="1962"/>
      <c r="LUK4" s="1962"/>
      <c r="LUL4" s="1962"/>
      <c r="LUM4" s="1962"/>
      <c r="LUN4" s="1962"/>
      <c r="LUO4" s="1962"/>
      <c r="LUP4" s="1962"/>
      <c r="LUQ4" s="1962"/>
      <c r="LUR4" s="1962"/>
      <c r="LUS4" s="1962"/>
      <c r="LUT4" s="1962"/>
      <c r="LUU4" s="1962"/>
      <c r="LUV4" s="1962"/>
      <c r="LUW4" s="1962"/>
      <c r="LUX4" s="1962"/>
      <c r="LUY4" s="1962"/>
      <c r="LUZ4" s="1962"/>
      <c r="LVA4" s="1962"/>
      <c r="LVB4" s="1962"/>
      <c r="LVC4" s="1962"/>
      <c r="LVD4" s="1962"/>
      <c r="LVE4" s="1962"/>
      <c r="LVF4" s="1962"/>
      <c r="LVG4" s="1962"/>
      <c r="LVH4" s="1962"/>
      <c r="LVI4" s="1962"/>
      <c r="LVJ4" s="1962"/>
      <c r="LVK4" s="1962"/>
      <c r="LVL4" s="1962"/>
      <c r="LVM4" s="1962"/>
      <c r="LVN4" s="1962"/>
      <c r="LVO4" s="1962"/>
      <c r="LVP4" s="1962"/>
      <c r="LVQ4" s="1962"/>
      <c r="LVR4" s="1962"/>
      <c r="LVS4" s="1962"/>
      <c r="LVT4" s="1962"/>
      <c r="LVU4" s="1962"/>
      <c r="LVV4" s="1962"/>
      <c r="LVW4" s="1962"/>
      <c r="LVX4" s="1962"/>
      <c r="LVY4" s="1962"/>
      <c r="LVZ4" s="1962"/>
      <c r="LWA4" s="1962"/>
      <c r="LWB4" s="1962"/>
      <c r="LWC4" s="1962"/>
      <c r="LWD4" s="1962"/>
      <c r="LWE4" s="1962"/>
      <c r="LWF4" s="1962"/>
      <c r="LWG4" s="1962"/>
      <c r="LWH4" s="1962"/>
      <c r="LWI4" s="1962"/>
      <c r="LWJ4" s="1962"/>
      <c r="LWK4" s="1962"/>
      <c r="LWL4" s="1962"/>
      <c r="LWM4" s="1962"/>
      <c r="LWN4" s="1962"/>
      <c r="LWO4" s="1962"/>
      <c r="LWP4" s="1962"/>
      <c r="LWQ4" s="1962"/>
      <c r="LWR4" s="1962"/>
      <c r="LWS4" s="1962"/>
      <c r="LWT4" s="1962"/>
      <c r="LWU4" s="1962"/>
      <c r="LWV4" s="1962"/>
      <c r="LWW4" s="1962"/>
      <c r="LWX4" s="1962"/>
      <c r="LWY4" s="1962"/>
      <c r="LWZ4" s="1962"/>
      <c r="LXA4" s="1962"/>
      <c r="LXB4" s="1962"/>
      <c r="LXC4" s="1962"/>
      <c r="LXD4" s="1962"/>
      <c r="LXE4" s="1962"/>
      <c r="LXF4" s="1962"/>
      <c r="LXG4" s="1962"/>
      <c r="LXH4" s="1962"/>
      <c r="LXI4" s="1962"/>
      <c r="LXJ4" s="1962"/>
      <c r="LXK4" s="1962"/>
      <c r="LXL4" s="1962"/>
      <c r="LXM4" s="1962"/>
      <c r="LXN4" s="1962"/>
      <c r="LXO4" s="1962"/>
      <c r="LXP4" s="1962"/>
      <c r="LXQ4" s="1962"/>
      <c r="LXR4" s="1962"/>
      <c r="LXS4" s="1962"/>
      <c r="LXT4" s="1962"/>
      <c r="LXU4" s="1962"/>
      <c r="LXV4" s="1962"/>
      <c r="LXW4" s="1962"/>
      <c r="LXX4" s="1962"/>
      <c r="LXY4" s="1962"/>
      <c r="LXZ4" s="1962"/>
      <c r="LYA4" s="1962"/>
      <c r="LYB4" s="1962"/>
      <c r="LYC4" s="1962"/>
      <c r="LYD4" s="1962"/>
      <c r="LYE4" s="1962"/>
      <c r="LYF4" s="1962"/>
      <c r="LYG4" s="1962"/>
      <c r="LYH4" s="1962"/>
      <c r="LYI4" s="1962"/>
      <c r="LYJ4" s="1962"/>
      <c r="LYK4" s="1962"/>
      <c r="LYL4" s="1962"/>
      <c r="LYM4" s="1962"/>
      <c r="LYN4" s="1962"/>
      <c r="LYO4" s="1962"/>
      <c r="LYP4" s="1962"/>
      <c r="LYQ4" s="1962"/>
      <c r="LYR4" s="1962"/>
      <c r="LYS4" s="1962"/>
      <c r="LYT4" s="1962"/>
      <c r="LYU4" s="1962"/>
      <c r="LYV4" s="1962"/>
      <c r="LYW4" s="1962"/>
      <c r="LYX4" s="1962"/>
      <c r="LYY4" s="1962"/>
      <c r="LYZ4" s="1962"/>
      <c r="LZA4" s="1962"/>
      <c r="LZB4" s="1962"/>
      <c r="LZC4" s="1962"/>
      <c r="LZD4" s="1962"/>
      <c r="LZE4" s="1962"/>
      <c r="LZF4" s="1962"/>
      <c r="LZG4" s="1962"/>
      <c r="LZH4" s="1962"/>
      <c r="LZI4" s="1962"/>
      <c r="LZJ4" s="1962"/>
      <c r="LZK4" s="1962"/>
      <c r="LZL4" s="1962"/>
      <c r="LZM4" s="1962"/>
      <c r="LZN4" s="1962"/>
      <c r="LZO4" s="1962"/>
      <c r="LZP4" s="1962"/>
      <c r="LZQ4" s="1962"/>
      <c r="LZR4" s="1962"/>
      <c r="LZS4" s="1962"/>
      <c r="LZT4" s="1962"/>
      <c r="LZU4" s="1962"/>
      <c r="LZV4" s="1962"/>
      <c r="LZW4" s="1962"/>
      <c r="LZX4" s="1962"/>
      <c r="LZY4" s="1962"/>
      <c r="LZZ4" s="1962"/>
      <c r="MAA4" s="1962"/>
      <c r="MAB4" s="1962"/>
      <c r="MAC4" s="1962"/>
      <c r="MAD4" s="1962"/>
      <c r="MAE4" s="1962"/>
      <c r="MAF4" s="1962"/>
      <c r="MAG4" s="1962"/>
      <c r="MAH4" s="1962"/>
      <c r="MAI4" s="1962"/>
      <c r="MAJ4" s="1962"/>
      <c r="MAK4" s="1962"/>
      <c r="MAL4" s="1962"/>
      <c r="MAM4" s="1962"/>
      <c r="MAN4" s="1962"/>
      <c r="MAO4" s="1962"/>
      <c r="MAP4" s="1962"/>
      <c r="MAQ4" s="1962"/>
      <c r="MAR4" s="1962"/>
      <c r="MAS4" s="1962"/>
      <c r="MAT4" s="1962"/>
      <c r="MAU4" s="1962"/>
      <c r="MAV4" s="1962"/>
      <c r="MAW4" s="1962"/>
      <c r="MAX4" s="1962"/>
      <c r="MAY4" s="1962"/>
      <c r="MAZ4" s="1962"/>
      <c r="MBA4" s="1962"/>
      <c r="MBB4" s="1962"/>
      <c r="MBC4" s="1962"/>
      <c r="MBD4" s="1962"/>
      <c r="MBE4" s="1962"/>
      <c r="MBF4" s="1962"/>
      <c r="MBG4" s="1962"/>
      <c r="MBH4" s="1962"/>
      <c r="MBI4" s="1962"/>
      <c r="MBJ4" s="1962"/>
      <c r="MBK4" s="1962"/>
      <c r="MBL4" s="1962"/>
      <c r="MBM4" s="1962"/>
      <c r="MBN4" s="1962"/>
      <c r="MBO4" s="1962"/>
      <c r="MBP4" s="1962"/>
      <c r="MBQ4" s="1962"/>
      <c r="MBR4" s="1962"/>
      <c r="MBS4" s="1962"/>
      <c r="MBT4" s="1962"/>
      <c r="MBU4" s="1962"/>
      <c r="MBV4" s="1962"/>
      <c r="MBW4" s="1962"/>
      <c r="MBX4" s="1962"/>
      <c r="MBY4" s="1962"/>
      <c r="MBZ4" s="1962"/>
      <c r="MCA4" s="1962"/>
      <c r="MCB4" s="1962"/>
      <c r="MCC4" s="1962"/>
      <c r="MCD4" s="1962"/>
      <c r="MCE4" s="1962"/>
      <c r="MCF4" s="1962"/>
      <c r="MCG4" s="1962"/>
      <c r="MCH4" s="1962"/>
      <c r="MCI4" s="1962"/>
      <c r="MCJ4" s="1962"/>
      <c r="MCK4" s="1962"/>
      <c r="MCL4" s="1962"/>
      <c r="MCM4" s="1962"/>
      <c r="MCN4" s="1962"/>
      <c r="MCO4" s="1962"/>
      <c r="MCP4" s="1962"/>
      <c r="MCQ4" s="1962"/>
      <c r="MCR4" s="1962"/>
      <c r="MCS4" s="1962"/>
      <c r="MCT4" s="1962"/>
      <c r="MCU4" s="1962"/>
      <c r="MCV4" s="1962"/>
      <c r="MCW4" s="1962"/>
      <c r="MCX4" s="1962"/>
      <c r="MCY4" s="1962"/>
      <c r="MCZ4" s="1962"/>
      <c r="MDA4" s="1962"/>
      <c r="MDB4" s="1962"/>
      <c r="MDC4" s="1962"/>
      <c r="MDD4" s="1962"/>
      <c r="MDE4" s="1962"/>
      <c r="MDF4" s="1962"/>
      <c r="MDG4" s="1962"/>
      <c r="MDH4" s="1962"/>
      <c r="MDI4" s="1962"/>
      <c r="MDJ4" s="1962"/>
      <c r="MDK4" s="1962"/>
      <c r="MDL4" s="1962"/>
      <c r="MDM4" s="1962"/>
      <c r="MDN4" s="1962"/>
      <c r="MDO4" s="1962"/>
      <c r="MDP4" s="1962"/>
      <c r="MDQ4" s="1962"/>
      <c r="MDR4" s="1962"/>
      <c r="MDS4" s="1962"/>
      <c r="MDT4" s="1962"/>
      <c r="MDU4" s="1962"/>
      <c r="MDV4" s="1962"/>
      <c r="MDW4" s="1962"/>
      <c r="MDX4" s="1962"/>
      <c r="MDY4" s="1962"/>
      <c r="MDZ4" s="1962"/>
      <c r="MEA4" s="1962"/>
      <c r="MEB4" s="1962"/>
      <c r="MEC4" s="1962"/>
      <c r="MED4" s="1962"/>
      <c r="MEE4" s="1962"/>
      <c r="MEF4" s="1962"/>
      <c r="MEG4" s="1962"/>
      <c r="MEH4" s="1962"/>
      <c r="MEI4" s="1962"/>
      <c r="MEJ4" s="1962"/>
      <c r="MEK4" s="1962"/>
      <c r="MEL4" s="1962"/>
      <c r="MEM4" s="1962"/>
      <c r="MEN4" s="1962"/>
      <c r="MEO4" s="1962"/>
      <c r="MEP4" s="1962"/>
      <c r="MEQ4" s="1962"/>
      <c r="MER4" s="1962"/>
      <c r="MES4" s="1962"/>
      <c r="MET4" s="1962"/>
      <c r="MEU4" s="1962"/>
      <c r="MEV4" s="1962"/>
      <c r="MEW4" s="1962"/>
      <c r="MEX4" s="1962"/>
      <c r="MEY4" s="1962"/>
      <c r="MEZ4" s="1962"/>
      <c r="MFA4" s="1962"/>
      <c r="MFB4" s="1962"/>
      <c r="MFC4" s="1962"/>
      <c r="MFD4" s="1962"/>
      <c r="MFE4" s="1962"/>
      <c r="MFF4" s="1962"/>
      <c r="MFG4" s="1962"/>
      <c r="MFH4" s="1962"/>
      <c r="MFI4" s="1962"/>
      <c r="MFJ4" s="1962"/>
      <c r="MFK4" s="1962"/>
      <c r="MFL4" s="1962"/>
      <c r="MFM4" s="1962"/>
      <c r="MFN4" s="1962"/>
      <c r="MFO4" s="1962"/>
      <c r="MFP4" s="1962"/>
      <c r="MFQ4" s="1962"/>
      <c r="MFR4" s="1962"/>
      <c r="MFS4" s="1962"/>
      <c r="MFT4" s="1962"/>
      <c r="MFU4" s="1962"/>
      <c r="MFV4" s="1962"/>
      <c r="MFW4" s="1962"/>
      <c r="MFX4" s="1962"/>
      <c r="MFY4" s="1962"/>
      <c r="MFZ4" s="1962"/>
      <c r="MGA4" s="1962"/>
      <c r="MGB4" s="1962"/>
      <c r="MGC4" s="1962"/>
      <c r="MGD4" s="1962"/>
      <c r="MGE4" s="1962"/>
      <c r="MGF4" s="1962"/>
      <c r="MGG4" s="1962"/>
      <c r="MGH4" s="1962"/>
      <c r="MGI4" s="1962"/>
      <c r="MGJ4" s="1962"/>
      <c r="MGK4" s="1962"/>
      <c r="MGL4" s="1962"/>
      <c r="MGM4" s="1962"/>
      <c r="MGN4" s="1962"/>
      <c r="MGO4" s="1962"/>
      <c r="MGP4" s="1962"/>
      <c r="MGQ4" s="1962"/>
      <c r="MGR4" s="1962"/>
      <c r="MGS4" s="1962"/>
      <c r="MGT4" s="1962"/>
      <c r="MGU4" s="1962"/>
      <c r="MGV4" s="1962"/>
      <c r="MGW4" s="1962"/>
      <c r="MGX4" s="1962"/>
      <c r="MGY4" s="1962"/>
      <c r="MGZ4" s="1962"/>
      <c r="MHA4" s="1962"/>
      <c r="MHB4" s="1962"/>
      <c r="MHC4" s="1962"/>
      <c r="MHD4" s="1962"/>
      <c r="MHE4" s="1962"/>
      <c r="MHF4" s="1962"/>
      <c r="MHG4" s="1962"/>
      <c r="MHH4" s="1962"/>
      <c r="MHI4" s="1962"/>
      <c r="MHJ4" s="1962"/>
      <c r="MHK4" s="1962"/>
      <c r="MHL4" s="1962"/>
      <c r="MHM4" s="1962"/>
      <c r="MHN4" s="1962"/>
      <c r="MHO4" s="1962"/>
      <c r="MHP4" s="1962"/>
      <c r="MHQ4" s="1962"/>
      <c r="MHR4" s="1962"/>
      <c r="MHS4" s="1962"/>
      <c r="MHT4" s="1962"/>
      <c r="MHU4" s="1962"/>
      <c r="MHV4" s="1962"/>
      <c r="MHW4" s="1962"/>
      <c r="MHX4" s="1962"/>
      <c r="MHY4" s="1962"/>
      <c r="MHZ4" s="1962"/>
      <c r="MIA4" s="1962"/>
      <c r="MIB4" s="1962"/>
      <c r="MIC4" s="1962"/>
      <c r="MID4" s="1962"/>
      <c r="MIE4" s="1962"/>
      <c r="MIF4" s="1962"/>
      <c r="MIG4" s="1962"/>
      <c r="MIH4" s="1962"/>
      <c r="MII4" s="1962"/>
      <c r="MIJ4" s="1962"/>
      <c r="MIK4" s="1962"/>
      <c r="MIL4" s="1962"/>
      <c r="MIM4" s="1962"/>
      <c r="MIN4" s="1962"/>
      <c r="MIO4" s="1962"/>
      <c r="MIP4" s="1962"/>
      <c r="MIQ4" s="1962"/>
      <c r="MIR4" s="1962"/>
      <c r="MIS4" s="1962"/>
      <c r="MIT4" s="1962"/>
      <c r="MIU4" s="1962"/>
      <c r="MIV4" s="1962"/>
      <c r="MIW4" s="1962"/>
      <c r="MIX4" s="1962"/>
      <c r="MIY4" s="1962"/>
      <c r="MIZ4" s="1962"/>
      <c r="MJA4" s="1962"/>
      <c r="MJB4" s="1962"/>
      <c r="MJC4" s="1962"/>
      <c r="MJD4" s="1962"/>
      <c r="MJE4" s="1962"/>
      <c r="MJF4" s="1962"/>
      <c r="MJG4" s="1962"/>
      <c r="MJH4" s="1962"/>
      <c r="MJI4" s="1962"/>
      <c r="MJJ4" s="1962"/>
      <c r="MJK4" s="1962"/>
      <c r="MJL4" s="1962"/>
      <c r="MJM4" s="1962"/>
      <c r="MJN4" s="1962"/>
      <c r="MJO4" s="1962"/>
      <c r="MJP4" s="1962"/>
      <c r="MJQ4" s="1962"/>
      <c r="MJR4" s="1962"/>
      <c r="MJS4" s="1962"/>
      <c r="MJT4" s="1962"/>
      <c r="MJU4" s="1962"/>
      <c r="MJV4" s="1962"/>
      <c r="MJW4" s="1962"/>
      <c r="MJX4" s="1962"/>
      <c r="MJY4" s="1962"/>
      <c r="MJZ4" s="1962"/>
      <c r="MKA4" s="1962"/>
      <c r="MKB4" s="1962"/>
      <c r="MKC4" s="1962"/>
      <c r="MKD4" s="1962"/>
      <c r="MKE4" s="1962"/>
      <c r="MKF4" s="1962"/>
      <c r="MKG4" s="1962"/>
      <c r="MKH4" s="1962"/>
      <c r="MKI4" s="1962"/>
      <c r="MKJ4" s="1962"/>
      <c r="MKK4" s="1962"/>
      <c r="MKL4" s="1962"/>
      <c r="MKM4" s="1962"/>
      <c r="MKN4" s="1962"/>
      <c r="MKO4" s="1962"/>
      <c r="MKP4" s="1962"/>
      <c r="MKQ4" s="1962"/>
      <c r="MKR4" s="1962"/>
      <c r="MKS4" s="1962"/>
      <c r="MKT4" s="1962"/>
      <c r="MKU4" s="1962"/>
      <c r="MKV4" s="1962"/>
      <c r="MKW4" s="1962"/>
      <c r="MKX4" s="1962"/>
      <c r="MKY4" s="1962"/>
      <c r="MKZ4" s="1962"/>
      <c r="MLA4" s="1962"/>
      <c r="MLB4" s="1962"/>
      <c r="MLC4" s="1962"/>
      <c r="MLD4" s="1962"/>
      <c r="MLE4" s="1962"/>
      <c r="MLF4" s="1962"/>
      <c r="MLG4" s="1962"/>
      <c r="MLH4" s="1962"/>
      <c r="MLI4" s="1962"/>
      <c r="MLJ4" s="1962"/>
      <c r="MLK4" s="1962"/>
      <c r="MLL4" s="1962"/>
      <c r="MLM4" s="1962"/>
      <c r="MLN4" s="1962"/>
      <c r="MLO4" s="1962"/>
      <c r="MLP4" s="1962"/>
      <c r="MLQ4" s="1962"/>
      <c r="MLR4" s="1962"/>
      <c r="MLS4" s="1962"/>
      <c r="MLT4" s="1962"/>
      <c r="MLU4" s="1962"/>
      <c r="MLV4" s="1962"/>
      <c r="MLW4" s="1962"/>
      <c r="MLX4" s="1962"/>
      <c r="MLY4" s="1962"/>
      <c r="MLZ4" s="1962"/>
      <c r="MMA4" s="1962"/>
      <c r="MMB4" s="1962"/>
      <c r="MMC4" s="1962"/>
      <c r="MMD4" s="1962"/>
      <c r="MME4" s="1962"/>
      <c r="MMF4" s="1962"/>
      <c r="MMG4" s="1962"/>
      <c r="MMH4" s="1962"/>
      <c r="MMI4" s="1962"/>
      <c r="MMJ4" s="1962"/>
      <c r="MMK4" s="1962"/>
      <c r="MML4" s="1962"/>
      <c r="MMM4" s="1962"/>
      <c r="MMN4" s="1962"/>
      <c r="MMO4" s="1962"/>
      <c r="MMP4" s="1962"/>
      <c r="MMQ4" s="1962"/>
      <c r="MMR4" s="1962"/>
      <c r="MMS4" s="1962"/>
      <c r="MMT4" s="1962"/>
      <c r="MMU4" s="1962"/>
      <c r="MMV4" s="1962"/>
      <c r="MMW4" s="1962"/>
      <c r="MMX4" s="1962"/>
      <c r="MMY4" s="1962"/>
      <c r="MMZ4" s="1962"/>
      <c r="MNA4" s="1962"/>
      <c r="MNB4" s="1962"/>
      <c r="MNC4" s="1962"/>
      <c r="MND4" s="1962"/>
      <c r="MNE4" s="1962"/>
      <c r="MNF4" s="1962"/>
      <c r="MNG4" s="1962"/>
      <c r="MNH4" s="1962"/>
      <c r="MNI4" s="1962"/>
      <c r="MNJ4" s="1962"/>
      <c r="MNK4" s="1962"/>
      <c r="MNL4" s="1962"/>
      <c r="MNM4" s="1962"/>
      <c r="MNN4" s="1962"/>
      <c r="MNO4" s="1962"/>
      <c r="MNP4" s="1962"/>
      <c r="MNQ4" s="1962"/>
      <c r="MNR4" s="1962"/>
      <c r="MNS4" s="1962"/>
      <c r="MNT4" s="1962"/>
      <c r="MNU4" s="1962"/>
      <c r="MNV4" s="1962"/>
      <c r="MNW4" s="1962"/>
      <c r="MNX4" s="1962"/>
      <c r="MNY4" s="1962"/>
      <c r="MNZ4" s="1962"/>
      <c r="MOA4" s="1962"/>
      <c r="MOB4" s="1962"/>
      <c r="MOC4" s="1962"/>
      <c r="MOD4" s="1962"/>
      <c r="MOE4" s="1962"/>
      <c r="MOF4" s="1962"/>
      <c r="MOG4" s="1962"/>
      <c r="MOH4" s="1962"/>
      <c r="MOI4" s="1962"/>
      <c r="MOJ4" s="1962"/>
      <c r="MOK4" s="1962"/>
      <c r="MOL4" s="1962"/>
      <c r="MOM4" s="1962"/>
      <c r="MON4" s="1962"/>
      <c r="MOO4" s="1962"/>
      <c r="MOP4" s="1962"/>
      <c r="MOQ4" s="1962"/>
      <c r="MOR4" s="1962"/>
      <c r="MOS4" s="1962"/>
      <c r="MOT4" s="1962"/>
      <c r="MOU4" s="1962"/>
      <c r="MOV4" s="1962"/>
      <c r="MOW4" s="1962"/>
      <c r="MOX4" s="1962"/>
      <c r="MOY4" s="1962"/>
      <c r="MOZ4" s="1962"/>
      <c r="MPA4" s="1962"/>
      <c r="MPB4" s="1962"/>
      <c r="MPC4" s="1962"/>
      <c r="MPD4" s="1962"/>
      <c r="MPE4" s="1962"/>
      <c r="MPF4" s="1962"/>
      <c r="MPG4" s="1962"/>
      <c r="MPH4" s="1962"/>
      <c r="MPI4" s="1962"/>
      <c r="MPJ4" s="1962"/>
      <c r="MPK4" s="1962"/>
      <c r="MPL4" s="1962"/>
      <c r="MPM4" s="1962"/>
      <c r="MPN4" s="1962"/>
      <c r="MPO4" s="1962"/>
      <c r="MPP4" s="1962"/>
      <c r="MPQ4" s="1962"/>
      <c r="MPR4" s="1962"/>
      <c r="MPS4" s="1962"/>
      <c r="MPT4" s="1962"/>
      <c r="MPU4" s="1962"/>
      <c r="MPV4" s="1962"/>
      <c r="MPW4" s="1962"/>
      <c r="MPX4" s="1962"/>
      <c r="MPY4" s="1962"/>
      <c r="MPZ4" s="1962"/>
      <c r="MQA4" s="1962"/>
      <c r="MQB4" s="1962"/>
      <c r="MQC4" s="1962"/>
      <c r="MQD4" s="1962"/>
      <c r="MQE4" s="1962"/>
      <c r="MQF4" s="1962"/>
      <c r="MQG4" s="1962"/>
      <c r="MQH4" s="1962"/>
      <c r="MQI4" s="1962"/>
      <c r="MQJ4" s="1962"/>
      <c r="MQK4" s="1962"/>
      <c r="MQL4" s="1962"/>
      <c r="MQM4" s="1962"/>
      <c r="MQN4" s="1962"/>
      <c r="MQO4" s="1962"/>
      <c r="MQP4" s="1962"/>
      <c r="MQQ4" s="1962"/>
      <c r="MQR4" s="1962"/>
      <c r="MQS4" s="1962"/>
      <c r="MQT4" s="1962"/>
      <c r="MQU4" s="1962"/>
      <c r="MQV4" s="1962"/>
      <c r="MQW4" s="1962"/>
      <c r="MQX4" s="1962"/>
      <c r="MQY4" s="1962"/>
      <c r="MQZ4" s="1962"/>
      <c r="MRA4" s="1962"/>
      <c r="MRB4" s="1962"/>
      <c r="MRC4" s="1962"/>
      <c r="MRD4" s="1962"/>
      <c r="MRE4" s="1962"/>
      <c r="MRF4" s="1962"/>
      <c r="MRG4" s="1962"/>
      <c r="MRH4" s="1962"/>
      <c r="MRI4" s="1962"/>
      <c r="MRJ4" s="1962"/>
      <c r="MRK4" s="1962"/>
      <c r="MRL4" s="1962"/>
      <c r="MRM4" s="1962"/>
      <c r="MRN4" s="1962"/>
      <c r="MRO4" s="1962"/>
      <c r="MRP4" s="1962"/>
      <c r="MRQ4" s="1962"/>
      <c r="MRR4" s="1962"/>
      <c r="MRS4" s="1962"/>
      <c r="MRT4" s="1962"/>
      <c r="MRU4" s="1962"/>
      <c r="MRV4" s="1962"/>
      <c r="MRW4" s="1962"/>
      <c r="MRX4" s="1962"/>
      <c r="MRY4" s="1962"/>
      <c r="MRZ4" s="1962"/>
      <c r="MSA4" s="1962"/>
      <c r="MSB4" s="1962"/>
      <c r="MSC4" s="1962"/>
      <c r="MSD4" s="1962"/>
      <c r="MSE4" s="1962"/>
      <c r="MSF4" s="1962"/>
      <c r="MSG4" s="1962"/>
      <c r="MSH4" s="1962"/>
      <c r="MSI4" s="1962"/>
      <c r="MSJ4" s="1962"/>
      <c r="MSK4" s="1962"/>
      <c r="MSL4" s="1962"/>
      <c r="MSM4" s="1962"/>
      <c r="MSN4" s="1962"/>
      <c r="MSO4" s="1962"/>
      <c r="MSP4" s="1962"/>
      <c r="MSQ4" s="1962"/>
      <c r="MSR4" s="1962"/>
      <c r="MSS4" s="1962"/>
      <c r="MST4" s="1962"/>
      <c r="MSU4" s="1962"/>
      <c r="MSV4" s="1962"/>
      <c r="MSW4" s="1962"/>
      <c r="MSX4" s="1962"/>
      <c r="MSY4" s="1962"/>
      <c r="MSZ4" s="1962"/>
      <c r="MTA4" s="1962"/>
      <c r="MTB4" s="1962"/>
      <c r="MTC4" s="1962"/>
      <c r="MTD4" s="1962"/>
      <c r="MTE4" s="1962"/>
      <c r="MTF4" s="1962"/>
      <c r="MTG4" s="1962"/>
      <c r="MTH4" s="1962"/>
      <c r="MTI4" s="1962"/>
      <c r="MTJ4" s="1962"/>
      <c r="MTK4" s="1962"/>
      <c r="MTL4" s="1962"/>
      <c r="MTM4" s="1962"/>
      <c r="MTN4" s="1962"/>
      <c r="MTO4" s="1962"/>
      <c r="MTP4" s="1962"/>
      <c r="MTQ4" s="1962"/>
      <c r="MTR4" s="1962"/>
      <c r="MTS4" s="1962"/>
      <c r="MTT4" s="1962"/>
      <c r="MTU4" s="1962"/>
      <c r="MTV4" s="1962"/>
      <c r="MTW4" s="1962"/>
      <c r="MTX4" s="1962"/>
      <c r="MTY4" s="1962"/>
      <c r="MTZ4" s="1962"/>
      <c r="MUA4" s="1962"/>
      <c r="MUB4" s="1962"/>
      <c r="MUC4" s="1962"/>
      <c r="MUD4" s="1962"/>
      <c r="MUE4" s="1962"/>
      <c r="MUF4" s="1962"/>
      <c r="MUG4" s="1962"/>
      <c r="MUH4" s="1962"/>
      <c r="MUI4" s="1962"/>
      <c r="MUJ4" s="1962"/>
      <c r="MUK4" s="1962"/>
      <c r="MUL4" s="1962"/>
      <c r="MUM4" s="1962"/>
      <c r="MUN4" s="1962"/>
      <c r="MUO4" s="1962"/>
      <c r="MUP4" s="1962"/>
      <c r="MUQ4" s="1962"/>
      <c r="MUR4" s="1962"/>
      <c r="MUS4" s="1962"/>
      <c r="MUT4" s="1962"/>
      <c r="MUU4" s="1962"/>
      <c r="MUV4" s="1962"/>
      <c r="MUW4" s="1962"/>
      <c r="MUX4" s="1962"/>
      <c r="MUY4" s="1962"/>
      <c r="MUZ4" s="1962"/>
      <c r="MVA4" s="1962"/>
      <c r="MVB4" s="1962"/>
      <c r="MVC4" s="1962"/>
      <c r="MVD4" s="1962"/>
      <c r="MVE4" s="1962"/>
      <c r="MVF4" s="1962"/>
      <c r="MVG4" s="1962"/>
      <c r="MVH4" s="1962"/>
      <c r="MVI4" s="1962"/>
      <c r="MVJ4" s="1962"/>
      <c r="MVK4" s="1962"/>
      <c r="MVL4" s="1962"/>
      <c r="MVM4" s="1962"/>
      <c r="MVN4" s="1962"/>
      <c r="MVO4" s="1962"/>
      <c r="MVP4" s="1962"/>
      <c r="MVQ4" s="1962"/>
      <c r="MVR4" s="1962"/>
      <c r="MVS4" s="1962"/>
      <c r="MVT4" s="1962"/>
      <c r="MVU4" s="1962"/>
      <c r="MVV4" s="1962"/>
      <c r="MVW4" s="1962"/>
      <c r="MVX4" s="1962"/>
      <c r="MVY4" s="1962"/>
      <c r="MVZ4" s="1962"/>
      <c r="MWA4" s="1962"/>
      <c r="MWB4" s="1962"/>
      <c r="MWC4" s="1962"/>
      <c r="MWD4" s="1962"/>
      <c r="MWE4" s="1962"/>
      <c r="MWF4" s="1962"/>
      <c r="MWG4" s="1962"/>
      <c r="MWH4" s="1962"/>
      <c r="MWI4" s="1962"/>
      <c r="MWJ4" s="1962"/>
      <c r="MWK4" s="1962"/>
      <c r="MWL4" s="1962"/>
      <c r="MWM4" s="1962"/>
      <c r="MWN4" s="1962"/>
      <c r="MWO4" s="1962"/>
      <c r="MWP4" s="1962"/>
      <c r="MWQ4" s="1962"/>
      <c r="MWR4" s="1962"/>
      <c r="MWS4" s="1962"/>
      <c r="MWT4" s="1962"/>
      <c r="MWU4" s="1962"/>
      <c r="MWV4" s="1962"/>
      <c r="MWW4" s="1962"/>
      <c r="MWX4" s="1962"/>
      <c r="MWY4" s="1962"/>
      <c r="MWZ4" s="1962"/>
      <c r="MXA4" s="1962"/>
      <c r="MXB4" s="1962"/>
      <c r="MXC4" s="1962"/>
      <c r="MXD4" s="1962"/>
      <c r="MXE4" s="1962"/>
      <c r="MXF4" s="1962"/>
      <c r="MXG4" s="1962"/>
      <c r="MXH4" s="1962"/>
      <c r="MXI4" s="1962"/>
      <c r="MXJ4" s="1962"/>
      <c r="MXK4" s="1962"/>
      <c r="MXL4" s="1962"/>
      <c r="MXM4" s="1962"/>
      <c r="MXN4" s="1962"/>
      <c r="MXO4" s="1962"/>
      <c r="MXP4" s="1962"/>
      <c r="MXQ4" s="1962"/>
      <c r="MXR4" s="1962"/>
      <c r="MXS4" s="1962"/>
      <c r="MXT4" s="1962"/>
      <c r="MXU4" s="1962"/>
      <c r="MXV4" s="1962"/>
      <c r="MXW4" s="1962"/>
      <c r="MXX4" s="1962"/>
      <c r="MXY4" s="1962"/>
      <c r="MXZ4" s="1962"/>
      <c r="MYA4" s="1962"/>
      <c r="MYB4" s="1962"/>
      <c r="MYC4" s="1962"/>
      <c r="MYD4" s="1962"/>
      <c r="MYE4" s="1962"/>
      <c r="MYF4" s="1962"/>
      <c r="MYG4" s="1962"/>
      <c r="MYH4" s="1962"/>
      <c r="MYI4" s="1962"/>
      <c r="MYJ4" s="1962"/>
      <c r="MYK4" s="1962"/>
      <c r="MYL4" s="1962"/>
      <c r="MYM4" s="1962"/>
      <c r="MYN4" s="1962"/>
      <c r="MYO4" s="1962"/>
      <c r="MYP4" s="1962"/>
      <c r="MYQ4" s="1962"/>
      <c r="MYR4" s="1962"/>
      <c r="MYS4" s="1962"/>
      <c r="MYT4" s="1962"/>
      <c r="MYU4" s="1962"/>
      <c r="MYV4" s="1962"/>
      <c r="MYW4" s="1962"/>
      <c r="MYX4" s="1962"/>
      <c r="MYY4" s="1962"/>
      <c r="MYZ4" s="1962"/>
      <c r="MZA4" s="1962"/>
      <c r="MZB4" s="1962"/>
      <c r="MZC4" s="1962"/>
      <c r="MZD4" s="1962"/>
      <c r="MZE4" s="1962"/>
      <c r="MZF4" s="1962"/>
      <c r="MZG4" s="1962"/>
      <c r="MZH4" s="1962"/>
      <c r="MZI4" s="1962"/>
      <c r="MZJ4" s="1962"/>
      <c r="MZK4" s="1962"/>
      <c r="MZL4" s="1962"/>
      <c r="MZM4" s="1962"/>
      <c r="MZN4" s="1962"/>
      <c r="MZO4" s="1962"/>
      <c r="MZP4" s="1962"/>
      <c r="MZQ4" s="1962"/>
      <c r="MZR4" s="1962"/>
      <c r="MZS4" s="1962"/>
      <c r="MZT4" s="1962"/>
      <c r="MZU4" s="1962"/>
      <c r="MZV4" s="1962"/>
      <c r="MZW4" s="1962"/>
      <c r="MZX4" s="1962"/>
      <c r="MZY4" s="1962"/>
      <c r="MZZ4" s="1962"/>
      <c r="NAA4" s="1962"/>
      <c r="NAB4" s="1962"/>
      <c r="NAC4" s="1962"/>
      <c r="NAD4" s="1962"/>
      <c r="NAE4" s="1962"/>
      <c r="NAF4" s="1962"/>
      <c r="NAG4" s="1962"/>
      <c r="NAH4" s="1962"/>
      <c r="NAI4" s="1962"/>
      <c r="NAJ4" s="1962"/>
      <c r="NAK4" s="1962"/>
      <c r="NAL4" s="1962"/>
      <c r="NAM4" s="1962"/>
      <c r="NAN4" s="1962"/>
      <c r="NAO4" s="1962"/>
      <c r="NAP4" s="1962"/>
      <c r="NAQ4" s="1962"/>
      <c r="NAR4" s="1962"/>
      <c r="NAS4" s="1962"/>
      <c r="NAT4" s="1962"/>
      <c r="NAU4" s="1962"/>
      <c r="NAV4" s="1962"/>
      <c r="NAW4" s="1962"/>
      <c r="NAX4" s="1962"/>
      <c r="NAY4" s="1962"/>
      <c r="NAZ4" s="1962"/>
      <c r="NBA4" s="1962"/>
      <c r="NBB4" s="1962"/>
      <c r="NBC4" s="1962"/>
      <c r="NBD4" s="1962"/>
      <c r="NBE4" s="1962"/>
      <c r="NBF4" s="1962"/>
      <c r="NBG4" s="1962"/>
      <c r="NBH4" s="1962"/>
      <c r="NBI4" s="1962"/>
      <c r="NBJ4" s="1962"/>
      <c r="NBK4" s="1962"/>
      <c r="NBL4" s="1962"/>
      <c r="NBM4" s="1962"/>
      <c r="NBN4" s="1962"/>
      <c r="NBO4" s="1962"/>
      <c r="NBP4" s="1962"/>
      <c r="NBQ4" s="1962"/>
      <c r="NBR4" s="1962"/>
      <c r="NBS4" s="1962"/>
      <c r="NBT4" s="1962"/>
      <c r="NBU4" s="1962"/>
      <c r="NBV4" s="1962"/>
      <c r="NBW4" s="1962"/>
      <c r="NBX4" s="1962"/>
      <c r="NBY4" s="1962"/>
      <c r="NBZ4" s="1962"/>
      <c r="NCA4" s="1962"/>
      <c r="NCB4" s="1962"/>
      <c r="NCC4" s="1962"/>
      <c r="NCD4" s="1962"/>
      <c r="NCE4" s="1962"/>
      <c r="NCF4" s="1962"/>
      <c r="NCG4" s="1962"/>
      <c r="NCH4" s="1962"/>
      <c r="NCI4" s="1962"/>
      <c r="NCJ4" s="1962"/>
      <c r="NCK4" s="1962"/>
      <c r="NCL4" s="1962"/>
      <c r="NCM4" s="1962"/>
      <c r="NCN4" s="1962"/>
      <c r="NCO4" s="1962"/>
      <c r="NCP4" s="1962"/>
      <c r="NCQ4" s="1962"/>
      <c r="NCR4" s="1962"/>
      <c r="NCS4" s="1962"/>
      <c r="NCT4" s="1962"/>
      <c r="NCU4" s="1962"/>
      <c r="NCV4" s="1962"/>
      <c r="NCW4" s="1962"/>
      <c r="NCX4" s="1962"/>
      <c r="NCY4" s="1962"/>
      <c r="NCZ4" s="1962"/>
      <c r="NDA4" s="1962"/>
      <c r="NDB4" s="1962"/>
      <c r="NDC4" s="1962"/>
      <c r="NDD4" s="1962"/>
      <c r="NDE4" s="1962"/>
      <c r="NDF4" s="1962"/>
      <c r="NDG4" s="1962"/>
      <c r="NDH4" s="1962"/>
      <c r="NDI4" s="1962"/>
      <c r="NDJ4" s="1962"/>
      <c r="NDK4" s="1962"/>
      <c r="NDL4" s="1962"/>
      <c r="NDM4" s="1962"/>
      <c r="NDN4" s="1962"/>
      <c r="NDO4" s="1962"/>
      <c r="NDP4" s="1962"/>
      <c r="NDQ4" s="1962"/>
      <c r="NDR4" s="1962"/>
      <c r="NDS4" s="1962"/>
      <c r="NDT4" s="1962"/>
      <c r="NDU4" s="1962"/>
      <c r="NDV4" s="1962"/>
      <c r="NDW4" s="1962"/>
      <c r="NDX4" s="1962"/>
      <c r="NDY4" s="1962"/>
      <c r="NDZ4" s="1962"/>
      <c r="NEA4" s="1962"/>
      <c r="NEB4" s="1962"/>
      <c r="NEC4" s="1962"/>
      <c r="NED4" s="1962"/>
      <c r="NEE4" s="1962"/>
      <c r="NEF4" s="1962"/>
      <c r="NEG4" s="1962"/>
      <c r="NEH4" s="1962"/>
      <c r="NEI4" s="1962"/>
      <c r="NEJ4" s="1962"/>
      <c r="NEK4" s="1962"/>
      <c r="NEL4" s="1962"/>
      <c r="NEM4" s="1962"/>
      <c r="NEN4" s="1962"/>
      <c r="NEO4" s="1962"/>
      <c r="NEP4" s="1962"/>
      <c r="NEQ4" s="1962"/>
      <c r="NER4" s="1962"/>
      <c r="NES4" s="1962"/>
      <c r="NET4" s="1962"/>
      <c r="NEU4" s="1962"/>
      <c r="NEV4" s="1962"/>
      <c r="NEW4" s="1962"/>
      <c r="NEX4" s="1962"/>
      <c r="NEY4" s="1962"/>
      <c r="NEZ4" s="1962"/>
      <c r="NFA4" s="1962"/>
      <c r="NFB4" s="1962"/>
      <c r="NFC4" s="1962"/>
      <c r="NFD4" s="1962"/>
      <c r="NFE4" s="1962"/>
      <c r="NFF4" s="1962"/>
      <c r="NFG4" s="1962"/>
      <c r="NFH4" s="1962"/>
      <c r="NFI4" s="1962"/>
      <c r="NFJ4" s="1962"/>
      <c r="NFK4" s="1962"/>
      <c r="NFL4" s="1962"/>
      <c r="NFM4" s="1962"/>
      <c r="NFN4" s="1962"/>
      <c r="NFO4" s="1962"/>
      <c r="NFP4" s="1962"/>
      <c r="NFQ4" s="1962"/>
      <c r="NFR4" s="1962"/>
      <c r="NFS4" s="1962"/>
      <c r="NFT4" s="1962"/>
      <c r="NFU4" s="1962"/>
      <c r="NFV4" s="1962"/>
      <c r="NFW4" s="1962"/>
      <c r="NFX4" s="1962"/>
      <c r="NFY4" s="1962"/>
      <c r="NFZ4" s="1962"/>
      <c r="NGA4" s="1962"/>
      <c r="NGB4" s="1962"/>
      <c r="NGC4" s="1962"/>
      <c r="NGD4" s="1962"/>
      <c r="NGE4" s="1962"/>
      <c r="NGF4" s="1962"/>
      <c r="NGG4" s="1962"/>
      <c r="NGH4" s="1962"/>
      <c r="NGI4" s="1962"/>
      <c r="NGJ4" s="1962"/>
      <c r="NGK4" s="1962"/>
      <c r="NGL4" s="1962"/>
      <c r="NGM4" s="1962"/>
      <c r="NGN4" s="1962"/>
      <c r="NGO4" s="1962"/>
      <c r="NGP4" s="1962"/>
      <c r="NGQ4" s="1962"/>
      <c r="NGR4" s="1962"/>
      <c r="NGS4" s="1962"/>
      <c r="NGT4" s="1962"/>
      <c r="NGU4" s="1962"/>
      <c r="NGV4" s="1962"/>
      <c r="NGW4" s="1962"/>
      <c r="NGX4" s="1962"/>
      <c r="NGY4" s="1962"/>
      <c r="NGZ4" s="1962"/>
      <c r="NHA4" s="1962"/>
      <c r="NHB4" s="1962"/>
      <c r="NHC4" s="1962"/>
      <c r="NHD4" s="1962"/>
      <c r="NHE4" s="1962"/>
      <c r="NHF4" s="1962"/>
      <c r="NHG4" s="1962"/>
      <c r="NHH4" s="1962"/>
      <c r="NHI4" s="1962"/>
      <c r="NHJ4" s="1962"/>
      <c r="NHK4" s="1962"/>
      <c r="NHL4" s="1962"/>
      <c r="NHM4" s="1962"/>
      <c r="NHN4" s="1962"/>
      <c r="NHO4" s="1962"/>
      <c r="NHP4" s="1962"/>
      <c r="NHQ4" s="1962"/>
      <c r="NHR4" s="1962"/>
      <c r="NHS4" s="1962"/>
      <c r="NHT4" s="1962"/>
      <c r="NHU4" s="1962"/>
      <c r="NHV4" s="1962"/>
      <c r="NHW4" s="1962"/>
      <c r="NHX4" s="1962"/>
      <c r="NHY4" s="1962"/>
      <c r="NHZ4" s="1962"/>
      <c r="NIA4" s="1962"/>
      <c r="NIB4" s="1962"/>
      <c r="NIC4" s="1962"/>
      <c r="NID4" s="1962"/>
      <c r="NIE4" s="1962"/>
      <c r="NIF4" s="1962"/>
      <c r="NIG4" s="1962"/>
      <c r="NIH4" s="1962"/>
      <c r="NII4" s="1962"/>
      <c r="NIJ4" s="1962"/>
      <c r="NIK4" s="1962"/>
      <c r="NIL4" s="1962"/>
      <c r="NIM4" s="1962"/>
      <c r="NIN4" s="1962"/>
      <c r="NIO4" s="1962"/>
      <c r="NIP4" s="1962"/>
      <c r="NIQ4" s="1962"/>
      <c r="NIR4" s="1962"/>
      <c r="NIS4" s="1962"/>
      <c r="NIT4" s="1962"/>
      <c r="NIU4" s="1962"/>
      <c r="NIV4" s="1962"/>
      <c r="NIW4" s="1962"/>
      <c r="NIX4" s="1962"/>
      <c r="NIY4" s="1962"/>
      <c r="NIZ4" s="1962"/>
      <c r="NJA4" s="1962"/>
      <c r="NJB4" s="1962"/>
      <c r="NJC4" s="1962"/>
      <c r="NJD4" s="1962"/>
      <c r="NJE4" s="1962"/>
      <c r="NJF4" s="1962"/>
      <c r="NJG4" s="1962"/>
      <c r="NJH4" s="1962"/>
      <c r="NJI4" s="1962"/>
      <c r="NJJ4" s="1962"/>
      <c r="NJK4" s="1962"/>
      <c r="NJL4" s="1962"/>
      <c r="NJM4" s="1962"/>
      <c r="NJN4" s="1962"/>
      <c r="NJO4" s="1962"/>
      <c r="NJP4" s="1962"/>
      <c r="NJQ4" s="1962"/>
      <c r="NJR4" s="1962"/>
      <c r="NJS4" s="1962"/>
      <c r="NJT4" s="1962"/>
      <c r="NJU4" s="1962"/>
      <c r="NJV4" s="1962"/>
      <c r="NJW4" s="1962"/>
      <c r="NJX4" s="1962"/>
      <c r="NJY4" s="1962"/>
      <c r="NJZ4" s="1962"/>
      <c r="NKA4" s="1962"/>
      <c r="NKB4" s="1962"/>
      <c r="NKC4" s="1962"/>
      <c r="NKD4" s="1962"/>
      <c r="NKE4" s="1962"/>
      <c r="NKF4" s="1962"/>
      <c r="NKG4" s="1962"/>
      <c r="NKH4" s="1962"/>
      <c r="NKI4" s="1962"/>
      <c r="NKJ4" s="1962"/>
      <c r="NKK4" s="1962"/>
      <c r="NKL4" s="1962"/>
      <c r="NKM4" s="1962"/>
      <c r="NKN4" s="1962"/>
      <c r="NKO4" s="1962"/>
      <c r="NKP4" s="1962"/>
      <c r="NKQ4" s="1962"/>
      <c r="NKR4" s="1962"/>
      <c r="NKS4" s="1962"/>
      <c r="NKT4" s="1962"/>
      <c r="NKU4" s="1962"/>
      <c r="NKV4" s="1962"/>
      <c r="NKW4" s="1962"/>
      <c r="NKX4" s="1962"/>
      <c r="NKY4" s="1962"/>
      <c r="NKZ4" s="1962"/>
      <c r="NLA4" s="1962"/>
      <c r="NLB4" s="1962"/>
      <c r="NLC4" s="1962"/>
      <c r="NLD4" s="1962"/>
      <c r="NLE4" s="1962"/>
      <c r="NLF4" s="1962"/>
      <c r="NLG4" s="1962"/>
      <c r="NLH4" s="1962"/>
      <c r="NLI4" s="1962"/>
      <c r="NLJ4" s="1962"/>
      <c r="NLK4" s="1962"/>
      <c r="NLL4" s="1962"/>
      <c r="NLM4" s="1962"/>
      <c r="NLN4" s="1962"/>
      <c r="NLO4" s="1962"/>
      <c r="NLP4" s="1962"/>
      <c r="NLQ4" s="1962"/>
      <c r="NLR4" s="1962"/>
      <c r="NLS4" s="1962"/>
      <c r="NLT4" s="1962"/>
      <c r="NLU4" s="1962"/>
      <c r="NLV4" s="1962"/>
      <c r="NLW4" s="1962"/>
      <c r="NLX4" s="1962"/>
      <c r="NLY4" s="1962"/>
      <c r="NLZ4" s="1962"/>
      <c r="NMA4" s="1962"/>
      <c r="NMB4" s="1962"/>
      <c r="NMC4" s="1962"/>
      <c r="NMD4" s="1962"/>
      <c r="NME4" s="1962"/>
      <c r="NMF4" s="1962"/>
      <c r="NMG4" s="1962"/>
      <c r="NMH4" s="1962"/>
      <c r="NMI4" s="1962"/>
      <c r="NMJ4" s="1962"/>
      <c r="NMK4" s="1962"/>
      <c r="NML4" s="1962"/>
      <c r="NMM4" s="1962"/>
      <c r="NMN4" s="1962"/>
      <c r="NMO4" s="1962"/>
      <c r="NMP4" s="1962"/>
      <c r="NMQ4" s="1962"/>
      <c r="NMR4" s="1962"/>
      <c r="NMS4" s="1962"/>
      <c r="NMT4" s="1962"/>
      <c r="NMU4" s="1962"/>
      <c r="NMV4" s="1962"/>
      <c r="NMW4" s="1962"/>
      <c r="NMX4" s="1962"/>
      <c r="NMY4" s="1962"/>
      <c r="NMZ4" s="1962"/>
      <c r="NNA4" s="1962"/>
      <c r="NNB4" s="1962"/>
      <c r="NNC4" s="1962"/>
      <c r="NND4" s="1962"/>
      <c r="NNE4" s="1962"/>
      <c r="NNF4" s="1962"/>
      <c r="NNG4" s="1962"/>
      <c r="NNH4" s="1962"/>
      <c r="NNI4" s="1962"/>
      <c r="NNJ4" s="1962"/>
      <c r="NNK4" s="1962"/>
      <c r="NNL4" s="1962"/>
      <c r="NNM4" s="1962"/>
      <c r="NNN4" s="1962"/>
      <c r="NNO4" s="1962"/>
      <c r="NNP4" s="1962"/>
      <c r="NNQ4" s="1962"/>
      <c r="NNR4" s="1962"/>
      <c r="NNS4" s="1962"/>
      <c r="NNT4" s="1962"/>
      <c r="NNU4" s="1962"/>
      <c r="NNV4" s="1962"/>
      <c r="NNW4" s="1962"/>
      <c r="NNX4" s="1962"/>
      <c r="NNY4" s="1962"/>
      <c r="NNZ4" s="1962"/>
      <c r="NOA4" s="1962"/>
      <c r="NOB4" s="1962"/>
      <c r="NOC4" s="1962"/>
      <c r="NOD4" s="1962"/>
      <c r="NOE4" s="1962"/>
      <c r="NOF4" s="1962"/>
      <c r="NOG4" s="1962"/>
      <c r="NOH4" s="1962"/>
      <c r="NOI4" s="1962"/>
      <c r="NOJ4" s="1962"/>
      <c r="NOK4" s="1962"/>
      <c r="NOL4" s="1962"/>
      <c r="NOM4" s="1962"/>
      <c r="NON4" s="1962"/>
      <c r="NOO4" s="1962"/>
      <c r="NOP4" s="1962"/>
      <c r="NOQ4" s="1962"/>
      <c r="NOR4" s="1962"/>
      <c r="NOS4" s="1962"/>
      <c r="NOT4" s="1962"/>
      <c r="NOU4" s="1962"/>
      <c r="NOV4" s="1962"/>
      <c r="NOW4" s="1962"/>
      <c r="NOX4" s="1962"/>
      <c r="NOY4" s="1962"/>
      <c r="NOZ4" s="1962"/>
      <c r="NPA4" s="1962"/>
      <c r="NPB4" s="1962"/>
      <c r="NPC4" s="1962"/>
      <c r="NPD4" s="1962"/>
      <c r="NPE4" s="1962"/>
      <c r="NPF4" s="1962"/>
      <c r="NPG4" s="1962"/>
      <c r="NPH4" s="1962"/>
      <c r="NPI4" s="1962"/>
      <c r="NPJ4" s="1962"/>
      <c r="NPK4" s="1962"/>
      <c r="NPL4" s="1962"/>
      <c r="NPM4" s="1962"/>
      <c r="NPN4" s="1962"/>
      <c r="NPO4" s="1962"/>
      <c r="NPP4" s="1962"/>
      <c r="NPQ4" s="1962"/>
      <c r="NPR4" s="1962"/>
      <c r="NPS4" s="1962"/>
      <c r="NPT4" s="1962"/>
      <c r="NPU4" s="1962"/>
      <c r="NPV4" s="1962"/>
      <c r="NPW4" s="1962"/>
      <c r="NPX4" s="1962"/>
      <c r="NPY4" s="1962"/>
      <c r="NPZ4" s="1962"/>
      <c r="NQA4" s="1962"/>
      <c r="NQB4" s="1962"/>
      <c r="NQC4" s="1962"/>
      <c r="NQD4" s="1962"/>
      <c r="NQE4" s="1962"/>
      <c r="NQF4" s="1962"/>
      <c r="NQG4" s="1962"/>
      <c r="NQH4" s="1962"/>
      <c r="NQI4" s="1962"/>
      <c r="NQJ4" s="1962"/>
      <c r="NQK4" s="1962"/>
      <c r="NQL4" s="1962"/>
      <c r="NQM4" s="1962"/>
      <c r="NQN4" s="1962"/>
      <c r="NQO4" s="1962"/>
      <c r="NQP4" s="1962"/>
      <c r="NQQ4" s="1962"/>
      <c r="NQR4" s="1962"/>
      <c r="NQS4" s="1962"/>
      <c r="NQT4" s="1962"/>
      <c r="NQU4" s="1962"/>
      <c r="NQV4" s="1962"/>
      <c r="NQW4" s="1962"/>
      <c r="NQX4" s="1962"/>
      <c r="NQY4" s="1962"/>
      <c r="NQZ4" s="1962"/>
      <c r="NRA4" s="1962"/>
      <c r="NRB4" s="1962"/>
      <c r="NRC4" s="1962"/>
      <c r="NRD4" s="1962"/>
      <c r="NRE4" s="1962"/>
      <c r="NRF4" s="1962"/>
      <c r="NRG4" s="1962"/>
      <c r="NRH4" s="1962"/>
      <c r="NRI4" s="1962"/>
      <c r="NRJ4" s="1962"/>
      <c r="NRK4" s="1962"/>
      <c r="NRL4" s="1962"/>
      <c r="NRM4" s="1962"/>
      <c r="NRN4" s="1962"/>
      <c r="NRO4" s="1962"/>
      <c r="NRP4" s="1962"/>
      <c r="NRQ4" s="1962"/>
      <c r="NRR4" s="1962"/>
      <c r="NRS4" s="1962"/>
      <c r="NRT4" s="1962"/>
      <c r="NRU4" s="1962"/>
      <c r="NRV4" s="1962"/>
      <c r="NRW4" s="1962"/>
      <c r="NRX4" s="1962"/>
      <c r="NRY4" s="1962"/>
      <c r="NRZ4" s="1962"/>
      <c r="NSA4" s="1962"/>
      <c r="NSB4" s="1962"/>
      <c r="NSC4" s="1962"/>
      <c r="NSD4" s="1962"/>
      <c r="NSE4" s="1962"/>
      <c r="NSF4" s="1962"/>
      <c r="NSG4" s="1962"/>
      <c r="NSH4" s="1962"/>
      <c r="NSI4" s="1962"/>
      <c r="NSJ4" s="1962"/>
      <c r="NSK4" s="1962"/>
      <c r="NSL4" s="1962"/>
      <c r="NSM4" s="1962"/>
      <c r="NSN4" s="1962"/>
      <c r="NSO4" s="1962"/>
      <c r="NSP4" s="1962"/>
      <c r="NSQ4" s="1962"/>
      <c r="NSR4" s="1962"/>
      <c r="NSS4" s="1962"/>
      <c r="NST4" s="1962"/>
      <c r="NSU4" s="1962"/>
      <c r="NSV4" s="1962"/>
      <c r="NSW4" s="1962"/>
      <c r="NSX4" s="1962"/>
      <c r="NSY4" s="1962"/>
      <c r="NSZ4" s="1962"/>
      <c r="NTA4" s="1962"/>
      <c r="NTB4" s="1962"/>
      <c r="NTC4" s="1962"/>
      <c r="NTD4" s="1962"/>
      <c r="NTE4" s="1962"/>
      <c r="NTF4" s="1962"/>
      <c r="NTG4" s="1962"/>
      <c r="NTH4" s="1962"/>
      <c r="NTI4" s="1962"/>
      <c r="NTJ4" s="1962"/>
      <c r="NTK4" s="1962"/>
      <c r="NTL4" s="1962"/>
      <c r="NTM4" s="1962"/>
      <c r="NTN4" s="1962"/>
      <c r="NTO4" s="1962"/>
      <c r="NTP4" s="1962"/>
      <c r="NTQ4" s="1962"/>
      <c r="NTR4" s="1962"/>
      <c r="NTS4" s="1962"/>
      <c r="NTT4" s="1962"/>
      <c r="NTU4" s="1962"/>
      <c r="NTV4" s="1962"/>
      <c r="NTW4" s="1962"/>
      <c r="NTX4" s="1962"/>
      <c r="NTY4" s="1962"/>
      <c r="NTZ4" s="1962"/>
      <c r="NUA4" s="1962"/>
      <c r="NUB4" s="1962"/>
      <c r="NUC4" s="1962"/>
      <c r="NUD4" s="1962"/>
      <c r="NUE4" s="1962"/>
      <c r="NUF4" s="1962"/>
      <c r="NUG4" s="1962"/>
      <c r="NUH4" s="1962"/>
      <c r="NUI4" s="1962"/>
      <c r="NUJ4" s="1962"/>
      <c r="NUK4" s="1962"/>
      <c r="NUL4" s="1962"/>
      <c r="NUM4" s="1962"/>
      <c r="NUN4" s="1962"/>
      <c r="NUO4" s="1962"/>
      <c r="NUP4" s="1962"/>
      <c r="NUQ4" s="1962"/>
      <c r="NUR4" s="1962"/>
      <c r="NUS4" s="1962"/>
      <c r="NUT4" s="1962"/>
      <c r="NUU4" s="1962"/>
      <c r="NUV4" s="1962"/>
      <c r="NUW4" s="1962"/>
      <c r="NUX4" s="1962"/>
      <c r="NUY4" s="1962"/>
      <c r="NUZ4" s="1962"/>
      <c r="NVA4" s="1962"/>
      <c r="NVB4" s="1962"/>
      <c r="NVC4" s="1962"/>
      <c r="NVD4" s="1962"/>
      <c r="NVE4" s="1962"/>
      <c r="NVF4" s="1962"/>
      <c r="NVG4" s="1962"/>
      <c r="NVH4" s="1962"/>
      <c r="NVI4" s="1962"/>
      <c r="NVJ4" s="1962"/>
      <c r="NVK4" s="1962"/>
      <c r="NVL4" s="1962"/>
      <c r="NVM4" s="1962"/>
      <c r="NVN4" s="1962"/>
      <c r="NVO4" s="1962"/>
      <c r="NVP4" s="1962"/>
      <c r="NVQ4" s="1962"/>
      <c r="NVR4" s="1962"/>
      <c r="NVS4" s="1962"/>
      <c r="NVT4" s="1962"/>
      <c r="NVU4" s="1962"/>
      <c r="NVV4" s="1962"/>
      <c r="NVW4" s="1962"/>
      <c r="NVX4" s="1962"/>
      <c r="NVY4" s="1962"/>
      <c r="NVZ4" s="1962"/>
      <c r="NWA4" s="1962"/>
      <c r="NWB4" s="1962"/>
      <c r="NWC4" s="1962"/>
      <c r="NWD4" s="1962"/>
      <c r="NWE4" s="1962"/>
      <c r="NWF4" s="1962"/>
      <c r="NWG4" s="1962"/>
      <c r="NWH4" s="1962"/>
      <c r="NWI4" s="1962"/>
      <c r="NWJ4" s="1962"/>
      <c r="NWK4" s="1962"/>
      <c r="NWL4" s="1962"/>
      <c r="NWM4" s="1962"/>
      <c r="NWN4" s="1962"/>
      <c r="NWO4" s="1962"/>
      <c r="NWP4" s="1962"/>
      <c r="NWQ4" s="1962"/>
      <c r="NWR4" s="1962"/>
      <c r="NWS4" s="1962"/>
      <c r="NWT4" s="1962"/>
      <c r="NWU4" s="1962"/>
      <c r="NWV4" s="1962"/>
      <c r="NWW4" s="1962"/>
      <c r="NWX4" s="1962"/>
      <c r="NWY4" s="1962"/>
      <c r="NWZ4" s="1962"/>
      <c r="NXA4" s="1962"/>
      <c r="NXB4" s="1962"/>
      <c r="NXC4" s="1962"/>
      <c r="NXD4" s="1962"/>
      <c r="NXE4" s="1962"/>
      <c r="NXF4" s="1962"/>
      <c r="NXG4" s="1962"/>
      <c r="NXH4" s="1962"/>
      <c r="NXI4" s="1962"/>
      <c r="NXJ4" s="1962"/>
      <c r="NXK4" s="1962"/>
      <c r="NXL4" s="1962"/>
      <c r="NXM4" s="1962"/>
      <c r="NXN4" s="1962"/>
      <c r="NXO4" s="1962"/>
      <c r="NXP4" s="1962"/>
      <c r="NXQ4" s="1962"/>
      <c r="NXR4" s="1962"/>
      <c r="NXS4" s="1962"/>
      <c r="NXT4" s="1962"/>
      <c r="NXU4" s="1962"/>
      <c r="NXV4" s="1962"/>
      <c r="NXW4" s="1962"/>
      <c r="NXX4" s="1962"/>
      <c r="NXY4" s="1962"/>
      <c r="NXZ4" s="1962"/>
      <c r="NYA4" s="1962"/>
      <c r="NYB4" s="1962"/>
      <c r="NYC4" s="1962"/>
      <c r="NYD4" s="1962"/>
      <c r="NYE4" s="1962"/>
      <c r="NYF4" s="1962"/>
      <c r="NYG4" s="1962"/>
      <c r="NYH4" s="1962"/>
      <c r="NYI4" s="1962"/>
      <c r="NYJ4" s="1962"/>
      <c r="NYK4" s="1962"/>
      <c r="NYL4" s="1962"/>
      <c r="NYM4" s="1962"/>
      <c r="NYN4" s="1962"/>
      <c r="NYO4" s="1962"/>
      <c r="NYP4" s="1962"/>
      <c r="NYQ4" s="1962"/>
      <c r="NYR4" s="1962"/>
      <c r="NYS4" s="1962"/>
      <c r="NYT4" s="1962"/>
      <c r="NYU4" s="1962"/>
      <c r="NYV4" s="1962"/>
      <c r="NYW4" s="1962"/>
      <c r="NYX4" s="1962"/>
      <c r="NYY4" s="1962"/>
      <c r="NYZ4" s="1962"/>
      <c r="NZA4" s="1962"/>
      <c r="NZB4" s="1962"/>
      <c r="NZC4" s="1962"/>
      <c r="NZD4" s="1962"/>
      <c r="NZE4" s="1962"/>
      <c r="NZF4" s="1962"/>
      <c r="NZG4" s="1962"/>
      <c r="NZH4" s="1962"/>
      <c r="NZI4" s="1962"/>
      <c r="NZJ4" s="1962"/>
      <c r="NZK4" s="1962"/>
      <c r="NZL4" s="1962"/>
      <c r="NZM4" s="1962"/>
      <c r="NZN4" s="1962"/>
      <c r="NZO4" s="1962"/>
      <c r="NZP4" s="1962"/>
      <c r="NZQ4" s="1962"/>
      <c r="NZR4" s="1962"/>
      <c r="NZS4" s="1962"/>
      <c r="NZT4" s="1962"/>
      <c r="NZU4" s="1962"/>
      <c r="NZV4" s="1962"/>
      <c r="NZW4" s="1962"/>
      <c r="NZX4" s="1962"/>
      <c r="NZY4" s="1962"/>
      <c r="NZZ4" s="1962"/>
      <c r="OAA4" s="1962"/>
      <c r="OAB4" s="1962"/>
      <c r="OAC4" s="1962"/>
      <c r="OAD4" s="1962"/>
      <c r="OAE4" s="1962"/>
      <c r="OAF4" s="1962"/>
      <c r="OAG4" s="1962"/>
      <c r="OAH4" s="1962"/>
      <c r="OAI4" s="1962"/>
      <c r="OAJ4" s="1962"/>
      <c r="OAK4" s="1962"/>
      <c r="OAL4" s="1962"/>
      <c r="OAM4" s="1962"/>
      <c r="OAN4" s="1962"/>
      <c r="OAO4" s="1962"/>
      <c r="OAP4" s="1962"/>
      <c r="OAQ4" s="1962"/>
      <c r="OAR4" s="1962"/>
      <c r="OAS4" s="1962"/>
      <c r="OAT4" s="1962"/>
      <c r="OAU4" s="1962"/>
      <c r="OAV4" s="1962"/>
      <c r="OAW4" s="1962"/>
      <c r="OAX4" s="1962"/>
      <c r="OAY4" s="1962"/>
      <c r="OAZ4" s="1962"/>
      <c r="OBA4" s="1962"/>
      <c r="OBB4" s="1962"/>
      <c r="OBC4" s="1962"/>
      <c r="OBD4" s="1962"/>
      <c r="OBE4" s="1962"/>
      <c r="OBF4" s="1962"/>
      <c r="OBG4" s="1962"/>
      <c r="OBH4" s="1962"/>
      <c r="OBI4" s="1962"/>
      <c r="OBJ4" s="1962"/>
      <c r="OBK4" s="1962"/>
      <c r="OBL4" s="1962"/>
      <c r="OBM4" s="1962"/>
      <c r="OBN4" s="1962"/>
      <c r="OBO4" s="1962"/>
      <c r="OBP4" s="1962"/>
      <c r="OBQ4" s="1962"/>
      <c r="OBR4" s="1962"/>
      <c r="OBS4" s="1962"/>
      <c r="OBT4" s="1962"/>
      <c r="OBU4" s="1962"/>
      <c r="OBV4" s="1962"/>
      <c r="OBW4" s="1962"/>
      <c r="OBX4" s="1962"/>
      <c r="OBY4" s="1962"/>
      <c r="OBZ4" s="1962"/>
      <c r="OCA4" s="1962"/>
      <c r="OCB4" s="1962"/>
      <c r="OCC4" s="1962"/>
      <c r="OCD4" s="1962"/>
      <c r="OCE4" s="1962"/>
      <c r="OCF4" s="1962"/>
      <c r="OCG4" s="1962"/>
      <c r="OCH4" s="1962"/>
      <c r="OCI4" s="1962"/>
      <c r="OCJ4" s="1962"/>
      <c r="OCK4" s="1962"/>
      <c r="OCL4" s="1962"/>
      <c r="OCM4" s="1962"/>
      <c r="OCN4" s="1962"/>
      <c r="OCO4" s="1962"/>
      <c r="OCP4" s="1962"/>
      <c r="OCQ4" s="1962"/>
      <c r="OCR4" s="1962"/>
      <c r="OCS4" s="1962"/>
      <c r="OCT4" s="1962"/>
      <c r="OCU4" s="1962"/>
      <c r="OCV4" s="1962"/>
      <c r="OCW4" s="1962"/>
      <c r="OCX4" s="1962"/>
      <c r="OCY4" s="1962"/>
      <c r="OCZ4" s="1962"/>
      <c r="ODA4" s="1962"/>
      <c r="ODB4" s="1962"/>
      <c r="ODC4" s="1962"/>
      <c r="ODD4" s="1962"/>
      <c r="ODE4" s="1962"/>
      <c r="ODF4" s="1962"/>
      <c r="ODG4" s="1962"/>
      <c r="ODH4" s="1962"/>
      <c r="ODI4" s="1962"/>
      <c r="ODJ4" s="1962"/>
      <c r="ODK4" s="1962"/>
      <c r="ODL4" s="1962"/>
      <c r="ODM4" s="1962"/>
      <c r="ODN4" s="1962"/>
      <c r="ODO4" s="1962"/>
      <c r="ODP4" s="1962"/>
      <c r="ODQ4" s="1962"/>
      <c r="ODR4" s="1962"/>
      <c r="ODS4" s="1962"/>
      <c r="ODT4" s="1962"/>
      <c r="ODU4" s="1962"/>
      <c r="ODV4" s="1962"/>
      <c r="ODW4" s="1962"/>
      <c r="ODX4" s="1962"/>
      <c r="ODY4" s="1962"/>
      <c r="ODZ4" s="1962"/>
      <c r="OEA4" s="1962"/>
      <c r="OEB4" s="1962"/>
      <c r="OEC4" s="1962"/>
      <c r="OED4" s="1962"/>
      <c r="OEE4" s="1962"/>
      <c r="OEF4" s="1962"/>
      <c r="OEG4" s="1962"/>
      <c r="OEH4" s="1962"/>
      <c r="OEI4" s="1962"/>
      <c r="OEJ4" s="1962"/>
      <c r="OEK4" s="1962"/>
      <c r="OEL4" s="1962"/>
      <c r="OEM4" s="1962"/>
      <c r="OEN4" s="1962"/>
      <c r="OEO4" s="1962"/>
      <c r="OEP4" s="1962"/>
      <c r="OEQ4" s="1962"/>
      <c r="OER4" s="1962"/>
      <c r="OES4" s="1962"/>
      <c r="OET4" s="1962"/>
      <c r="OEU4" s="1962"/>
      <c r="OEV4" s="1962"/>
      <c r="OEW4" s="1962"/>
      <c r="OEX4" s="1962"/>
      <c r="OEY4" s="1962"/>
      <c r="OEZ4" s="1962"/>
      <c r="OFA4" s="1962"/>
      <c r="OFB4" s="1962"/>
      <c r="OFC4" s="1962"/>
      <c r="OFD4" s="1962"/>
      <c r="OFE4" s="1962"/>
      <c r="OFF4" s="1962"/>
      <c r="OFG4" s="1962"/>
      <c r="OFH4" s="1962"/>
      <c r="OFI4" s="1962"/>
      <c r="OFJ4" s="1962"/>
      <c r="OFK4" s="1962"/>
      <c r="OFL4" s="1962"/>
      <c r="OFM4" s="1962"/>
      <c r="OFN4" s="1962"/>
      <c r="OFO4" s="1962"/>
      <c r="OFP4" s="1962"/>
      <c r="OFQ4" s="1962"/>
      <c r="OFR4" s="1962"/>
      <c r="OFS4" s="1962"/>
      <c r="OFT4" s="1962"/>
      <c r="OFU4" s="1962"/>
      <c r="OFV4" s="1962"/>
      <c r="OFW4" s="1962"/>
      <c r="OFX4" s="1962"/>
      <c r="OFY4" s="1962"/>
      <c r="OFZ4" s="1962"/>
      <c r="OGA4" s="1962"/>
      <c r="OGB4" s="1962"/>
      <c r="OGC4" s="1962"/>
      <c r="OGD4" s="1962"/>
      <c r="OGE4" s="1962"/>
      <c r="OGF4" s="1962"/>
      <c r="OGG4" s="1962"/>
      <c r="OGH4" s="1962"/>
      <c r="OGI4" s="1962"/>
      <c r="OGJ4" s="1962"/>
      <c r="OGK4" s="1962"/>
      <c r="OGL4" s="1962"/>
      <c r="OGM4" s="1962"/>
      <c r="OGN4" s="1962"/>
      <c r="OGO4" s="1962"/>
      <c r="OGP4" s="1962"/>
      <c r="OGQ4" s="1962"/>
      <c r="OGR4" s="1962"/>
      <c r="OGS4" s="1962"/>
      <c r="OGT4" s="1962"/>
      <c r="OGU4" s="1962"/>
      <c r="OGV4" s="1962"/>
      <c r="OGW4" s="1962"/>
      <c r="OGX4" s="1962"/>
      <c r="OGY4" s="1962"/>
      <c r="OGZ4" s="1962"/>
      <c r="OHA4" s="1962"/>
      <c r="OHB4" s="1962"/>
      <c r="OHC4" s="1962"/>
      <c r="OHD4" s="1962"/>
      <c r="OHE4" s="1962"/>
      <c r="OHF4" s="1962"/>
      <c r="OHG4" s="1962"/>
      <c r="OHH4" s="1962"/>
      <c r="OHI4" s="1962"/>
      <c r="OHJ4" s="1962"/>
      <c r="OHK4" s="1962"/>
      <c r="OHL4" s="1962"/>
      <c r="OHM4" s="1962"/>
      <c r="OHN4" s="1962"/>
      <c r="OHO4" s="1962"/>
      <c r="OHP4" s="1962"/>
      <c r="OHQ4" s="1962"/>
      <c r="OHR4" s="1962"/>
      <c r="OHS4" s="1962"/>
      <c r="OHT4" s="1962"/>
      <c r="OHU4" s="1962"/>
      <c r="OHV4" s="1962"/>
      <c r="OHW4" s="1962"/>
      <c r="OHX4" s="1962"/>
      <c r="OHY4" s="1962"/>
      <c r="OHZ4" s="1962"/>
      <c r="OIA4" s="1962"/>
      <c r="OIB4" s="1962"/>
      <c r="OIC4" s="1962"/>
      <c r="OID4" s="1962"/>
      <c r="OIE4" s="1962"/>
      <c r="OIF4" s="1962"/>
      <c r="OIG4" s="1962"/>
      <c r="OIH4" s="1962"/>
      <c r="OII4" s="1962"/>
      <c r="OIJ4" s="1962"/>
      <c r="OIK4" s="1962"/>
      <c r="OIL4" s="1962"/>
      <c r="OIM4" s="1962"/>
      <c r="OIN4" s="1962"/>
      <c r="OIO4" s="1962"/>
      <c r="OIP4" s="1962"/>
      <c r="OIQ4" s="1962"/>
      <c r="OIR4" s="1962"/>
      <c r="OIS4" s="1962"/>
      <c r="OIT4" s="1962"/>
      <c r="OIU4" s="1962"/>
      <c r="OIV4" s="1962"/>
      <c r="OIW4" s="1962"/>
      <c r="OIX4" s="1962"/>
      <c r="OIY4" s="1962"/>
      <c r="OIZ4" s="1962"/>
      <c r="OJA4" s="1962"/>
      <c r="OJB4" s="1962"/>
      <c r="OJC4" s="1962"/>
      <c r="OJD4" s="1962"/>
      <c r="OJE4" s="1962"/>
      <c r="OJF4" s="1962"/>
      <c r="OJG4" s="1962"/>
      <c r="OJH4" s="1962"/>
      <c r="OJI4" s="1962"/>
      <c r="OJJ4" s="1962"/>
      <c r="OJK4" s="1962"/>
      <c r="OJL4" s="1962"/>
      <c r="OJM4" s="1962"/>
      <c r="OJN4" s="1962"/>
      <c r="OJO4" s="1962"/>
      <c r="OJP4" s="1962"/>
      <c r="OJQ4" s="1962"/>
      <c r="OJR4" s="1962"/>
      <c r="OJS4" s="1962"/>
      <c r="OJT4" s="1962"/>
      <c r="OJU4" s="1962"/>
      <c r="OJV4" s="1962"/>
      <c r="OJW4" s="1962"/>
      <c r="OJX4" s="1962"/>
      <c r="OJY4" s="1962"/>
      <c r="OJZ4" s="1962"/>
      <c r="OKA4" s="1962"/>
      <c r="OKB4" s="1962"/>
      <c r="OKC4" s="1962"/>
      <c r="OKD4" s="1962"/>
      <c r="OKE4" s="1962"/>
      <c r="OKF4" s="1962"/>
      <c r="OKG4" s="1962"/>
      <c r="OKH4" s="1962"/>
      <c r="OKI4" s="1962"/>
      <c r="OKJ4" s="1962"/>
      <c r="OKK4" s="1962"/>
      <c r="OKL4" s="1962"/>
      <c r="OKM4" s="1962"/>
      <c r="OKN4" s="1962"/>
      <c r="OKO4" s="1962"/>
      <c r="OKP4" s="1962"/>
      <c r="OKQ4" s="1962"/>
      <c r="OKR4" s="1962"/>
      <c r="OKS4" s="1962"/>
      <c r="OKT4" s="1962"/>
      <c r="OKU4" s="1962"/>
      <c r="OKV4" s="1962"/>
      <c r="OKW4" s="1962"/>
      <c r="OKX4" s="1962"/>
      <c r="OKY4" s="1962"/>
      <c r="OKZ4" s="1962"/>
      <c r="OLA4" s="1962"/>
      <c r="OLB4" s="1962"/>
      <c r="OLC4" s="1962"/>
      <c r="OLD4" s="1962"/>
      <c r="OLE4" s="1962"/>
      <c r="OLF4" s="1962"/>
      <c r="OLG4" s="1962"/>
      <c r="OLH4" s="1962"/>
      <c r="OLI4" s="1962"/>
      <c r="OLJ4" s="1962"/>
      <c r="OLK4" s="1962"/>
      <c r="OLL4" s="1962"/>
      <c r="OLM4" s="1962"/>
      <c r="OLN4" s="1962"/>
      <c r="OLO4" s="1962"/>
      <c r="OLP4" s="1962"/>
      <c r="OLQ4" s="1962"/>
      <c r="OLR4" s="1962"/>
      <c r="OLS4" s="1962"/>
      <c r="OLT4" s="1962"/>
      <c r="OLU4" s="1962"/>
      <c r="OLV4" s="1962"/>
      <c r="OLW4" s="1962"/>
      <c r="OLX4" s="1962"/>
      <c r="OLY4" s="1962"/>
      <c r="OLZ4" s="1962"/>
      <c r="OMA4" s="1962"/>
      <c r="OMB4" s="1962"/>
      <c r="OMC4" s="1962"/>
      <c r="OMD4" s="1962"/>
      <c r="OME4" s="1962"/>
      <c r="OMF4" s="1962"/>
      <c r="OMG4" s="1962"/>
      <c r="OMH4" s="1962"/>
      <c r="OMI4" s="1962"/>
      <c r="OMJ4" s="1962"/>
      <c r="OMK4" s="1962"/>
      <c r="OML4" s="1962"/>
      <c r="OMM4" s="1962"/>
      <c r="OMN4" s="1962"/>
      <c r="OMO4" s="1962"/>
      <c r="OMP4" s="1962"/>
      <c r="OMQ4" s="1962"/>
      <c r="OMR4" s="1962"/>
      <c r="OMS4" s="1962"/>
      <c r="OMT4" s="1962"/>
      <c r="OMU4" s="1962"/>
      <c r="OMV4" s="1962"/>
      <c r="OMW4" s="1962"/>
      <c r="OMX4" s="1962"/>
      <c r="OMY4" s="1962"/>
      <c r="OMZ4" s="1962"/>
      <c r="ONA4" s="1962"/>
      <c r="ONB4" s="1962"/>
      <c r="ONC4" s="1962"/>
      <c r="OND4" s="1962"/>
      <c r="ONE4" s="1962"/>
      <c r="ONF4" s="1962"/>
      <c r="ONG4" s="1962"/>
      <c r="ONH4" s="1962"/>
      <c r="ONI4" s="1962"/>
      <c r="ONJ4" s="1962"/>
      <c r="ONK4" s="1962"/>
      <c r="ONL4" s="1962"/>
      <c r="ONM4" s="1962"/>
      <c r="ONN4" s="1962"/>
      <c r="ONO4" s="1962"/>
      <c r="ONP4" s="1962"/>
      <c r="ONQ4" s="1962"/>
      <c r="ONR4" s="1962"/>
      <c r="ONS4" s="1962"/>
      <c r="ONT4" s="1962"/>
      <c r="ONU4" s="1962"/>
      <c r="ONV4" s="1962"/>
      <c r="ONW4" s="1962"/>
      <c r="ONX4" s="1962"/>
      <c r="ONY4" s="1962"/>
      <c r="ONZ4" s="1962"/>
      <c r="OOA4" s="1962"/>
      <c r="OOB4" s="1962"/>
      <c r="OOC4" s="1962"/>
      <c r="OOD4" s="1962"/>
      <c r="OOE4" s="1962"/>
      <c r="OOF4" s="1962"/>
      <c r="OOG4" s="1962"/>
      <c r="OOH4" s="1962"/>
      <c r="OOI4" s="1962"/>
      <c r="OOJ4" s="1962"/>
      <c r="OOK4" s="1962"/>
      <c r="OOL4" s="1962"/>
      <c r="OOM4" s="1962"/>
      <c r="OON4" s="1962"/>
      <c r="OOO4" s="1962"/>
      <c r="OOP4" s="1962"/>
      <c r="OOQ4" s="1962"/>
      <c r="OOR4" s="1962"/>
      <c r="OOS4" s="1962"/>
      <c r="OOT4" s="1962"/>
      <c r="OOU4" s="1962"/>
      <c r="OOV4" s="1962"/>
      <c r="OOW4" s="1962"/>
      <c r="OOX4" s="1962"/>
      <c r="OOY4" s="1962"/>
      <c r="OOZ4" s="1962"/>
      <c r="OPA4" s="1962"/>
      <c r="OPB4" s="1962"/>
      <c r="OPC4" s="1962"/>
      <c r="OPD4" s="1962"/>
      <c r="OPE4" s="1962"/>
      <c r="OPF4" s="1962"/>
      <c r="OPG4" s="1962"/>
      <c r="OPH4" s="1962"/>
      <c r="OPI4" s="1962"/>
      <c r="OPJ4" s="1962"/>
      <c r="OPK4" s="1962"/>
      <c r="OPL4" s="1962"/>
      <c r="OPM4" s="1962"/>
      <c r="OPN4" s="1962"/>
      <c r="OPO4" s="1962"/>
      <c r="OPP4" s="1962"/>
      <c r="OPQ4" s="1962"/>
      <c r="OPR4" s="1962"/>
      <c r="OPS4" s="1962"/>
      <c r="OPT4" s="1962"/>
      <c r="OPU4" s="1962"/>
      <c r="OPV4" s="1962"/>
      <c r="OPW4" s="1962"/>
      <c r="OPX4" s="1962"/>
      <c r="OPY4" s="1962"/>
      <c r="OPZ4" s="1962"/>
      <c r="OQA4" s="1962"/>
      <c r="OQB4" s="1962"/>
      <c r="OQC4" s="1962"/>
      <c r="OQD4" s="1962"/>
      <c r="OQE4" s="1962"/>
      <c r="OQF4" s="1962"/>
      <c r="OQG4" s="1962"/>
      <c r="OQH4" s="1962"/>
      <c r="OQI4" s="1962"/>
      <c r="OQJ4" s="1962"/>
      <c r="OQK4" s="1962"/>
      <c r="OQL4" s="1962"/>
      <c r="OQM4" s="1962"/>
      <c r="OQN4" s="1962"/>
      <c r="OQO4" s="1962"/>
      <c r="OQP4" s="1962"/>
      <c r="OQQ4" s="1962"/>
      <c r="OQR4" s="1962"/>
      <c r="OQS4" s="1962"/>
      <c r="OQT4" s="1962"/>
      <c r="OQU4" s="1962"/>
      <c r="OQV4" s="1962"/>
      <c r="OQW4" s="1962"/>
      <c r="OQX4" s="1962"/>
      <c r="OQY4" s="1962"/>
      <c r="OQZ4" s="1962"/>
      <c r="ORA4" s="1962"/>
      <c r="ORB4" s="1962"/>
      <c r="ORC4" s="1962"/>
      <c r="ORD4" s="1962"/>
      <c r="ORE4" s="1962"/>
      <c r="ORF4" s="1962"/>
      <c r="ORG4" s="1962"/>
      <c r="ORH4" s="1962"/>
      <c r="ORI4" s="1962"/>
      <c r="ORJ4" s="1962"/>
      <c r="ORK4" s="1962"/>
      <c r="ORL4" s="1962"/>
      <c r="ORM4" s="1962"/>
      <c r="ORN4" s="1962"/>
      <c r="ORO4" s="1962"/>
      <c r="ORP4" s="1962"/>
      <c r="ORQ4" s="1962"/>
      <c r="ORR4" s="1962"/>
      <c r="ORS4" s="1962"/>
      <c r="ORT4" s="1962"/>
      <c r="ORU4" s="1962"/>
      <c r="ORV4" s="1962"/>
      <c r="ORW4" s="1962"/>
      <c r="ORX4" s="1962"/>
      <c r="ORY4" s="1962"/>
      <c r="ORZ4" s="1962"/>
      <c r="OSA4" s="1962"/>
      <c r="OSB4" s="1962"/>
      <c r="OSC4" s="1962"/>
      <c r="OSD4" s="1962"/>
      <c r="OSE4" s="1962"/>
      <c r="OSF4" s="1962"/>
      <c r="OSG4" s="1962"/>
      <c r="OSH4" s="1962"/>
      <c r="OSI4" s="1962"/>
      <c r="OSJ4" s="1962"/>
      <c r="OSK4" s="1962"/>
      <c r="OSL4" s="1962"/>
      <c r="OSM4" s="1962"/>
      <c r="OSN4" s="1962"/>
      <c r="OSO4" s="1962"/>
      <c r="OSP4" s="1962"/>
      <c r="OSQ4" s="1962"/>
      <c r="OSR4" s="1962"/>
      <c r="OSS4" s="1962"/>
      <c r="OST4" s="1962"/>
      <c r="OSU4" s="1962"/>
      <c r="OSV4" s="1962"/>
      <c r="OSW4" s="1962"/>
      <c r="OSX4" s="1962"/>
      <c r="OSY4" s="1962"/>
      <c r="OSZ4" s="1962"/>
      <c r="OTA4" s="1962"/>
      <c r="OTB4" s="1962"/>
      <c r="OTC4" s="1962"/>
      <c r="OTD4" s="1962"/>
      <c r="OTE4" s="1962"/>
      <c r="OTF4" s="1962"/>
      <c r="OTG4" s="1962"/>
      <c r="OTH4" s="1962"/>
      <c r="OTI4" s="1962"/>
      <c r="OTJ4" s="1962"/>
      <c r="OTK4" s="1962"/>
      <c r="OTL4" s="1962"/>
      <c r="OTM4" s="1962"/>
      <c r="OTN4" s="1962"/>
      <c r="OTO4" s="1962"/>
      <c r="OTP4" s="1962"/>
      <c r="OTQ4" s="1962"/>
      <c r="OTR4" s="1962"/>
      <c r="OTS4" s="1962"/>
      <c r="OTT4" s="1962"/>
      <c r="OTU4" s="1962"/>
      <c r="OTV4" s="1962"/>
      <c r="OTW4" s="1962"/>
      <c r="OTX4" s="1962"/>
      <c r="OTY4" s="1962"/>
      <c r="OTZ4" s="1962"/>
      <c r="OUA4" s="1962"/>
      <c r="OUB4" s="1962"/>
      <c r="OUC4" s="1962"/>
      <c r="OUD4" s="1962"/>
      <c r="OUE4" s="1962"/>
      <c r="OUF4" s="1962"/>
      <c r="OUG4" s="1962"/>
      <c r="OUH4" s="1962"/>
      <c r="OUI4" s="1962"/>
      <c r="OUJ4" s="1962"/>
      <c r="OUK4" s="1962"/>
      <c r="OUL4" s="1962"/>
      <c r="OUM4" s="1962"/>
      <c r="OUN4" s="1962"/>
      <c r="OUO4" s="1962"/>
      <c r="OUP4" s="1962"/>
      <c r="OUQ4" s="1962"/>
      <c r="OUR4" s="1962"/>
      <c r="OUS4" s="1962"/>
      <c r="OUT4" s="1962"/>
      <c r="OUU4" s="1962"/>
      <c r="OUV4" s="1962"/>
      <c r="OUW4" s="1962"/>
      <c r="OUX4" s="1962"/>
      <c r="OUY4" s="1962"/>
      <c r="OUZ4" s="1962"/>
      <c r="OVA4" s="1962"/>
      <c r="OVB4" s="1962"/>
      <c r="OVC4" s="1962"/>
      <c r="OVD4" s="1962"/>
      <c r="OVE4" s="1962"/>
      <c r="OVF4" s="1962"/>
      <c r="OVG4" s="1962"/>
      <c r="OVH4" s="1962"/>
      <c r="OVI4" s="1962"/>
      <c r="OVJ4" s="1962"/>
      <c r="OVK4" s="1962"/>
      <c r="OVL4" s="1962"/>
      <c r="OVM4" s="1962"/>
      <c r="OVN4" s="1962"/>
      <c r="OVO4" s="1962"/>
      <c r="OVP4" s="1962"/>
      <c r="OVQ4" s="1962"/>
      <c r="OVR4" s="1962"/>
      <c r="OVS4" s="1962"/>
      <c r="OVT4" s="1962"/>
      <c r="OVU4" s="1962"/>
      <c r="OVV4" s="1962"/>
      <c r="OVW4" s="1962"/>
      <c r="OVX4" s="1962"/>
      <c r="OVY4" s="1962"/>
      <c r="OVZ4" s="1962"/>
      <c r="OWA4" s="1962"/>
      <c r="OWB4" s="1962"/>
      <c r="OWC4" s="1962"/>
      <c r="OWD4" s="1962"/>
      <c r="OWE4" s="1962"/>
      <c r="OWF4" s="1962"/>
      <c r="OWG4" s="1962"/>
      <c r="OWH4" s="1962"/>
      <c r="OWI4" s="1962"/>
      <c r="OWJ4" s="1962"/>
      <c r="OWK4" s="1962"/>
      <c r="OWL4" s="1962"/>
      <c r="OWM4" s="1962"/>
      <c r="OWN4" s="1962"/>
      <c r="OWO4" s="1962"/>
      <c r="OWP4" s="1962"/>
      <c r="OWQ4" s="1962"/>
      <c r="OWR4" s="1962"/>
      <c r="OWS4" s="1962"/>
      <c r="OWT4" s="1962"/>
      <c r="OWU4" s="1962"/>
      <c r="OWV4" s="1962"/>
      <c r="OWW4" s="1962"/>
      <c r="OWX4" s="1962"/>
      <c r="OWY4" s="1962"/>
      <c r="OWZ4" s="1962"/>
      <c r="OXA4" s="1962"/>
      <c r="OXB4" s="1962"/>
      <c r="OXC4" s="1962"/>
      <c r="OXD4" s="1962"/>
      <c r="OXE4" s="1962"/>
      <c r="OXF4" s="1962"/>
      <c r="OXG4" s="1962"/>
      <c r="OXH4" s="1962"/>
      <c r="OXI4" s="1962"/>
      <c r="OXJ4" s="1962"/>
      <c r="OXK4" s="1962"/>
      <c r="OXL4" s="1962"/>
      <c r="OXM4" s="1962"/>
      <c r="OXN4" s="1962"/>
      <c r="OXO4" s="1962"/>
      <c r="OXP4" s="1962"/>
      <c r="OXQ4" s="1962"/>
      <c r="OXR4" s="1962"/>
      <c r="OXS4" s="1962"/>
      <c r="OXT4" s="1962"/>
      <c r="OXU4" s="1962"/>
      <c r="OXV4" s="1962"/>
      <c r="OXW4" s="1962"/>
      <c r="OXX4" s="1962"/>
      <c r="OXY4" s="1962"/>
      <c r="OXZ4" s="1962"/>
      <c r="OYA4" s="1962"/>
      <c r="OYB4" s="1962"/>
      <c r="OYC4" s="1962"/>
      <c r="OYD4" s="1962"/>
      <c r="OYE4" s="1962"/>
      <c r="OYF4" s="1962"/>
      <c r="OYG4" s="1962"/>
      <c r="OYH4" s="1962"/>
      <c r="OYI4" s="1962"/>
      <c r="OYJ4" s="1962"/>
      <c r="OYK4" s="1962"/>
      <c r="OYL4" s="1962"/>
      <c r="OYM4" s="1962"/>
      <c r="OYN4" s="1962"/>
      <c r="OYO4" s="1962"/>
      <c r="OYP4" s="1962"/>
      <c r="OYQ4" s="1962"/>
      <c r="OYR4" s="1962"/>
      <c r="OYS4" s="1962"/>
      <c r="OYT4" s="1962"/>
      <c r="OYU4" s="1962"/>
      <c r="OYV4" s="1962"/>
      <c r="OYW4" s="1962"/>
      <c r="OYX4" s="1962"/>
      <c r="OYY4" s="1962"/>
      <c r="OYZ4" s="1962"/>
      <c r="OZA4" s="1962"/>
      <c r="OZB4" s="1962"/>
      <c r="OZC4" s="1962"/>
      <c r="OZD4" s="1962"/>
      <c r="OZE4" s="1962"/>
      <c r="OZF4" s="1962"/>
      <c r="OZG4" s="1962"/>
      <c r="OZH4" s="1962"/>
      <c r="OZI4" s="1962"/>
      <c r="OZJ4" s="1962"/>
      <c r="OZK4" s="1962"/>
      <c r="OZL4" s="1962"/>
      <c r="OZM4" s="1962"/>
      <c r="OZN4" s="1962"/>
      <c r="OZO4" s="1962"/>
      <c r="OZP4" s="1962"/>
      <c r="OZQ4" s="1962"/>
      <c r="OZR4" s="1962"/>
      <c r="OZS4" s="1962"/>
      <c r="OZT4" s="1962"/>
      <c r="OZU4" s="1962"/>
      <c r="OZV4" s="1962"/>
      <c r="OZW4" s="1962"/>
      <c r="OZX4" s="1962"/>
      <c r="OZY4" s="1962"/>
      <c r="OZZ4" s="1962"/>
      <c r="PAA4" s="1962"/>
      <c r="PAB4" s="1962"/>
      <c r="PAC4" s="1962"/>
      <c r="PAD4" s="1962"/>
      <c r="PAE4" s="1962"/>
      <c r="PAF4" s="1962"/>
      <c r="PAG4" s="1962"/>
      <c r="PAH4" s="1962"/>
      <c r="PAI4" s="1962"/>
      <c r="PAJ4" s="1962"/>
      <c r="PAK4" s="1962"/>
      <c r="PAL4" s="1962"/>
      <c r="PAM4" s="1962"/>
      <c r="PAN4" s="1962"/>
      <c r="PAO4" s="1962"/>
      <c r="PAP4" s="1962"/>
      <c r="PAQ4" s="1962"/>
      <c r="PAR4" s="1962"/>
      <c r="PAS4" s="1962"/>
      <c r="PAT4" s="1962"/>
      <c r="PAU4" s="1962"/>
      <c r="PAV4" s="1962"/>
      <c r="PAW4" s="1962"/>
      <c r="PAX4" s="1962"/>
      <c r="PAY4" s="1962"/>
      <c r="PAZ4" s="1962"/>
      <c r="PBA4" s="1962"/>
      <c r="PBB4" s="1962"/>
      <c r="PBC4" s="1962"/>
      <c r="PBD4" s="1962"/>
      <c r="PBE4" s="1962"/>
      <c r="PBF4" s="1962"/>
      <c r="PBG4" s="1962"/>
      <c r="PBH4" s="1962"/>
      <c r="PBI4" s="1962"/>
      <c r="PBJ4" s="1962"/>
      <c r="PBK4" s="1962"/>
      <c r="PBL4" s="1962"/>
      <c r="PBM4" s="1962"/>
      <c r="PBN4" s="1962"/>
      <c r="PBO4" s="1962"/>
      <c r="PBP4" s="1962"/>
      <c r="PBQ4" s="1962"/>
      <c r="PBR4" s="1962"/>
      <c r="PBS4" s="1962"/>
      <c r="PBT4" s="1962"/>
      <c r="PBU4" s="1962"/>
      <c r="PBV4" s="1962"/>
      <c r="PBW4" s="1962"/>
      <c r="PBX4" s="1962"/>
      <c r="PBY4" s="1962"/>
      <c r="PBZ4" s="1962"/>
      <c r="PCA4" s="1962"/>
      <c r="PCB4" s="1962"/>
      <c r="PCC4" s="1962"/>
      <c r="PCD4" s="1962"/>
      <c r="PCE4" s="1962"/>
      <c r="PCF4" s="1962"/>
      <c r="PCG4" s="1962"/>
      <c r="PCH4" s="1962"/>
      <c r="PCI4" s="1962"/>
      <c r="PCJ4" s="1962"/>
      <c r="PCK4" s="1962"/>
      <c r="PCL4" s="1962"/>
      <c r="PCM4" s="1962"/>
      <c r="PCN4" s="1962"/>
      <c r="PCO4" s="1962"/>
      <c r="PCP4" s="1962"/>
      <c r="PCQ4" s="1962"/>
      <c r="PCR4" s="1962"/>
      <c r="PCS4" s="1962"/>
      <c r="PCT4" s="1962"/>
      <c r="PCU4" s="1962"/>
      <c r="PCV4" s="1962"/>
      <c r="PCW4" s="1962"/>
      <c r="PCX4" s="1962"/>
      <c r="PCY4" s="1962"/>
      <c r="PCZ4" s="1962"/>
      <c r="PDA4" s="1962"/>
      <c r="PDB4" s="1962"/>
      <c r="PDC4" s="1962"/>
      <c r="PDD4" s="1962"/>
      <c r="PDE4" s="1962"/>
      <c r="PDF4" s="1962"/>
      <c r="PDG4" s="1962"/>
      <c r="PDH4" s="1962"/>
      <c r="PDI4" s="1962"/>
      <c r="PDJ4" s="1962"/>
      <c r="PDK4" s="1962"/>
      <c r="PDL4" s="1962"/>
      <c r="PDM4" s="1962"/>
      <c r="PDN4" s="1962"/>
      <c r="PDO4" s="1962"/>
      <c r="PDP4" s="1962"/>
      <c r="PDQ4" s="1962"/>
      <c r="PDR4" s="1962"/>
      <c r="PDS4" s="1962"/>
      <c r="PDT4" s="1962"/>
      <c r="PDU4" s="1962"/>
      <c r="PDV4" s="1962"/>
      <c r="PDW4" s="1962"/>
      <c r="PDX4" s="1962"/>
      <c r="PDY4" s="1962"/>
      <c r="PDZ4" s="1962"/>
      <c r="PEA4" s="1962"/>
      <c r="PEB4" s="1962"/>
      <c r="PEC4" s="1962"/>
      <c r="PED4" s="1962"/>
      <c r="PEE4" s="1962"/>
      <c r="PEF4" s="1962"/>
      <c r="PEG4" s="1962"/>
      <c r="PEH4" s="1962"/>
      <c r="PEI4" s="1962"/>
      <c r="PEJ4" s="1962"/>
      <c r="PEK4" s="1962"/>
      <c r="PEL4" s="1962"/>
      <c r="PEM4" s="1962"/>
      <c r="PEN4" s="1962"/>
      <c r="PEO4" s="1962"/>
      <c r="PEP4" s="1962"/>
      <c r="PEQ4" s="1962"/>
      <c r="PER4" s="1962"/>
      <c r="PES4" s="1962"/>
      <c r="PET4" s="1962"/>
      <c r="PEU4" s="1962"/>
      <c r="PEV4" s="1962"/>
      <c r="PEW4" s="1962"/>
      <c r="PEX4" s="1962"/>
      <c r="PEY4" s="1962"/>
      <c r="PEZ4" s="1962"/>
      <c r="PFA4" s="1962"/>
      <c r="PFB4" s="1962"/>
      <c r="PFC4" s="1962"/>
      <c r="PFD4" s="1962"/>
      <c r="PFE4" s="1962"/>
      <c r="PFF4" s="1962"/>
      <c r="PFG4" s="1962"/>
      <c r="PFH4" s="1962"/>
      <c r="PFI4" s="1962"/>
      <c r="PFJ4" s="1962"/>
      <c r="PFK4" s="1962"/>
      <c r="PFL4" s="1962"/>
      <c r="PFM4" s="1962"/>
      <c r="PFN4" s="1962"/>
      <c r="PFO4" s="1962"/>
      <c r="PFP4" s="1962"/>
      <c r="PFQ4" s="1962"/>
      <c r="PFR4" s="1962"/>
      <c r="PFS4" s="1962"/>
      <c r="PFT4" s="1962"/>
      <c r="PFU4" s="1962"/>
      <c r="PFV4" s="1962"/>
      <c r="PFW4" s="1962"/>
      <c r="PFX4" s="1962"/>
      <c r="PFY4" s="1962"/>
      <c r="PFZ4" s="1962"/>
      <c r="PGA4" s="1962"/>
      <c r="PGB4" s="1962"/>
      <c r="PGC4" s="1962"/>
      <c r="PGD4" s="1962"/>
      <c r="PGE4" s="1962"/>
      <c r="PGF4" s="1962"/>
      <c r="PGG4" s="1962"/>
      <c r="PGH4" s="1962"/>
      <c r="PGI4" s="1962"/>
      <c r="PGJ4" s="1962"/>
      <c r="PGK4" s="1962"/>
      <c r="PGL4" s="1962"/>
      <c r="PGM4" s="1962"/>
      <c r="PGN4" s="1962"/>
      <c r="PGO4" s="1962"/>
      <c r="PGP4" s="1962"/>
      <c r="PGQ4" s="1962"/>
      <c r="PGR4" s="1962"/>
      <c r="PGS4" s="1962"/>
      <c r="PGT4" s="1962"/>
      <c r="PGU4" s="1962"/>
      <c r="PGV4" s="1962"/>
      <c r="PGW4" s="1962"/>
      <c r="PGX4" s="1962"/>
      <c r="PGY4" s="1962"/>
      <c r="PGZ4" s="1962"/>
      <c r="PHA4" s="1962"/>
      <c r="PHB4" s="1962"/>
      <c r="PHC4" s="1962"/>
      <c r="PHD4" s="1962"/>
      <c r="PHE4" s="1962"/>
      <c r="PHF4" s="1962"/>
      <c r="PHG4" s="1962"/>
      <c r="PHH4" s="1962"/>
      <c r="PHI4" s="1962"/>
      <c r="PHJ4" s="1962"/>
      <c r="PHK4" s="1962"/>
      <c r="PHL4" s="1962"/>
      <c r="PHM4" s="1962"/>
      <c r="PHN4" s="1962"/>
      <c r="PHO4" s="1962"/>
      <c r="PHP4" s="1962"/>
      <c r="PHQ4" s="1962"/>
      <c r="PHR4" s="1962"/>
      <c r="PHS4" s="1962"/>
      <c r="PHT4" s="1962"/>
      <c r="PHU4" s="1962"/>
      <c r="PHV4" s="1962"/>
      <c r="PHW4" s="1962"/>
      <c r="PHX4" s="1962"/>
      <c r="PHY4" s="1962"/>
      <c r="PHZ4" s="1962"/>
      <c r="PIA4" s="1962"/>
      <c r="PIB4" s="1962"/>
      <c r="PIC4" s="1962"/>
      <c r="PID4" s="1962"/>
      <c r="PIE4" s="1962"/>
      <c r="PIF4" s="1962"/>
      <c r="PIG4" s="1962"/>
      <c r="PIH4" s="1962"/>
      <c r="PII4" s="1962"/>
      <c r="PIJ4" s="1962"/>
      <c r="PIK4" s="1962"/>
      <c r="PIL4" s="1962"/>
      <c r="PIM4" s="1962"/>
      <c r="PIN4" s="1962"/>
      <c r="PIO4" s="1962"/>
      <c r="PIP4" s="1962"/>
      <c r="PIQ4" s="1962"/>
      <c r="PIR4" s="1962"/>
      <c r="PIS4" s="1962"/>
      <c r="PIT4" s="1962"/>
      <c r="PIU4" s="1962"/>
      <c r="PIV4" s="1962"/>
      <c r="PIW4" s="1962"/>
      <c r="PIX4" s="1962"/>
      <c r="PIY4" s="1962"/>
      <c r="PIZ4" s="1962"/>
      <c r="PJA4" s="1962"/>
      <c r="PJB4" s="1962"/>
      <c r="PJC4" s="1962"/>
      <c r="PJD4" s="1962"/>
      <c r="PJE4" s="1962"/>
      <c r="PJF4" s="1962"/>
      <c r="PJG4" s="1962"/>
      <c r="PJH4" s="1962"/>
      <c r="PJI4" s="1962"/>
      <c r="PJJ4" s="1962"/>
      <c r="PJK4" s="1962"/>
      <c r="PJL4" s="1962"/>
      <c r="PJM4" s="1962"/>
      <c r="PJN4" s="1962"/>
      <c r="PJO4" s="1962"/>
      <c r="PJP4" s="1962"/>
      <c r="PJQ4" s="1962"/>
      <c r="PJR4" s="1962"/>
      <c r="PJS4" s="1962"/>
      <c r="PJT4" s="1962"/>
      <c r="PJU4" s="1962"/>
      <c r="PJV4" s="1962"/>
      <c r="PJW4" s="1962"/>
      <c r="PJX4" s="1962"/>
      <c r="PJY4" s="1962"/>
      <c r="PJZ4" s="1962"/>
      <c r="PKA4" s="1962"/>
      <c r="PKB4" s="1962"/>
      <c r="PKC4" s="1962"/>
      <c r="PKD4" s="1962"/>
      <c r="PKE4" s="1962"/>
      <c r="PKF4" s="1962"/>
      <c r="PKG4" s="1962"/>
      <c r="PKH4" s="1962"/>
      <c r="PKI4" s="1962"/>
      <c r="PKJ4" s="1962"/>
      <c r="PKK4" s="1962"/>
      <c r="PKL4" s="1962"/>
      <c r="PKM4" s="1962"/>
      <c r="PKN4" s="1962"/>
      <c r="PKO4" s="1962"/>
      <c r="PKP4" s="1962"/>
      <c r="PKQ4" s="1962"/>
      <c r="PKR4" s="1962"/>
      <c r="PKS4" s="1962"/>
      <c r="PKT4" s="1962"/>
      <c r="PKU4" s="1962"/>
      <c r="PKV4" s="1962"/>
      <c r="PKW4" s="1962"/>
      <c r="PKX4" s="1962"/>
      <c r="PKY4" s="1962"/>
      <c r="PKZ4" s="1962"/>
      <c r="PLA4" s="1962"/>
      <c r="PLB4" s="1962"/>
      <c r="PLC4" s="1962"/>
      <c r="PLD4" s="1962"/>
      <c r="PLE4" s="1962"/>
      <c r="PLF4" s="1962"/>
      <c r="PLG4" s="1962"/>
      <c r="PLH4" s="1962"/>
      <c r="PLI4" s="1962"/>
      <c r="PLJ4" s="1962"/>
      <c r="PLK4" s="1962"/>
      <c r="PLL4" s="1962"/>
      <c r="PLM4" s="1962"/>
      <c r="PLN4" s="1962"/>
      <c r="PLO4" s="1962"/>
      <c r="PLP4" s="1962"/>
      <c r="PLQ4" s="1962"/>
      <c r="PLR4" s="1962"/>
      <c r="PLS4" s="1962"/>
      <c r="PLT4" s="1962"/>
      <c r="PLU4" s="1962"/>
      <c r="PLV4" s="1962"/>
      <c r="PLW4" s="1962"/>
      <c r="PLX4" s="1962"/>
      <c r="PLY4" s="1962"/>
      <c r="PLZ4" s="1962"/>
      <c r="PMA4" s="1962"/>
      <c r="PMB4" s="1962"/>
      <c r="PMC4" s="1962"/>
      <c r="PMD4" s="1962"/>
      <c r="PME4" s="1962"/>
      <c r="PMF4" s="1962"/>
      <c r="PMG4" s="1962"/>
      <c r="PMH4" s="1962"/>
      <c r="PMI4" s="1962"/>
      <c r="PMJ4" s="1962"/>
      <c r="PMK4" s="1962"/>
      <c r="PML4" s="1962"/>
      <c r="PMM4" s="1962"/>
      <c r="PMN4" s="1962"/>
      <c r="PMO4" s="1962"/>
      <c r="PMP4" s="1962"/>
      <c r="PMQ4" s="1962"/>
      <c r="PMR4" s="1962"/>
      <c r="PMS4" s="1962"/>
      <c r="PMT4" s="1962"/>
      <c r="PMU4" s="1962"/>
      <c r="PMV4" s="1962"/>
      <c r="PMW4" s="1962"/>
      <c r="PMX4" s="1962"/>
      <c r="PMY4" s="1962"/>
      <c r="PMZ4" s="1962"/>
      <c r="PNA4" s="1962"/>
      <c r="PNB4" s="1962"/>
      <c r="PNC4" s="1962"/>
      <c r="PND4" s="1962"/>
      <c r="PNE4" s="1962"/>
      <c r="PNF4" s="1962"/>
      <c r="PNG4" s="1962"/>
      <c r="PNH4" s="1962"/>
      <c r="PNI4" s="1962"/>
      <c r="PNJ4" s="1962"/>
      <c r="PNK4" s="1962"/>
      <c r="PNL4" s="1962"/>
      <c r="PNM4" s="1962"/>
      <c r="PNN4" s="1962"/>
      <c r="PNO4" s="1962"/>
      <c r="PNP4" s="1962"/>
      <c r="PNQ4" s="1962"/>
      <c r="PNR4" s="1962"/>
      <c r="PNS4" s="1962"/>
      <c r="PNT4" s="1962"/>
      <c r="PNU4" s="1962"/>
      <c r="PNV4" s="1962"/>
      <c r="PNW4" s="1962"/>
      <c r="PNX4" s="1962"/>
      <c r="PNY4" s="1962"/>
      <c r="PNZ4" s="1962"/>
      <c r="POA4" s="1962"/>
      <c r="POB4" s="1962"/>
      <c r="POC4" s="1962"/>
      <c r="POD4" s="1962"/>
      <c r="POE4" s="1962"/>
      <c r="POF4" s="1962"/>
      <c r="POG4" s="1962"/>
      <c r="POH4" s="1962"/>
      <c r="POI4" s="1962"/>
      <c r="POJ4" s="1962"/>
      <c r="POK4" s="1962"/>
      <c r="POL4" s="1962"/>
      <c r="POM4" s="1962"/>
      <c r="PON4" s="1962"/>
      <c r="POO4" s="1962"/>
      <c r="POP4" s="1962"/>
      <c r="POQ4" s="1962"/>
      <c r="POR4" s="1962"/>
      <c r="POS4" s="1962"/>
      <c r="POT4" s="1962"/>
      <c r="POU4" s="1962"/>
      <c r="POV4" s="1962"/>
      <c r="POW4" s="1962"/>
      <c r="POX4" s="1962"/>
      <c r="POY4" s="1962"/>
      <c r="POZ4" s="1962"/>
      <c r="PPA4" s="1962"/>
      <c r="PPB4" s="1962"/>
      <c r="PPC4" s="1962"/>
      <c r="PPD4" s="1962"/>
      <c r="PPE4" s="1962"/>
      <c r="PPF4" s="1962"/>
      <c r="PPG4" s="1962"/>
      <c r="PPH4" s="1962"/>
      <c r="PPI4" s="1962"/>
      <c r="PPJ4" s="1962"/>
      <c r="PPK4" s="1962"/>
      <c r="PPL4" s="1962"/>
      <c r="PPM4" s="1962"/>
      <c r="PPN4" s="1962"/>
      <c r="PPO4" s="1962"/>
      <c r="PPP4" s="1962"/>
      <c r="PPQ4" s="1962"/>
      <c r="PPR4" s="1962"/>
      <c r="PPS4" s="1962"/>
      <c r="PPT4" s="1962"/>
      <c r="PPU4" s="1962"/>
      <c r="PPV4" s="1962"/>
      <c r="PPW4" s="1962"/>
      <c r="PPX4" s="1962"/>
      <c r="PPY4" s="1962"/>
      <c r="PPZ4" s="1962"/>
      <c r="PQA4" s="1962"/>
      <c r="PQB4" s="1962"/>
      <c r="PQC4" s="1962"/>
      <c r="PQD4" s="1962"/>
      <c r="PQE4" s="1962"/>
      <c r="PQF4" s="1962"/>
      <c r="PQG4" s="1962"/>
      <c r="PQH4" s="1962"/>
      <c r="PQI4" s="1962"/>
      <c r="PQJ4" s="1962"/>
      <c r="PQK4" s="1962"/>
      <c r="PQL4" s="1962"/>
      <c r="PQM4" s="1962"/>
      <c r="PQN4" s="1962"/>
      <c r="PQO4" s="1962"/>
      <c r="PQP4" s="1962"/>
      <c r="PQQ4" s="1962"/>
      <c r="PQR4" s="1962"/>
      <c r="PQS4" s="1962"/>
      <c r="PQT4" s="1962"/>
      <c r="PQU4" s="1962"/>
      <c r="PQV4" s="1962"/>
      <c r="PQW4" s="1962"/>
      <c r="PQX4" s="1962"/>
      <c r="PQY4" s="1962"/>
      <c r="PQZ4" s="1962"/>
      <c r="PRA4" s="1962"/>
      <c r="PRB4" s="1962"/>
      <c r="PRC4" s="1962"/>
      <c r="PRD4" s="1962"/>
      <c r="PRE4" s="1962"/>
      <c r="PRF4" s="1962"/>
      <c r="PRG4" s="1962"/>
      <c r="PRH4" s="1962"/>
      <c r="PRI4" s="1962"/>
      <c r="PRJ4" s="1962"/>
      <c r="PRK4" s="1962"/>
      <c r="PRL4" s="1962"/>
      <c r="PRM4" s="1962"/>
      <c r="PRN4" s="1962"/>
      <c r="PRO4" s="1962"/>
      <c r="PRP4" s="1962"/>
      <c r="PRQ4" s="1962"/>
      <c r="PRR4" s="1962"/>
      <c r="PRS4" s="1962"/>
      <c r="PRT4" s="1962"/>
      <c r="PRU4" s="1962"/>
      <c r="PRV4" s="1962"/>
      <c r="PRW4" s="1962"/>
      <c r="PRX4" s="1962"/>
      <c r="PRY4" s="1962"/>
      <c r="PRZ4" s="1962"/>
      <c r="PSA4" s="1962"/>
      <c r="PSB4" s="1962"/>
      <c r="PSC4" s="1962"/>
      <c r="PSD4" s="1962"/>
      <c r="PSE4" s="1962"/>
      <c r="PSF4" s="1962"/>
      <c r="PSG4" s="1962"/>
      <c r="PSH4" s="1962"/>
      <c r="PSI4" s="1962"/>
      <c r="PSJ4" s="1962"/>
      <c r="PSK4" s="1962"/>
      <c r="PSL4" s="1962"/>
      <c r="PSM4" s="1962"/>
      <c r="PSN4" s="1962"/>
      <c r="PSO4" s="1962"/>
      <c r="PSP4" s="1962"/>
      <c r="PSQ4" s="1962"/>
      <c r="PSR4" s="1962"/>
      <c r="PSS4" s="1962"/>
      <c r="PST4" s="1962"/>
      <c r="PSU4" s="1962"/>
      <c r="PSV4" s="1962"/>
      <c r="PSW4" s="1962"/>
      <c r="PSX4" s="1962"/>
      <c r="PSY4" s="1962"/>
      <c r="PSZ4" s="1962"/>
      <c r="PTA4" s="1962"/>
      <c r="PTB4" s="1962"/>
      <c r="PTC4" s="1962"/>
      <c r="PTD4" s="1962"/>
      <c r="PTE4" s="1962"/>
      <c r="PTF4" s="1962"/>
      <c r="PTG4" s="1962"/>
      <c r="PTH4" s="1962"/>
      <c r="PTI4" s="1962"/>
      <c r="PTJ4" s="1962"/>
      <c r="PTK4" s="1962"/>
      <c r="PTL4" s="1962"/>
      <c r="PTM4" s="1962"/>
      <c r="PTN4" s="1962"/>
      <c r="PTO4" s="1962"/>
      <c r="PTP4" s="1962"/>
      <c r="PTQ4" s="1962"/>
      <c r="PTR4" s="1962"/>
      <c r="PTS4" s="1962"/>
      <c r="PTT4" s="1962"/>
      <c r="PTU4" s="1962"/>
      <c r="PTV4" s="1962"/>
      <c r="PTW4" s="1962"/>
      <c r="PTX4" s="1962"/>
      <c r="PTY4" s="1962"/>
      <c r="PTZ4" s="1962"/>
      <c r="PUA4" s="1962"/>
      <c r="PUB4" s="1962"/>
      <c r="PUC4" s="1962"/>
      <c r="PUD4" s="1962"/>
      <c r="PUE4" s="1962"/>
      <c r="PUF4" s="1962"/>
      <c r="PUG4" s="1962"/>
      <c r="PUH4" s="1962"/>
      <c r="PUI4" s="1962"/>
      <c r="PUJ4" s="1962"/>
      <c r="PUK4" s="1962"/>
      <c r="PUL4" s="1962"/>
      <c r="PUM4" s="1962"/>
      <c r="PUN4" s="1962"/>
      <c r="PUO4" s="1962"/>
      <c r="PUP4" s="1962"/>
      <c r="PUQ4" s="1962"/>
      <c r="PUR4" s="1962"/>
      <c r="PUS4" s="1962"/>
      <c r="PUT4" s="1962"/>
      <c r="PUU4" s="1962"/>
      <c r="PUV4" s="1962"/>
      <c r="PUW4" s="1962"/>
      <c r="PUX4" s="1962"/>
      <c r="PUY4" s="1962"/>
      <c r="PUZ4" s="1962"/>
      <c r="PVA4" s="1962"/>
      <c r="PVB4" s="1962"/>
      <c r="PVC4" s="1962"/>
      <c r="PVD4" s="1962"/>
      <c r="PVE4" s="1962"/>
      <c r="PVF4" s="1962"/>
      <c r="PVG4" s="1962"/>
      <c r="PVH4" s="1962"/>
      <c r="PVI4" s="1962"/>
      <c r="PVJ4" s="1962"/>
      <c r="PVK4" s="1962"/>
      <c r="PVL4" s="1962"/>
      <c r="PVM4" s="1962"/>
      <c r="PVN4" s="1962"/>
      <c r="PVO4" s="1962"/>
      <c r="PVP4" s="1962"/>
      <c r="PVQ4" s="1962"/>
      <c r="PVR4" s="1962"/>
      <c r="PVS4" s="1962"/>
      <c r="PVT4" s="1962"/>
      <c r="PVU4" s="1962"/>
      <c r="PVV4" s="1962"/>
      <c r="PVW4" s="1962"/>
      <c r="PVX4" s="1962"/>
      <c r="PVY4" s="1962"/>
      <c r="PVZ4" s="1962"/>
      <c r="PWA4" s="1962"/>
      <c r="PWB4" s="1962"/>
      <c r="PWC4" s="1962"/>
      <c r="PWD4" s="1962"/>
      <c r="PWE4" s="1962"/>
      <c r="PWF4" s="1962"/>
      <c r="PWG4" s="1962"/>
      <c r="PWH4" s="1962"/>
      <c r="PWI4" s="1962"/>
      <c r="PWJ4" s="1962"/>
      <c r="PWK4" s="1962"/>
      <c r="PWL4" s="1962"/>
      <c r="PWM4" s="1962"/>
      <c r="PWN4" s="1962"/>
      <c r="PWO4" s="1962"/>
      <c r="PWP4" s="1962"/>
      <c r="PWQ4" s="1962"/>
      <c r="PWR4" s="1962"/>
      <c r="PWS4" s="1962"/>
      <c r="PWT4" s="1962"/>
      <c r="PWU4" s="1962"/>
      <c r="PWV4" s="1962"/>
      <c r="PWW4" s="1962"/>
      <c r="PWX4" s="1962"/>
      <c r="PWY4" s="1962"/>
      <c r="PWZ4" s="1962"/>
      <c r="PXA4" s="1962"/>
      <c r="PXB4" s="1962"/>
      <c r="PXC4" s="1962"/>
      <c r="PXD4" s="1962"/>
      <c r="PXE4" s="1962"/>
      <c r="PXF4" s="1962"/>
      <c r="PXG4" s="1962"/>
      <c r="PXH4" s="1962"/>
      <c r="PXI4" s="1962"/>
      <c r="PXJ4" s="1962"/>
      <c r="PXK4" s="1962"/>
      <c r="PXL4" s="1962"/>
      <c r="PXM4" s="1962"/>
      <c r="PXN4" s="1962"/>
      <c r="PXO4" s="1962"/>
      <c r="PXP4" s="1962"/>
      <c r="PXQ4" s="1962"/>
      <c r="PXR4" s="1962"/>
      <c r="PXS4" s="1962"/>
      <c r="PXT4" s="1962"/>
      <c r="PXU4" s="1962"/>
      <c r="PXV4" s="1962"/>
      <c r="PXW4" s="1962"/>
      <c r="PXX4" s="1962"/>
      <c r="PXY4" s="1962"/>
      <c r="PXZ4" s="1962"/>
      <c r="PYA4" s="1962"/>
      <c r="PYB4" s="1962"/>
      <c r="PYC4" s="1962"/>
      <c r="PYD4" s="1962"/>
      <c r="PYE4" s="1962"/>
      <c r="PYF4" s="1962"/>
      <c r="PYG4" s="1962"/>
      <c r="PYH4" s="1962"/>
      <c r="PYI4" s="1962"/>
      <c r="PYJ4" s="1962"/>
      <c r="PYK4" s="1962"/>
      <c r="PYL4" s="1962"/>
      <c r="PYM4" s="1962"/>
      <c r="PYN4" s="1962"/>
      <c r="PYO4" s="1962"/>
      <c r="PYP4" s="1962"/>
      <c r="PYQ4" s="1962"/>
      <c r="PYR4" s="1962"/>
      <c r="PYS4" s="1962"/>
      <c r="PYT4" s="1962"/>
      <c r="PYU4" s="1962"/>
      <c r="PYV4" s="1962"/>
      <c r="PYW4" s="1962"/>
      <c r="PYX4" s="1962"/>
      <c r="PYY4" s="1962"/>
      <c r="PYZ4" s="1962"/>
      <c r="PZA4" s="1962"/>
      <c r="PZB4" s="1962"/>
      <c r="PZC4" s="1962"/>
      <c r="PZD4" s="1962"/>
      <c r="PZE4" s="1962"/>
      <c r="PZF4" s="1962"/>
      <c r="PZG4" s="1962"/>
      <c r="PZH4" s="1962"/>
      <c r="PZI4" s="1962"/>
      <c r="PZJ4" s="1962"/>
      <c r="PZK4" s="1962"/>
      <c r="PZL4" s="1962"/>
      <c r="PZM4" s="1962"/>
      <c r="PZN4" s="1962"/>
      <c r="PZO4" s="1962"/>
      <c r="PZP4" s="1962"/>
      <c r="PZQ4" s="1962"/>
      <c r="PZR4" s="1962"/>
      <c r="PZS4" s="1962"/>
      <c r="PZT4" s="1962"/>
      <c r="PZU4" s="1962"/>
      <c r="PZV4" s="1962"/>
      <c r="PZW4" s="1962"/>
      <c r="PZX4" s="1962"/>
      <c r="PZY4" s="1962"/>
      <c r="PZZ4" s="1962"/>
      <c r="QAA4" s="1962"/>
      <c r="QAB4" s="1962"/>
      <c r="QAC4" s="1962"/>
      <c r="QAD4" s="1962"/>
      <c r="QAE4" s="1962"/>
      <c r="QAF4" s="1962"/>
      <c r="QAG4" s="1962"/>
      <c r="QAH4" s="1962"/>
      <c r="QAI4" s="1962"/>
      <c r="QAJ4" s="1962"/>
      <c r="QAK4" s="1962"/>
      <c r="QAL4" s="1962"/>
      <c r="QAM4" s="1962"/>
      <c r="QAN4" s="1962"/>
      <c r="QAO4" s="1962"/>
      <c r="QAP4" s="1962"/>
      <c r="QAQ4" s="1962"/>
      <c r="QAR4" s="1962"/>
      <c r="QAS4" s="1962"/>
      <c r="QAT4" s="1962"/>
      <c r="QAU4" s="1962"/>
      <c r="QAV4" s="1962"/>
      <c r="QAW4" s="1962"/>
      <c r="QAX4" s="1962"/>
      <c r="QAY4" s="1962"/>
      <c r="QAZ4" s="1962"/>
      <c r="QBA4" s="1962"/>
      <c r="QBB4" s="1962"/>
      <c r="QBC4" s="1962"/>
      <c r="QBD4" s="1962"/>
      <c r="QBE4" s="1962"/>
      <c r="QBF4" s="1962"/>
      <c r="QBG4" s="1962"/>
      <c r="QBH4" s="1962"/>
      <c r="QBI4" s="1962"/>
      <c r="QBJ4" s="1962"/>
      <c r="QBK4" s="1962"/>
      <c r="QBL4" s="1962"/>
      <c r="QBM4" s="1962"/>
      <c r="QBN4" s="1962"/>
      <c r="QBO4" s="1962"/>
      <c r="QBP4" s="1962"/>
      <c r="QBQ4" s="1962"/>
      <c r="QBR4" s="1962"/>
      <c r="QBS4" s="1962"/>
      <c r="QBT4" s="1962"/>
      <c r="QBU4" s="1962"/>
      <c r="QBV4" s="1962"/>
      <c r="QBW4" s="1962"/>
      <c r="QBX4" s="1962"/>
      <c r="QBY4" s="1962"/>
      <c r="QBZ4" s="1962"/>
      <c r="QCA4" s="1962"/>
      <c r="QCB4" s="1962"/>
      <c r="QCC4" s="1962"/>
      <c r="QCD4" s="1962"/>
      <c r="QCE4" s="1962"/>
      <c r="QCF4" s="1962"/>
      <c r="QCG4" s="1962"/>
      <c r="QCH4" s="1962"/>
      <c r="QCI4" s="1962"/>
      <c r="QCJ4" s="1962"/>
      <c r="QCK4" s="1962"/>
      <c r="QCL4" s="1962"/>
      <c r="QCM4" s="1962"/>
      <c r="QCN4" s="1962"/>
      <c r="QCO4" s="1962"/>
      <c r="QCP4" s="1962"/>
      <c r="QCQ4" s="1962"/>
      <c r="QCR4" s="1962"/>
      <c r="QCS4" s="1962"/>
      <c r="QCT4" s="1962"/>
      <c r="QCU4" s="1962"/>
      <c r="QCV4" s="1962"/>
      <c r="QCW4" s="1962"/>
      <c r="QCX4" s="1962"/>
      <c r="QCY4" s="1962"/>
      <c r="QCZ4" s="1962"/>
      <c r="QDA4" s="1962"/>
      <c r="QDB4" s="1962"/>
      <c r="QDC4" s="1962"/>
      <c r="QDD4" s="1962"/>
      <c r="QDE4" s="1962"/>
      <c r="QDF4" s="1962"/>
      <c r="QDG4" s="1962"/>
      <c r="QDH4" s="1962"/>
      <c r="QDI4" s="1962"/>
      <c r="QDJ4" s="1962"/>
      <c r="QDK4" s="1962"/>
      <c r="QDL4" s="1962"/>
      <c r="QDM4" s="1962"/>
      <c r="QDN4" s="1962"/>
      <c r="QDO4" s="1962"/>
      <c r="QDP4" s="1962"/>
      <c r="QDQ4" s="1962"/>
      <c r="QDR4" s="1962"/>
      <c r="QDS4" s="1962"/>
      <c r="QDT4" s="1962"/>
      <c r="QDU4" s="1962"/>
      <c r="QDV4" s="1962"/>
      <c r="QDW4" s="1962"/>
      <c r="QDX4" s="1962"/>
      <c r="QDY4" s="1962"/>
      <c r="QDZ4" s="1962"/>
      <c r="QEA4" s="1962"/>
      <c r="QEB4" s="1962"/>
      <c r="QEC4" s="1962"/>
      <c r="QED4" s="1962"/>
      <c r="QEE4" s="1962"/>
      <c r="QEF4" s="1962"/>
      <c r="QEG4" s="1962"/>
      <c r="QEH4" s="1962"/>
      <c r="QEI4" s="1962"/>
      <c r="QEJ4" s="1962"/>
      <c r="QEK4" s="1962"/>
      <c r="QEL4" s="1962"/>
      <c r="QEM4" s="1962"/>
      <c r="QEN4" s="1962"/>
      <c r="QEO4" s="1962"/>
      <c r="QEP4" s="1962"/>
      <c r="QEQ4" s="1962"/>
      <c r="QER4" s="1962"/>
      <c r="QES4" s="1962"/>
      <c r="QET4" s="1962"/>
      <c r="QEU4" s="1962"/>
      <c r="QEV4" s="1962"/>
      <c r="QEW4" s="1962"/>
      <c r="QEX4" s="1962"/>
      <c r="QEY4" s="1962"/>
      <c r="QEZ4" s="1962"/>
      <c r="QFA4" s="1962"/>
      <c r="QFB4" s="1962"/>
      <c r="QFC4" s="1962"/>
      <c r="QFD4" s="1962"/>
      <c r="QFE4" s="1962"/>
      <c r="QFF4" s="1962"/>
      <c r="QFG4" s="1962"/>
      <c r="QFH4" s="1962"/>
      <c r="QFI4" s="1962"/>
      <c r="QFJ4" s="1962"/>
      <c r="QFK4" s="1962"/>
      <c r="QFL4" s="1962"/>
      <c r="QFM4" s="1962"/>
      <c r="QFN4" s="1962"/>
      <c r="QFO4" s="1962"/>
      <c r="QFP4" s="1962"/>
      <c r="QFQ4" s="1962"/>
      <c r="QFR4" s="1962"/>
      <c r="QFS4" s="1962"/>
      <c r="QFT4" s="1962"/>
      <c r="QFU4" s="1962"/>
      <c r="QFV4" s="1962"/>
      <c r="QFW4" s="1962"/>
      <c r="QFX4" s="1962"/>
      <c r="QFY4" s="1962"/>
      <c r="QFZ4" s="1962"/>
      <c r="QGA4" s="1962"/>
      <c r="QGB4" s="1962"/>
      <c r="QGC4" s="1962"/>
      <c r="QGD4" s="1962"/>
      <c r="QGE4" s="1962"/>
      <c r="QGF4" s="1962"/>
      <c r="QGG4" s="1962"/>
      <c r="QGH4" s="1962"/>
      <c r="QGI4" s="1962"/>
      <c r="QGJ4" s="1962"/>
      <c r="QGK4" s="1962"/>
      <c r="QGL4" s="1962"/>
      <c r="QGM4" s="1962"/>
      <c r="QGN4" s="1962"/>
      <c r="QGO4" s="1962"/>
      <c r="QGP4" s="1962"/>
      <c r="QGQ4" s="1962"/>
      <c r="QGR4" s="1962"/>
      <c r="QGS4" s="1962"/>
      <c r="QGT4" s="1962"/>
      <c r="QGU4" s="1962"/>
      <c r="QGV4" s="1962"/>
      <c r="QGW4" s="1962"/>
      <c r="QGX4" s="1962"/>
      <c r="QGY4" s="1962"/>
      <c r="QGZ4" s="1962"/>
      <c r="QHA4" s="1962"/>
      <c r="QHB4" s="1962"/>
      <c r="QHC4" s="1962"/>
      <c r="QHD4" s="1962"/>
      <c r="QHE4" s="1962"/>
      <c r="QHF4" s="1962"/>
      <c r="QHG4" s="1962"/>
      <c r="QHH4" s="1962"/>
      <c r="QHI4" s="1962"/>
      <c r="QHJ4" s="1962"/>
      <c r="QHK4" s="1962"/>
      <c r="QHL4" s="1962"/>
      <c r="QHM4" s="1962"/>
      <c r="QHN4" s="1962"/>
      <c r="QHO4" s="1962"/>
      <c r="QHP4" s="1962"/>
      <c r="QHQ4" s="1962"/>
      <c r="QHR4" s="1962"/>
      <c r="QHS4" s="1962"/>
      <c r="QHT4" s="1962"/>
      <c r="QHU4" s="1962"/>
      <c r="QHV4" s="1962"/>
      <c r="QHW4" s="1962"/>
      <c r="QHX4" s="1962"/>
      <c r="QHY4" s="1962"/>
      <c r="QHZ4" s="1962"/>
      <c r="QIA4" s="1962"/>
      <c r="QIB4" s="1962"/>
      <c r="QIC4" s="1962"/>
      <c r="QID4" s="1962"/>
      <c r="QIE4" s="1962"/>
      <c r="QIF4" s="1962"/>
      <c r="QIG4" s="1962"/>
      <c r="QIH4" s="1962"/>
      <c r="QII4" s="1962"/>
      <c r="QIJ4" s="1962"/>
      <c r="QIK4" s="1962"/>
      <c r="QIL4" s="1962"/>
      <c r="QIM4" s="1962"/>
      <c r="QIN4" s="1962"/>
      <c r="QIO4" s="1962"/>
      <c r="QIP4" s="1962"/>
      <c r="QIQ4" s="1962"/>
      <c r="QIR4" s="1962"/>
      <c r="QIS4" s="1962"/>
      <c r="QIT4" s="1962"/>
      <c r="QIU4" s="1962"/>
      <c r="QIV4" s="1962"/>
      <c r="QIW4" s="1962"/>
      <c r="QIX4" s="1962"/>
      <c r="QIY4" s="1962"/>
      <c r="QIZ4" s="1962"/>
      <c r="QJA4" s="1962"/>
      <c r="QJB4" s="1962"/>
      <c r="QJC4" s="1962"/>
      <c r="QJD4" s="1962"/>
      <c r="QJE4" s="1962"/>
      <c r="QJF4" s="1962"/>
      <c r="QJG4" s="1962"/>
      <c r="QJH4" s="1962"/>
      <c r="QJI4" s="1962"/>
      <c r="QJJ4" s="1962"/>
      <c r="QJK4" s="1962"/>
      <c r="QJL4" s="1962"/>
      <c r="QJM4" s="1962"/>
      <c r="QJN4" s="1962"/>
      <c r="QJO4" s="1962"/>
      <c r="QJP4" s="1962"/>
      <c r="QJQ4" s="1962"/>
      <c r="QJR4" s="1962"/>
      <c r="QJS4" s="1962"/>
      <c r="QJT4" s="1962"/>
      <c r="QJU4" s="1962"/>
      <c r="QJV4" s="1962"/>
      <c r="QJW4" s="1962"/>
      <c r="QJX4" s="1962"/>
      <c r="QJY4" s="1962"/>
      <c r="QJZ4" s="1962"/>
      <c r="QKA4" s="1962"/>
      <c r="QKB4" s="1962"/>
      <c r="QKC4" s="1962"/>
      <c r="QKD4" s="1962"/>
      <c r="QKE4" s="1962"/>
      <c r="QKF4" s="1962"/>
      <c r="QKG4" s="1962"/>
      <c r="QKH4" s="1962"/>
      <c r="QKI4" s="1962"/>
      <c r="QKJ4" s="1962"/>
      <c r="QKK4" s="1962"/>
      <c r="QKL4" s="1962"/>
      <c r="QKM4" s="1962"/>
      <c r="QKN4" s="1962"/>
      <c r="QKO4" s="1962"/>
      <c r="QKP4" s="1962"/>
      <c r="QKQ4" s="1962"/>
      <c r="QKR4" s="1962"/>
      <c r="QKS4" s="1962"/>
      <c r="QKT4" s="1962"/>
      <c r="QKU4" s="1962"/>
      <c r="QKV4" s="1962"/>
      <c r="QKW4" s="1962"/>
      <c r="QKX4" s="1962"/>
      <c r="QKY4" s="1962"/>
      <c r="QKZ4" s="1962"/>
      <c r="QLA4" s="1962"/>
      <c r="QLB4" s="1962"/>
      <c r="QLC4" s="1962"/>
      <c r="QLD4" s="1962"/>
      <c r="QLE4" s="1962"/>
      <c r="QLF4" s="1962"/>
      <c r="QLG4" s="1962"/>
      <c r="QLH4" s="1962"/>
      <c r="QLI4" s="1962"/>
      <c r="QLJ4" s="1962"/>
      <c r="QLK4" s="1962"/>
      <c r="QLL4" s="1962"/>
      <c r="QLM4" s="1962"/>
      <c r="QLN4" s="1962"/>
      <c r="QLO4" s="1962"/>
      <c r="QLP4" s="1962"/>
      <c r="QLQ4" s="1962"/>
      <c r="QLR4" s="1962"/>
      <c r="QLS4" s="1962"/>
      <c r="QLT4" s="1962"/>
      <c r="QLU4" s="1962"/>
      <c r="QLV4" s="1962"/>
      <c r="QLW4" s="1962"/>
      <c r="QLX4" s="1962"/>
      <c r="QLY4" s="1962"/>
      <c r="QLZ4" s="1962"/>
      <c r="QMA4" s="1962"/>
      <c r="QMB4" s="1962"/>
      <c r="QMC4" s="1962"/>
      <c r="QMD4" s="1962"/>
      <c r="QME4" s="1962"/>
      <c r="QMF4" s="1962"/>
      <c r="QMG4" s="1962"/>
      <c r="QMH4" s="1962"/>
      <c r="QMI4" s="1962"/>
      <c r="QMJ4" s="1962"/>
      <c r="QMK4" s="1962"/>
      <c r="QML4" s="1962"/>
      <c r="QMM4" s="1962"/>
      <c r="QMN4" s="1962"/>
      <c r="QMO4" s="1962"/>
      <c r="QMP4" s="1962"/>
      <c r="QMQ4" s="1962"/>
      <c r="QMR4" s="1962"/>
      <c r="QMS4" s="1962"/>
      <c r="QMT4" s="1962"/>
      <c r="QMU4" s="1962"/>
      <c r="QMV4" s="1962"/>
      <c r="QMW4" s="1962"/>
      <c r="QMX4" s="1962"/>
      <c r="QMY4" s="1962"/>
      <c r="QMZ4" s="1962"/>
      <c r="QNA4" s="1962"/>
      <c r="QNB4" s="1962"/>
      <c r="QNC4" s="1962"/>
      <c r="QND4" s="1962"/>
      <c r="QNE4" s="1962"/>
      <c r="QNF4" s="1962"/>
      <c r="QNG4" s="1962"/>
      <c r="QNH4" s="1962"/>
      <c r="QNI4" s="1962"/>
      <c r="QNJ4" s="1962"/>
      <c r="QNK4" s="1962"/>
      <c r="QNL4" s="1962"/>
      <c r="QNM4" s="1962"/>
      <c r="QNN4" s="1962"/>
      <c r="QNO4" s="1962"/>
      <c r="QNP4" s="1962"/>
      <c r="QNQ4" s="1962"/>
      <c r="QNR4" s="1962"/>
      <c r="QNS4" s="1962"/>
      <c r="QNT4" s="1962"/>
      <c r="QNU4" s="1962"/>
      <c r="QNV4" s="1962"/>
      <c r="QNW4" s="1962"/>
      <c r="QNX4" s="1962"/>
      <c r="QNY4" s="1962"/>
      <c r="QNZ4" s="1962"/>
      <c r="QOA4" s="1962"/>
      <c r="QOB4" s="1962"/>
      <c r="QOC4" s="1962"/>
      <c r="QOD4" s="1962"/>
      <c r="QOE4" s="1962"/>
      <c r="QOF4" s="1962"/>
      <c r="QOG4" s="1962"/>
      <c r="QOH4" s="1962"/>
      <c r="QOI4" s="1962"/>
      <c r="QOJ4" s="1962"/>
      <c r="QOK4" s="1962"/>
      <c r="QOL4" s="1962"/>
      <c r="QOM4" s="1962"/>
      <c r="QON4" s="1962"/>
      <c r="QOO4" s="1962"/>
      <c r="QOP4" s="1962"/>
      <c r="QOQ4" s="1962"/>
      <c r="QOR4" s="1962"/>
      <c r="QOS4" s="1962"/>
      <c r="QOT4" s="1962"/>
      <c r="QOU4" s="1962"/>
      <c r="QOV4" s="1962"/>
      <c r="QOW4" s="1962"/>
      <c r="QOX4" s="1962"/>
      <c r="QOY4" s="1962"/>
      <c r="QOZ4" s="1962"/>
      <c r="QPA4" s="1962"/>
      <c r="QPB4" s="1962"/>
      <c r="QPC4" s="1962"/>
      <c r="QPD4" s="1962"/>
      <c r="QPE4" s="1962"/>
      <c r="QPF4" s="1962"/>
      <c r="QPG4" s="1962"/>
      <c r="QPH4" s="1962"/>
      <c r="QPI4" s="1962"/>
      <c r="QPJ4" s="1962"/>
      <c r="QPK4" s="1962"/>
      <c r="QPL4" s="1962"/>
      <c r="QPM4" s="1962"/>
      <c r="QPN4" s="1962"/>
      <c r="QPO4" s="1962"/>
      <c r="QPP4" s="1962"/>
      <c r="QPQ4" s="1962"/>
      <c r="QPR4" s="1962"/>
      <c r="QPS4" s="1962"/>
      <c r="QPT4" s="1962"/>
      <c r="QPU4" s="1962"/>
      <c r="QPV4" s="1962"/>
      <c r="QPW4" s="1962"/>
      <c r="QPX4" s="1962"/>
      <c r="QPY4" s="1962"/>
      <c r="QPZ4" s="1962"/>
      <c r="QQA4" s="1962"/>
      <c r="QQB4" s="1962"/>
      <c r="QQC4" s="1962"/>
      <c r="QQD4" s="1962"/>
      <c r="QQE4" s="1962"/>
      <c r="QQF4" s="1962"/>
      <c r="QQG4" s="1962"/>
      <c r="QQH4" s="1962"/>
      <c r="QQI4" s="1962"/>
      <c r="QQJ4" s="1962"/>
      <c r="QQK4" s="1962"/>
      <c r="QQL4" s="1962"/>
      <c r="QQM4" s="1962"/>
      <c r="QQN4" s="1962"/>
      <c r="QQO4" s="1962"/>
      <c r="QQP4" s="1962"/>
      <c r="QQQ4" s="1962"/>
      <c r="QQR4" s="1962"/>
      <c r="QQS4" s="1962"/>
      <c r="QQT4" s="1962"/>
      <c r="QQU4" s="1962"/>
      <c r="QQV4" s="1962"/>
      <c r="QQW4" s="1962"/>
      <c r="QQX4" s="1962"/>
      <c r="QQY4" s="1962"/>
      <c r="QQZ4" s="1962"/>
      <c r="QRA4" s="1962"/>
      <c r="QRB4" s="1962"/>
      <c r="QRC4" s="1962"/>
      <c r="QRD4" s="1962"/>
      <c r="QRE4" s="1962"/>
      <c r="QRF4" s="1962"/>
      <c r="QRG4" s="1962"/>
      <c r="QRH4" s="1962"/>
      <c r="QRI4" s="1962"/>
      <c r="QRJ4" s="1962"/>
      <c r="QRK4" s="1962"/>
      <c r="QRL4" s="1962"/>
      <c r="QRM4" s="1962"/>
      <c r="QRN4" s="1962"/>
      <c r="QRO4" s="1962"/>
      <c r="QRP4" s="1962"/>
      <c r="QRQ4" s="1962"/>
      <c r="QRR4" s="1962"/>
      <c r="QRS4" s="1962"/>
      <c r="QRT4" s="1962"/>
      <c r="QRU4" s="1962"/>
      <c r="QRV4" s="1962"/>
      <c r="QRW4" s="1962"/>
      <c r="QRX4" s="1962"/>
      <c r="QRY4" s="1962"/>
      <c r="QRZ4" s="1962"/>
      <c r="QSA4" s="1962"/>
      <c r="QSB4" s="1962"/>
      <c r="QSC4" s="1962"/>
      <c r="QSD4" s="1962"/>
      <c r="QSE4" s="1962"/>
      <c r="QSF4" s="1962"/>
      <c r="QSG4" s="1962"/>
      <c r="QSH4" s="1962"/>
      <c r="QSI4" s="1962"/>
      <c r="QSJ4" s="1962"/>
      <c r="QSK4" s="1962"/>
      <c r="QSL4" s="1962"/>
      <c r="QSM4" s="1962"/>
      <c r="QSN4" s="1962"/>
      <c r="QSO4" s="1962"/>
      <c r="QSP4" s="1962"/>
      <c r="QSQ4" s="1962"/>
      <c r="QSR4" s="1962"/>
      <c r="QSS4" s="1962"/>
      <c r="QST4" s="1962"/>
      <c r="QSU4" s="1962"/>
      <c r="QSV4" s="1962"/>
      <c r="QSW4" s="1962"/>
      <c r="QSX4" s="1962"/>
      <c r="QSY4" s="1962"/>
      <c r="QSZ4" s="1962"/>
      <c r="QTA4" s="1962"/>
      <c r="QTB4" s="1962"/>
      <c r="QTC4" s="1962"/>
      <c r="QTD4" s="1962"/>
      <c r="QTE4" s="1962"/>
      <c r="QTF4" s="1962"/>
      <c r="QTG4" s="1962"/>
      <c r="QTH4" s="1962"/>
      <c r="QTI4" s="1962"/>
      <c r="QTJ4" s="1962"/>
      <c r="QTK4" s="1962"/>
      <c r="QTL4" s="1962"/>
      <c r="QTM4" s="1962"/>
      <c r="QTN4" s="1962"/>
      <c r="QTO4" s="1962"/>
      <c r="QTP4" s="1962"/>
      <c r="QTQ4" s="1962"/>
      <c r="QTR4" s="1962"/>
      <c r="QTS4" s="1962"/>
      <c r="QTT4" s="1962"/>
      <c r="QTU4" s="1962"/>
      <c r="QTV4" s="1962"/>
      <c r="QTW4" s="1962"/>
      <c r="QTX4" s="1962"/>
      <c r="QTY4" s="1962"/>
      <c r="QTZ4" s="1962"/>
      <c r="QUA4" s="1962"/>
      <c r="QUB4" s="1962"/>
      <c r="QUC4" s="1962"/>
      <c r="QUD4" s="1962"/>
      <c r="QUE4" s="1962"/>
      <c r="QUF4" s="1962"/>
      <c r="QUG4" s="1962"/>
      <c r="QUH4" s="1962"/>
      <c r="QUI4" s="1962"/>
      <c r="QUJ4" s="1962"/>
      <c r="QUK4" s="1962"/>
      <c r="QUL4" s="1962"/>
      <c r="QUM4" s="1962"/>
      <c r="QUN4" s="1962"/>
      <c r="QUO4" s="1962"/>
      <c r="QUP4" s="1962"/>
      <c r="QUQ4" s="1962"/>
      <c r="QUR4" s="1962"/>
      <c r="QUS4" s="1962"/>
      <c r="QUT4" s="1962"/>
      <c r="QUU4" s="1962"/>
      <c r="QUV4" s="1962"/>
      <c r="QUW4" s="1962"/>
      <c r="QUX4" s="1962"/>
      <c r="QUY4" s="1962"/>
      <c r="QUZ4" s="1962"/>
      <c r="QVA4" s="1962"/>
      <c r="QVB4" s="1962"/>
      <c r="QVC4" s="1962"/>
      <c r="QVD4" s="1962"/>
      <c r="QVE4" s="1962"/>
      <c r="QVF4" s="1962"/>
      <c r="QVG4" s="1962"/>
      <c r="QVH4" s="1962"/>
      <c r="QVI4" s="1962"/>
      <c r="QVJ4" s="1962"/>
      <c r="QVK4" s="1962"/>
      <c r="QVL4" s="1962"/>
      <c r="QVM4" s="1962"/>
      <c r="QVN4" s="1962"/>
      <c r="QVO4" s="1962"/>
      <c r="QVP4" s="1962"/>
      <c r="QVQ4" s="1962"/>
      <c r="QVR4" s="1962"/>
      <c r="QVS4" s="1962"/>
      <c r="QVT4" s="1962"/>
      <c r="QVU4" s="1962"/>
      <c r="QVV4" s="1962"/>
      <c r="QVW4" s="1962"/>
      <c r="QVX4" s="1962"/>
      <c r="QVY4" s="1962"/>
      <c r="QVZ4" s="1962"/>
      <c r="QWA4" s="1962"/>
      <c r="QWB4" s="1962"/>
      <c r="QWC4" s="1962"/>
      <c r="QWD4" s="1962"/>
      <c r="QWE4" s="1962"/>
      <c r="QWF4" s="1962"/>
      <c r="QWG4" s="1962"/>
      <c r="QWH4" s="1962"/>
      <c r="QWI4" s="1962"/>
      <c r="QWJ4" s="1962"/>
      <c r="QWK4" s="1962"/>
      <c r="QWL4" s="1962"/>
      <c r="QWM4" s="1962"/>
      <c r="QWN4" s="1962"/>
      <c r="QWO4" s="1962"/>
      <c r="QWP4" s="1962"/>
      <c r="QWQ4" s="1962"/>
      <c r="QWR4" s="1962"/>
      <c r="QWS4" s="1962"/>
      <c r="QWT4" s="1962"/>
      <c r="QWU4" s="1962"/>
      <c r="QWV4" s="1962"/>
      <c r="QWW4" s="1962"/>
      <c r="QWX4" s="1962"/>
      <c r="QWY4" s="1962"/>
      <c r="QWZ4" s="1962"/>
      <c r="QXA4" s="1962"/>
      <c r="QXB4" s="1962"/>
      <c r="QXC4" s="1962"/>
      <c r="QXD4" s="1962"/>
      <c r="QXE4" s="1962"/>
      <c r="QXF4" s="1962"/>
      <c r="QXG4" s="1962"/>
      <c r="QXH4" s="1962"/>
      <c r="QXI4" s="1962"/>
      <c r="QXJ4" s="1962"/>
      <c r="QXK4" s="1962"/>
      <c r="QXL4" s="1962"/>
      <c r="QXM4" s="1962"/>
      <c r="QXN4" s="1962"/>
      <c r="QXO4" s="1962"/>
      <c r="QXP4" s="1962"/>
      <c r="QXQ4" s="1962"/>
      <c r="QXR4" s="1962"/>
      <c r="QXS4" s="1962"/>
      <c r="QXT4" s="1962"/>
      <c r="QXU4" s="1962"/>
      <c r="QXV4" s="1962"/>
      <c r="QXW4" s="1962"/>
      <c r="QXX4" s="1962"/>
      <c r="QXY4" s="1962"/>
      <c r="QXZ4" s="1962"/>
      <c r="QYA4" s="1962"/>
      <c r="QYB4" s="1962"/>
      <c r="QYC4" s="1962"/>
      <c r="QYD4" s="1962"/>
      <c r="QYE4" s="1962"/>
      <c r="QYF4" s="1962"/>
      <c r="QYG4" s="1962"/>
      <c r="QYH4" s="1962"/>
      <c r="QYI4" s="1962"/>
      <c r="QYJ4" s="1962"/>
      <c r="QYK4" s="1962"/>
      <c r="QYL4" s="1962"/>
      <c r="QYM4" s="1962"/>
      <c r="QYN4" s="1962"/>
      <c r="QYO4" s="1962"/>
      <c r="QYP4" s="1962"/>
      <c r="QYQ4" s="1962"/>
      <c r="QYR4" s="1962"/>
      <c r="QYS4" s="1962"/>
      <c r="QYT4" s="1962"/>
      <c r="QYU4" s="1962"/>
      <c r="QYV4" s="1962"/>
      <c r="QYW4" s="1962"/>
      <c r="QYX4" s="1962"/>
      <c r="QYY4" s="1962"/>
      <c r="QYZ4" s="1962"/>
      <c r="QZA4" s="1962"/>
      <c r="QZB4" s="1962"/>
      <c r="QZC4" s="1962"/>
      <c r="QZD4" s="1962"/>
      <c r="QZE4" s="1962"/>
      <c r="QZF4" s="1962"/>
      <c r="QZG4" s="1962"/>
      <c r="QZH4" s="1962"/>
      <c r="QZI4" s="1962"/>
      <c r="QZJ4" s="1962"/>
      <c r="QZK4" s="1962"/>
      <c r="QZL4" s="1962"/>
      <c r="QZM4" s="1962"/>
      <c r="QZN4" s="1962"/>
      <c r="QZO4" s="1962"/>
      <c r="QZP4" s="1962"/>
      <c r="QZQ4" s="1962"/>
      <c r="QZR4" s="1962"/>
      <c r="QZS4" s="1962"/>
      <c r="QZT4" s="1962"/>
      <c r="QZU4" s="1962"/>
      <c r="QZV4" s="1962"/>
      <c r="QZW4" s="1962"/>
      <c r="QZX4" s="1962"/>
      <c r="QZY4" s="1962"/>
      <c r="QZZ4" s="1962"/>
      <c r="RAA4" s="1962"/>
      <c r="RAB4" s="1962"/>
      <c r="RAC4" s="1962"/>
      <c r="RAD4" s="1962"/>
      <c r="RAE4" s="1962"/>
      <c r="RAF4" s="1962"/>
      <c r="RAG4" s="1962"/>
      <c r="RAH4" s="1962"/>
      <c r="RAI4" s="1962"/>
      <c r="RAJ4" s="1962"/>
      <c r="RAK4" s="1962"/>
      <c r="RAL4" s="1962"/>
      <c r="RAM4" s="1962"/>
      <c r="RAN4" s="1962"/>
      <c r="RAO4" s="1962"/>
      <c r="RAP4" s="1962"/>
      <c r="RAQ4" s="1962"/>
      <c r="RAR4" s="1962"/>
      <c r="RAS4" s="1962"/>
      <c r="RAT4" s="1962"/>
      <c r="RAU4" s="1962"/>
      <c r="RAV4" s="1962"/>
      <c r="RAW4" s="1962"/>
      <c r="RAX4" s="1962"/>
      <c r="RAY4" s="1962"/>
      <c r="RAZ4" s="1962"/>
      <c r="RBA4" s="1962"/>
      <c r="RBB4" s="1962"/>
      <c r="RBC4" s="1962"/>
      <c r="RBD4" s="1962"/>
      <c r="RBE4" s="1962"/>
      <c r="RBF4" s="1962"/>
      <c r="RBG4" s="1962"/>
      <c r="RBH4" s="1962"/>
      <c r="RBI4" s="1962"/>
      <c r="RBJ4" s="1962"/>
      <c r="RBK4" s="1962"/>
      <c r="RBL4" s="1962"/>
      <c r="RBM4" s="1962"/>
      <c r="RBN4" s="1962"/>
      <c r="RBO4" s="1962"/>
      <c r="RBP4" s="1962"/>
      <c r="RBQ4" s="1962"/>
      <c r="RBR4" s="1962"/>
      <c r="RBS4" s="1962"/>
      <c r="RBT4" s="1962"/>
      <c r="RBU4" s="1962"/>
      <c r="RBV4" s="1962"/>
      <c r="RBW4" s="1962"/>
      <c r="RBX4" s="1962"/>
      <c r="RBY4" s="1962"/>
      <c r="RBZ4" s="1962"/>
      <c r="RCA4" s="1962"/>
      <c r="RCB4" s="1962"/>
      <c r="RCC4" s="1962"/>
      <c r="RCD4" s="1962"/>
      <c r="RCE4" s="1962"/>
      <c r="RCF4" s="1962"/>
      <c r="RCG4" s="1962"/>
      <c r="RCH4" s="1962"/>
      <c r="RCI4" s="1962"/>
      <c r="RCJ4" s="1962"/>
      <c r="RCK4" s="1962"/>
      <c r="RCL4" s="1962"/>
      <c r="RCM4" s="1962"/>
      <c r="RCN4" s="1962"/>
      <c r="RCO4" s="1962"/>
      <c r="RCP4" s="1962"/>
      <c r="RCQ4" s="1962"/>
      <c r="RCR4" s="1962"/>
      <c r="RCS4" s="1962"/>
      <c r="RCT4" s="1962"/>
      <c r="RCU4" s="1962"/>
      <c r="RCV4" s="1962"/>
      <c r="RCW4" s="1962"/>
      <c r="RCX4" s="1962"/>
      <c r="RCY4" s="1962"/>
      <c r="RCZ4" s="1962"/>
      <c r="RDA4" s="1962"/>
      <c r="RDB4" s="1962"/>
      <c r="RDC4" s="1962"/>
      <c r="RDD4" s="1962"/>
      <c r="RDE4" s="1962"/>
      <c r="RDF4" s="1962"/>
      <c r="RDG4" s="1962"/>
      <c r="RDH4" s="1962"/>
      <c r="RDI4" s="1962"/>
      <c r="RDJ4" s="1962"/>
      <c r="RDK4" s="1962"/>
      <c r="RDL4" s="1962"/>
      <c r="RDM4" s="1962"/>
      <c r="RDN4" s="1962"/>
      <c r="RDO4" s="1962"/>
      <c r="RDP4" s="1962"/>
      <c r="RDQ4" s="1962"/>
      <c r="RDR4" s="1962"/>
      <c r="RDS4" s="1962"/>
      <c r="RDT4" s="1962"/>
      <c r="RDU4" s="1962"/>
      <c r="RDV4" s="1962"/>
      <c r="RDW4" s="1962"/>
      <c r="RDX4" s="1962"/>
      <c r="RDY4" s="1962"/>
      <c r="RDZ4" s="1962"/>
      <c r="REA4" s="1962"/>
      <c r="REB4" s="1962"/>
      <c r="REC4" s="1962"/>
      <c r="RED4" s="1962"/>
      <c r="REE4" s="1962"/>
      <c r="REF4" s="1962"/>
      <c r="REG4" s="1962"/>
      <c r="REH4" s="1962"/>
      <c r="REI4" s="1962"/>
      <c r="REJ4" s="1962"/>
      <c r="REK4" s="1962"/>
      <c r="REL4" s="1962"/>
      <c r="REM4" s="1962"/>
      <c r="REN4" s="1962"/>
      <c r="REO4" s="1962"/>
      <c r="REP4" s="1962"/>
      <c r="REQ4" s="1962"/>
      <c r="RER4" s="1962"/>
      <c r="RES4" s="1962"/>
      <c r="RET4" s="1962"/>
      <c r="REU4" s="1962"/>
      <c r="REV4" s="1962"/>
      <c r="REW4" s="1962"/>
      <c r="REX4" s="1962"/>
      <c r="REY4" s="1962"/>
      <c r="REZ4" s="1962"/>
      <c r="RFA4" s="1962"/>
      <c r="RFB4" s="1962"/>
      <c r="RFC4" s="1962"/>
      <c r="RFD4" s="1962"/>
      <c r="RFE4" s="1962"/>
      <c r="RFF4" s="1962"/>
      <c r="RFG4" s="1962"/>
      <c r="RFH4" s="1962"/>
      <c r="RFI4" s="1962"/>
      <c r="RFJ4" s="1962"/>
      <c r="RFK4" s="1962"/>
      <c r="RFL4" s="1962"/>
      <c r="RFM4" s="1962"/>
      <c r="RFN4" s="1962"/>
      <c r="RFO4" s="1962"/>
      <c r="RFP4" s="1962"/>
      <c r="RFQ4" s="1962"/>
      <c r="RFR4" s="1962"/>
      <c r="RFS4" s="1962"/>
      <c r="RFT4" s="1962"/>
      <c r="RFU4" s="1962"/>
      <c r="RFV4" s="1962"/>
      <c r="RFW4" s="1962"/>
      <c r="RFX4" s="1962"/>
      <c r="RFY4" s="1962"/>
      <c r="RFZ4" s="1962"/>
      <c r="RGA4" s="1962"/>
      <c r="RGB4" s="1962"/>
      <c r="RGC4" s="1962"/>
      <c r="RGD4" s="1962"/>
      <c r="RGE4" s="1962"/>
      <c r="RGF4" s="1962"/>
      <c r="RGG4" s="1962"/>
      <c r="RGH4" s="1962"/>
      <c r="RGI4" s="1962"/>
      <c r="RGJ4" s="1962"/>
      <c r="RGK4" s="1962"/>
      <c r="RGL4" s="1962"/>
      <c r="RGM4" s="1962"/>
      <c r="RGN4" s="1962"/>
      <c r="RGO4" s="1962"/>
      <c r="RGP4" s="1962"/>
      <c r="RGQ4" s="1962"/>
      <c r="RGR4" s="1962"/>
      <c r="RGS4" s="1962"/>
      <c r="RGT4" s="1962"/>
      <c r="RGU4" s="1962"/>
      <c r="RGV4" s="1962"/>
      <c r="RGW4" s="1962"/>
      <c r="RGX4" s="1962"/>
      <c r="RGY4" s="1962"/>
      <c r="RGZ4" s="1962"/>
      <c r="RHA4" s="1962"/>
      <c r="RHB4" s="1962"/>
      <c r="RHC4" s="1962"/>
      <c r="RHD4" s="1962"/>
      <c r="RHE4" s="1962"/>
      <c r="RHF4" s="1962"/>
      <c r="RHG4" s="1962"/>
      <c r="RHH4" s="1962"/>
      <c r="RHI4" s="1962"/>
      <c r="RHJ4" s="1962"/>
      <c r="RHK4" s="1962"/>
      <c r="RHL4" s="1962"/>
      <c r="RHM4" s="1962"/>
      <c r="RHN4" s="1962"/>
      <c r="RHO4" s="1962"/>
      <c r="RHP4" s="1962"/>
      <c r="RHQ4" s="1962"/>
      <c r="RHR4" s="1962"/>
      <c r="RHS4" s="1962"/>
      <c r="RHT4" s="1962"/>
      <c r="RHU4" s="1962"/>
      <c r="RHV4" s="1962"/>
      <c r="RHW4" s="1962"/>
      <c r="RHX4" s="1962"/>
      <c r="RHY4" s="1962"/>
      <c r="RHZ4" s="1962"/>
      <c r="RIA4" s="1962"/>
      <c r="RIB4" s="1962"/>
      <c r="RIC4" s="1962"/>
      <c r="RID4" s="1962"/>
      <c r="RIE4" s="1962"/>
      <c r="RIF4" s="1962"/>
      <c r="RIG4" s="1962"/>
      <c r="RIH4" s="1962"/>
      <c r="RII4" s="1962"/>
      <c r="RIJ4" s="1962"/>
      <c r="RIK4" s="1962"/>
      <c r="RIL4" s="1962"/>
      <c r="RIM4" s="1962"/>
      <c r="RIN4" s="1962"/>
      <c r="RIO4" s="1962"/>
      <c r="RIP4" s="1962"/>
      <c r="RIQ4" s="1962"/>
      <c r="RIR4" s="1962"/>
      <c r="RIS4" s="1962"/>
      <c r="RIT4" s="1962"/>
      <c r="RIU4" s="1962"/>
      <c r="RIV4" s="1962"/>
      <c r="RIW4" s="1962"/>
      <c r="RIX4" s="1962"/>
      <c r="RIY4" s="1962"/>
      <c r="RIZ4" s="1962"/>
      <c r="RJA4" s="1962"/>
      <c r="RJB4" s="1962"/>
      <c r="RJC4" s="1962"/>
      <c r="RJD4" s="1962"/>
      <c r="RJE4" s="1962"/>
      <c r="RJF4" s="1962"/>
      <c r="RJG4" s="1962"/>
      <c r="RJH4" s="1962"/>
      <c r="RJI4" s="1962"/>
      <c r="RJJ4" s="1962"/>
      <c r="RJK4" s="1962"/>
      <c r="RJL4" s="1962"/>
      <c r="RJM4" s="1962"/>
      <c r="RJN4" s="1962"/>
      <c r="RJO4" s="1962"/>
      <c r="RJP4" s="1962"/>
      <c r="RJQ4" s="1962"/>
      <c r="RJR4" s="1962"/>
      <c r="RJS4" s="1962"/>
      <c r="RJT4" s="1962"/>
      <c r="RJU4" s="1962"/>
      <c r="RJV4" s="1962"/>
      <c r="RJW4" s="1962"/>
      <c r="RJX4" s="1962"/>
      <c r="RJY4" s="1962"/>
      <c r="RJZ4" s="1962"/>
      <c r="RKA4" s="1962"/>
      <c r="RKB4" s="1962"/>
      <c r="RKC4" s="1962"/>
      <c r="RKD4" s="1962"/>
      <c r="RKE4" s="1962"/>
      <c r="RKF4" s="1962"/>
      <c r="RKG4" s="1962"/>
      <c r="RKH4" s="1962"/>
      <c r="RKI4" s="1962"/>
      <c r="RKJ4" s="1962"/>
      <c r="RKK4" s="1962"/>
      <c r="RKL4" s="1962"/>
      <c r="RKM4" s="1962"/>
      <c r="RKN4" s="1962"/>
      <c r="RKO4" s="1962"/>
      <c r="RKP4" s="1962"/>
      <c r="RKQ4" s="1962"/>
      <c r="RKR4" s="1962"/>
      <c r="RKS4" s="1962"/>
      <c r="RKT4" s="1962"/>
      <c r="RKU4" s="1962"/>
      <c r="RKV4" s="1962"/>
      <c r="RKW4" s="1962"/>
      <c r="RKX4" s="1962"/>
      <c r="RKY4" s="1962"/>
      <c r="RKZ4" s="1962"/>
      <c r="RLA4" s="1962"/>
      <c r="RLB4" s="1962"/>
      <c r="RLC4" s="1962"/>
      <c r="RLD4" s="1962"/>
      <c r="RLE4" s="1962"/>
      <c r="RLF4" s="1962"/>
      <c r="RLG4" s="1962"/>
      <c r="RLH4" s="1962"/>
      <c r="RLI4" s="1962"/>
      <c r="RLJ4" s="1962"/>
      <c r="RLK4" s="1962"/>
      <c r="RLL4" s="1962"/>
      <c r="RLM4" s="1962"/>
      <c r="RLN4" s="1962"/>
      <c r="RLO4" s="1962"/>
      <c r="RLP4" s="1962"/>
      <c r="RLQ4" s="1962"/>
      <c r="RLR4" s="1962"/>
      <c r="RLS4" s="1962"/>
      <c r="RLT4" s="1962"/>
      <c r="RLU4" s="1962"/>
      <c r="RLV4" s="1962"/>
      <c r="RLW4" s="1962"/>
      <c r="RLX4" s="1962"/>
      <c r="RLY4" s="1962"/>
      <c r="RLZ4" s="1962"/>
      <c r="RMA4" s="1962"/>
      <c r="RMB4" s="1962"/>
      <c r="RMC4" s="1962"/>
      <c r="RMD4" s="1962"/>
      <c r="RME4" s="1962"/>
      <c r="RMF4" s="1962"/>
      <c r="RMG4" s="1962"/>
      <c r="RMH4" s="1962"/>
      <c r="RMI4" s="1962"/>
      <c r="RMJ4" s="1962"/>
      <c r="RMK4" s="1962"/>
      <c r="RML4" s="1962"/>
      <c r="RMM4" s="1962"/>
      <c r="RMN4" s="1962"/>
      <c r="RMO4" s="1962"/>
      <c r="RMP4" s="1962"/>
      <c r="RMQ4" s="1962"/>
      <c r="RMR4" s="1962"/>
      <c r="RMS4" s="1962"/>
      <c r="RMT4" s="1962"/>
      <c r="RMU4" s="1962"/>
      <c r="RMV4" s="1962"/>
      <c r="RMW4" s="1962"/>
      <c r="RMX4" s="1962"/>
      <c r="RMY4" s="1962"/>
      <c r="RMZ4" s="1962"/>
      <c r="RNA4" s="1962"/>
      <c r="RNB4" s="1962"/>
      <c r="RNC4" s="1962"/>
      <c r="RND4" s="1962"/>
      <c r="RNE4" s="1962"/>
      <c r="RNF4" s="1962"/>
      <c r="RNG4" s="1962"/>
      <c r="RNH4" s="1962"/>
      <c r="RNI4" s="1962"/>
      <c r="RNJ4" s="1962"/>
      <c r="RNK4" s="1962"/>
      <c r="RNL4" s="1962"/>
      <c r="RNM4" s="1962"/>
      <c r="RNN4" s="1962"/>
      <c r="RNO4" s="1962"/>
      <c r="RNP4" s="1962"/>
      <c r="RNQ4" s="1962"/>
      <c r="RNR4" s="1962"/>
      <c r="RNS4" s="1962"/>
      <c r="RNT4" s="1962"/>
      <c r="RNU4" s="1962"/>
      <c r="RNV4" s="1962"/>
      <c r="RNW4" s="1962"/>
      <c r="RNX4" s="1962"/>
      <c r="RNY4" s="1962"/>
      <c r="RNZ4" s="1962"/>
      <c r="ROA4" s="1962"/>
      <c r="ROB4" s="1962"/>
      <c r="ROC4" s="1962"/>
      <c r="ROD4" s="1962"/>
      <c r="ROE4" s="1962"/>
      <c r="ROF4" s="1962"/>
      <c r="ROG4" s="1962"/>
      <c r="ROH4" s="1962"/>
      <c r="ROI4" s="1962"/>
      <c r="ROJ4" s="1962"/>
      <c r="ROK4" s="1962"/>
      <c r="ROL4" s="1962"/>
      <c r="ROM4" s="1962"/>
      <c r="RON4" s="1962"/>
      <c r="ROO4" s="1962"/>
      <c r="ROP4" s="1962"/>
      <c r="ROQ4" s="1962"/>
      <c r="ROR4" s="1962"/>
      <c r="ROS4" s="1962"/>
      <c r="ROT4" s="1962"/>
      <c r="ROU4" s="1962"/>
      <c r="ROV4" s="1962"/>
      <c r="ROW4" s="1962"/>
      <c r="ROX4" s="1962"/>
      <c r="ROY4" s="1962"/>
      <c r="ROZ4" s="1962"/>
      <c r="RPA4" s="1962"/>
      <c r="RPB4" s="1962"/>
      <c r="RPC4" s="1962"/>
      <c r="RPD4" s="1962"/>
      <c r="RPE4" s="1962"/>
      <c r="RPF4" s="1962"/>
      <c r="RPG4" s="1962"/>
      <c r="RPH4" s="1962"/>
      <c r="RPI4" s="1962"/>
      <c r="RPJ4" s="1962"/>
      <c r="RPK4" s="1962"/>
      <c r="RPL4" s="1962"/>
      <c r="RPM4" s="1962"/>
      <c r="RPN4" s="1962"/>
      <c r="RPO4" s="1962"/>
      <c r="RPP4" s="1962"/>
      <c r="RPQ4" s="1962"/>
      <c r="RPR4" s="1962"/>
      <c r="RPS4" s="1962"/>
      <c r="RPT4" s="1962"/>
      <c r="RPU4" s="1962"/>
      <c r="RPV4" s="1962"/>
      <c r="RPW4" s="1962"/>
      <c r="RPX4" s="1962"/>
      <c r="RPY4" s="1962"/>
      <c r="RPZ4" s="1962"/>
      <c r="RQA4" s="1962"/>
      <c r="RQB4" s="1962"/>
      <c r="RQC4" s="1962"/>
      <c r="RQD4" s="1962"/>
      <c r="RQE4" s="1962"/>
      <c r="RQF4" s="1962"/>
      <c r="RQG4" s="1962"/>
      <c r="RQH4" s="1962"/>
      <c r="RQI4" s="1962"/>
      <c r="RQJ4" s="1962"/>
      <c r="RQK4" s="1962"/>
      <c r="RQL4" s="1962"/>
      <c r="RQM4" s="1962"/>
      <c r="RQN4" s="1962"/>
      <c r="RQO4" s="1962"/>
      <c r="RQP4" s="1962"/>
      <c r="RQQ4" s="1962"/>
      <c r="RQR4" s="1962"/>
      <c r="RQS4" s="1962"/>
      <c r="RQT4" s="1962"/>
      <c r="RQU4" s="1962"/>
      <c r="RQV4" s="1962"/>
      <c r="RQW4" s="1962"/>
      <c r="RQX4" s="1962"/>
      <c r="RQY4" s="1962"/>
      <c r="RQZ4" s="1962"/>
      <c r="RRA4" s="1962"/>
      <c r="RRB4" s="1962"/>
      <c r="RRC4" s="1962"/>
      <c r="RRD4" s="1962"/>
      <c r="RRE4" s="1962"/>
      <c r="RRF4" s="1962"/>
      <c r="RRG4" s="1962"/>
      <c r="RRH4" s="1962"/>
      <c r="RRI4" s="1962"/>
      <c r="RRJ4" s="1962"/>
      <c r="RRK4" s="1962"/>
      <c r="RRL4" s="1962"/>
      <c r="RRM4" s="1962"/>
      <c r="RRN4" s="1962"/>
      <c r="RRO4" s="1962"/>
      <c r="RRP4" s="1962"/>
      <c r="RRQ4" s="1962"/>
      <c r="RRR4" s="1962"/>
      <c r="RRS4" s="1962"/>
      <c r="RRT4" s="1962"/>
      <c r="RRU4" s="1962"/>
      <c r="RRV4" s="1962"/>
      <c r="RRW4" s="1962"/>
      <c r="RRX4" s="1962"/>
      <c r="RRY4" s="1962"/>
      <c r="RRZ4" s="1962"/>
      <c r="RSA4" s="1962"/>
      <c r="RSB4" s="1962"/>
      <c r="RSC4" s="1962"/>
      <c r="RSD4" s="1962"/>
      <c r="RSE4" s="1962"/>
      <c r="RSF4" s="1962"/>
      <c r="RSG4" s="1962"/>
      <c r="RSH4" s="1962"/>
      <c r="RSI4" s="1962"/>
      <c r="RSJ4" s="1962"/>
      <c r="RSK4" s="1962"/>
      <c r="RSL4" s="1962"/>
      <c r="RSM4" s="1962"/>
      <c r="RSN4" s="1962"/>
      <c r="RSO4" s="1962"/>
      <c r="RSP4" s="1962"/>
      <c r="RSQ4" s="1962"/>
      <c r="RSR4" s="1962"/>
      <c r="RSS4" s="1962"/>
      <c r="RST4" s="1962"/>
      <c r="RSU4" s="1962"/>
      <c r="RSV4" s="1962"/>
      <c r="RSW4" s="1962"/>
      <c r="RSX4" s="1962"/>
      <c r="RSY4" s="1962"/>
      <c r="RSZ4" s="1962"/>
      <c r="RTA4" s="1962"/>
      <c r="RTB4" s="1962"/>
      <c r="RTC4" s="1962"/>
      <c r="RTD4" s="1962"/>
      <c r="RTE4" s="1962"/>
      <c r="RTF4" s="1962"/>
      <c r="RTG4" s="1962"/>
      <c r="RTH4" s="1962"/>
      <c r="RTI4" s="1962"/>
      <c r="RTJ4" s="1962"/>
      <c r="RTK4" s="1962"/>
      <c r="RTL4" s="1962"/>
      <c r="RTM4" s="1962"/>
      <c r="RTN4" s="1962"/>
      <c r="RTO4" s="1962"/>
      <c r="RTP4" s="1962"/>
      <c r="RTQ4" s="1962"/>
      <c r="RTR4" s="1962"/>
      <c r="RTS4" s="1962"/>
      <c r="RTT4" s="1962"/>
      <c r="RTU4" s="1962"/>
      <c r="RTV4" s="1962"/>
      <c r="RTW4" s="1962"/>
      <c r="RTX4" s="1962"/>
      <c r="RTY4" s="1962"/>
      <c r="RTZ4" s="1962"/>
      <c r="RUA4" s="1962"/>
      <c r="RUB4" s="1962"/>
      <c r="RUC4" s="1962"/>
      <c r="RUD4" s="1962"/>
      <c r="RUE4" s="1962"/>
      <c r="RUF4" s="1962"/>
      <c r="RUG4" s="1962"/>
      <c r="RUH4" s="1962"/>
      <c r="RUI4" s="1962"/>
      <c r="RUJ4" s="1962"/>
      <c r="RUK4" s="1962"/>
      <c r="RUL4" s="1962"/>
      <c r="RUM4" s="1962"/>
      <c r="RUN4" s="1962"/>
      <c r="RUO4" s="1962"/>
      <c r="RUP4" s="1962"/>
      <c r="RUQ4" s="1962"/>
      <c r="RUR4" s="1962"/>
      <c r="RUS4" s="1962"/>
      <c r="RUT4" s="1962"/>
      <c r="RUU4" s="1962"/>
      <c r="RUV4" s="1962"/>
      <c r="RUW4" s="1962"/>
      <c r="RUX4" s="1962"/>
      <c r="RUY4" s="1962"/>
      <c r="RUZ4" s="1962"/>
      <c r="RVA4" s="1962"/>
      <c r="RVB4" s="1962"/>
      <c r="RVC4" s="1962"/>
      <c r="RVD4" s="1962"/>
      <c r="RVE4" s="1962"/>
      <c r="RVF4" s="1962"/>
      <c r="RVG4" s="1962"/>
      <c r="RVH4" s="1962"/>
      <c r="RVI4" s="1962"/>
      <c r="RVJ4" s="1962"/>
      <c r="RVK4" s="1962"/>
      <c r="RVL4" s="1962"/>
      <c r="RVM4" s="1962"/>
      <c r="RVN4" s="1962"/>
      <c r="RVO4" s="1962"/>
      <c r="RVP4" s="1962"/>
      <c r="RVQ4" s="1962"/>
      <c r="RVR4" s="1962"/>
      <c r="RVS4" s="1962"/>
      <c r="RVT4" s="1962"/>
      <c r="RVU4" s="1962"/>
      <c r="RVV4" s="1962"/>
      <c r="RVW4" s="1962"/>
      <c r="RVX4" s="1962"/>
      <c r="RVY4" s="1962"/>
      <c r="RVZ4" s="1962"/>
      <c r="RWA4" s="1962"/>
      <c r="RWB4" s="1962"/>
      <c r="RWC4" s="1962"/>
      <c r="RWD4" s="1962"/>
      <c r="RWE4" s="1962"/>
      <c r="RWF4" s="1962"/>
      <c r="RWG4" s="1962"/>
      <c r="RWH4" s="1962"/>
      <c r="RWI4" s="1962"/>
      <c r="RWJ4" s="1962"/>
      <c r="RWK4" s="1962"/>
      <c r="RWL4" s="1962"/>
      <c r="RWM4" s="1962"/>
      <c r="RWN4" s="1962"/>
      <c r="RWO4" s="1962"/>
      <c r="RWP4" s="1962"/>
      <c r="RWQ4" s="1962"/>
      <c r="RWR4" s="1962"/>
      <c r="RWS4" s="1962"/>
      <c r="RWT4" s="1962"/>
      <c r="RWU4" s="1962"/>
      <c r="RWV4" s="1962"/>
      <c r="RWW4" s="1962"/>
      <c r="RWX4" s="1962"/>
      <c r="RWY4" s="1962"/>
      <c r="RWZ4" s="1962"/>
      <c r="RXA4" s="1962"/>
      <c r="RXB4" s="1962"/>
      <c r="RXC4" s="1962"/>
      <c r="RXD4" s="1962"/>
      <c r="RXE4" s="1962"/>
      <c r="RXF4" s="1962"/>
      <c r="RXG4" s="1962"/>
      <c r="RXH4" s="1962"/>
      <c r="RXI4" s="1962"/>
      <c r="RXJ4" s="1962"/>
      <c r="RXK4" s="1962"/>
      <c r="RXL4" s="1962"/>
      <c r="RXM4" s="1962"/>
      <c r="RXN4" s="1962"/>
      <c r="RXO4" s="1962"/>
      <c r="RXP4" s="1962"/>
      <c r="RXQ4" s="1962"/>
      <c r="RXR4" s="1962"/>
      <c r="RXS4" s="1962"/>
      <c r="RXT4" s="1962"/>
      <c r="RXU4" s="1962"/>
      <c r="RXV4" s="1962"/>
      <c r="RXW4" s="1962"/>
      <c r="RXX4" s="1962"/>
      <c r="RXY4" s="1962"/>
      <c r="RXZ4" s="1962"/>
      <c r="RYA4" s="1962"/>
      <c r="RYB4" s="1962"/>
      <c r="RYC4" s="1962"/>
      <c r="RYD4" s="1962"/>
      <c r="RYE4" s="1962"/>
      <c r="RYF4" s="1962"/>
      <c r="RYG4" s="1962"/>
      <c r="RYH4" s="1962"/>
      <c r="RYI4" s="1962"/>
      <c r="RYJ4" s="1962"/>
      <c r="RYK4" s="1962"/>
      <c r="RYL4" s="1962"/>
      <c r="RYM4" s="1962"/>
      <c r="RYN4" s="1962"/>
      <c r="RYO4" s="1962"/>
      <c r="RYP4" s="1962"/>
      <c r="RYQ4" s="1962"/>
      <c r="RYR4" s="1962"/>
      <c r="RYS4" s="1962"/>
      <c r="RYT4" s="1962"/>
      <c r="RYU4" s="1962"/>
      <c r="RYV4" s="1962"/>
      <c r="RYW4" s="1962"/>
      <c r="RYX4" s="1962"/>
      <c r="RYY4" s="1962"/>
      <c r="RYZ4" s="1962"/>
      <c r="RZA4" s="1962"/>
      <c r="RZB4" s="1962"/>
      <c r="RZC4" s="1962"/>
      <c r="RZD4" s="1962"/>
      <c r="RZE4" s="1962"/>
      <c r="RZF4" s="1962"/>
      <c r="RZG4" s="1962"/>
      <c r="RZH4" s="1962"/>
      <c r="RZI4" s="1962"/>
      <c r="RZJ4" s="1962"/>
      <c r="RZK4" s="1962"/>
      <c r="RZL4" s="1962"/>
      <c r="RZM4" s="1962"/>
      <c r="RZN4" s="1962"/>
      <c r="RZO4" s="1962"/>
      <c r="RZP4" s="1962"/>
      <c r="RZQ4" s="1962"/>
      <c r="RZR4" s="1962"/>
      <c r="RZS4" s="1962"/>
      <c r="RZT4" s="1962"/>
      <c r="RZU4" s="1962"/>
      <c r="RZV4" s="1962"/>
      <c r="RZW4" s="1962"/>
      <c r="RZX4" s="1962"/>
      <c r="RZY4" s="1962"/>
      <c r="RZZ4" s="1962"/>
      <c r="SAA4" s="1962"/>
      <c r="SAB4" s="1962"/>
      <c r="SAC4" s="1962"/>
      <c r="SAD4" s="1962"/>
      <c r="SAE4" s="1962"/>
      <c r="SAF4" s="1962"/>
      <c r="SAG4" s="1962"/>
      <c r="SAH4" s="1962"/>
      <c r="SAI4" s="1962"/>
      <c r="SAJ4" s="1962"/>
      <c r="SAK4" s="1962"/>
      <c r="SAL4" s="1962"/>
      <c r="SAM4" s="1962"/>
      <c r="SAN4" s="1962"/>
      <c r="SAO4" s="1962"/>
      <c r="SAP4" s="1962"/>
      <c r="SAQ4" s="1962"/>
      <c r="SAR4" s="1962"/>
      <c r="SAS4" s="1962"/>
      <c r="SAT4" s="1962"/>
      <c r="SAU4" s="1962"/>
      <c r="SAV4" s="1962"/>
      <c r="SAW4" s="1962"/>
      <c r="SAX4" s="1962"/>
      <c r="SAY4" s="1962"/>
      <c r="SAZ4" s="1962"/>
      <c r="SBA4" s="1962"/>
      <c r="SBB4" s="1962"/>
      <c r="SBC4" s="1962"/>
      <c r="SBD4" s="1962"/>
      <c r="SBE4" s="1962"/>
      <c r="SBF4" s="1962"/>
      <c r="SBG4" s="1962"/>
      <c r="SBH4" s="1962"/>
      <c r="SBI4" s="1962"/>
      <c r="SBJ4" s="1962"/>
      <c r="SBK4" s="1962"/>
      <c r="SBL4" s="1962"/>
      <c r="SBM4" s="1962"/>
      <c r="SBN4" s="1962"/>
      <c r="SBO4" s="1962"/>
      <c r="SBP4" s="1962"/>
      <c r="SBQ4" s="1962"/>
      <c r="SBR4" s="1962"/>
      <c r="SBS4" s="1962"/>
      <c r="SBT4" s="1962"/>
      <c r="SBU4" s="1962"/>
      <c r="SBV4" s="1962"/>
      <c r="SBW4" s="1962"/>
      <c r="SBX4" s="1962"/>
      <c r="SBY4" s="1962"/>
      <c r="SBZ4" s="1962"/>
      <c r="SCA4" s="1962"/>
      <c r="SCB4" s="1962"/>
      <c r="SCC4" s="1962"/>
      <c r="SCD4" s="1962"/>
      <c r="SCE4" s="1962"/>
      <c r="SCF4" s="1962"/>
      <c r="SCG4" s="1962"/>
      <c r="SCH4" s="1962"/>
      <c r="SCI4" s="1962"/>
      <c r="SCJ4" s="1962"/>
      <c r="SCK4" s="1962"/>
      <c r="SCL4" s="1962"/>
      <c r="SCM4" s="1962"/>
      <c r="SCN4" s="1962"/>
      <c r="SCO4" s="1962"/>
      <c r="SCP4" s="1962"/>
      <c r="SCQ4" s="1962"/>
      <c r="SCR4" s="1962"/>
      <c r="SCS4" s="1962"/>
      <c r="SCT4" s="1962"/>
      <c r="SCU4" s="1962"/>
      <c r="SCV4" s="1962"/>
      <c r="SCW4" s="1962"/>
      <c r="SCX4" s="1962"/>
      <c r="SCY4" s="1962"/>
      <c r="SCZ4" s="1962"/>
      <c r="SDA4" s="1962"/>
      <c r="SDB4" s="1962"/>
      <c r="SDC4" s="1962"/>
      <c r="SDD4" s="1962"/>
      <c r="SDE4" s="1962"/>
      <c r="SDF4" s="1962"/>
      <c r="SDG4" s="1962"/>
      <c r="SDH4" s="1962"/>
      <c r="SDI4" s="1962"/>
      <c r="SDJ4" s="1962"/>
      <c r="SDK4" s="1962"/>
      <c r="SDL4" s="1962"/>
      <c r="SDM4" s="1962"/>
      <c r="SDN4" s="1962"/>
      <c r="SDO4" s="1962"/>
      <c r="SDP4" s="1962"/>
      <c r="SDQ4" s="1962"/>
      <c r="SDR4" s="1962"/>
      <c r="SDS4" s="1962"/>
      <c r="SDT4" s="1962"/>
      <c r="SDU4" s="1962"/>
      <c r="SDV4" s="1962"/>
      <c r="SDW4" s="1962"/>
      <c r="SDX4" s="1962"/>
      <c r="SDY4" s="1962"/>
      <c r="SDZ4" s="1962"/>
      <c r="SEA4" s="1962"/>
      <c r="SEB4" s="1962"/>
      <c r="SEC4" s="1962"/>
      <c r="SED4" s="1962"/>
      <c r="SEE4" s="1962"/>
      <c r="SEF4" s="1962"/>
      <c r="SEG4" s="1962"/>
      <c r="SEH4" s="1962"/>
      <c r="SEI4" s="1962"/>
      <c r="SEJ4" s="1962"/>
      <c r="SEK4" s="1962"/>
      <c r="SEL4" s="1962"/>
      <c r="SEM4" s="1962"/>
      <c r="SEN4" s="1962"/>
      <c r="SEO4" s="1962"/>
      <c r="SEP4" s="1962"/>
      <c r="SEQ4" s="1962"/>
      <c r="SER4" s="1962"/>
      <c r="SES4" s="1962"/>
      <c r="SET4" s="1962"/>
      <c r="SEU4" s="1962"/>
      <c r="SEV4" s="1962"/>
      <c r="SEW4" s="1962"/>
      <c r="SEX4" s="1962"/>
      <c r="SEY4" s="1962"/>
      <c r="SEZ4" s="1962"/>
      <c r="SFA4" s="1962"/>
      <c r="SFB4" s="1962"/>
      <c r="SFC4" s="1962"/>
      <c r="SFD4" s="1962"/>
      <c r="SFE4" s="1962"/>
      <c r="SFF4" s="1962"/>
      <c r="SFG4" s="1962"/>
      <c r="SFH4" s="1962"/>
      <c r="SFI4" s="1962"/>
      <c r="SFJ4" s="1962"/>
      <c r="SFK4" s="1962"/>
      <c r="SFL4" s="1962"/>
      <c r="SFM4" s="1962"/>
      <c r="SFN4" s="1962"/>
      <c r="SFO4" s="1962"/>
      <c r="SFP4" s="1962"/>
      <c r="SFQ4" s="1962"/>
      <c r="SFR4" s="1962"/>
      <c r="SFS4" s="1962"/>
      <c r="SFT4" s="1962"/>
      <c r="SFU4" s="1962"/>
      <c r="SFV4" s="1962"/>
      <c r="SFW4" s="1962"/>
      <c r="SFX4" s="1962"/>
      <c r="SFY4" s="1962"/>
      <c r="SFZ4" s="1962"/>
      <c r="SGA4" s="1962"/>
      <c r="SGB4" s="1962"/>
      <c r="SGC4" s="1962"/>
      <c r="SGD4" s="1962"/>
      <c r="SGE4" s="1962"/>
      <c r="SGF4" s="1962"/>
      <c r="SGG4" s="1962"/>
      <c r="SGH4" s="1962"/>
      <c r="SGI4" s="1962"/>
      <c r="SGJ4" s="1962"/>
      <c r="SGK4" s="1962"/>
      <c r="SGL4" s="1962"/>
      <c r="SGM4" s="1962"/>
      <c r="SGN4" s="1962"/>
      <c r="SGO4" s="1962"/>
      <c r="SGP4" s="1962"/>
      <c r="SGQ4" s="1962"/>
      <c r="SGR4" s="1962"/>
      <c r="SGS4" s="1962"/>
      <c r="SGT4" s="1962"/>
      <c r="SGU4" s="1962"/>
      <c r="SGV4" s="1962"/>
      <c r="SGW4" s="1962"/>
      <c r="SGX4" s="1962"/>
      <c r="SGY4" s="1962"/>
      <c r="SGZ4" s="1962"/>
      <c r="SHA4" s="1962"/>
      <c r="SHB4" s="1962"/>
      <c r="SHC4" s="1962"/>
      <c r="SHD4" s="1962"/>
      <c r="SHE4" s="1962"/>
      <c r="SHF4" s="1962"/>
      <c r="SHG4" s="1962"/>
      <c r="SHH4" s="1962"/>
      <c r="SHI4" s="1962"/>
      <c r="SHJ4" s="1962"/>
      <c r="SHK4" s="1962"/>
      <c r="SHL4" s="1962"/>
      <c r="SHM4" s="1962"/>
      <c r="SHN4" s="1962"/>
      <c r="SHO4" s="1962"/>
      <c r="SHP4" s="1962"/>
      <c r="SHQ4" s="1962"/>
      <c r="SHR4" s="1962"/>
      <c r="SHS4" s="1962"/>
      <c r="SHT4" s="1962"/>
      <c r="SHU4" s="1962"/>
      <c r="SHV4" s="1962"/>
      <c r="SHW4" s="1962"/>
      <c r="SHX4" s="1962"/>
      <c r="SHY4" s="1962"/>
      <c r="SHZ4" s="1962"/>
      <c r="SIA4" s="1962"/>
      <c r="SIB4" s="1962"/>
      <c r="SIC4" s="1962"/>
      <c r="SID4" s="1962"/>
      <c r="SIE4" s="1962"/>
      <c r="SIF4" s="1962"/>
      <c r="SIG4" s="1962"/>
      <c r="SIH4" s="1962"/>
      <c r="SII4" s="1962"/>
      <c r="SIJ4" s="1962"/>
      <c r="SIK4" s="1962"/>
      <c r="SIL4" s="1962"/>
      <c r="SIM4" s="1962"/>
      <c r="SIN4" s="1962"/>
      <c r="SIO4" s="1962"/>
      <c r="SIP4" s="1962"/>
      <c r="SIQ4" s="1962"/>
      <c r="SIR4" s="1962"/>
      <c r="SIS4" s="1962"/>
      <c r="SIT4" s="1962"/>
      <c r="SIU4" s="1962"/>
      <c r="SIV4" s="1962"/>
      <c r="SIW4" s="1962"/>
      <c r="SIX4" s="1962"/>
      <c r="SIY4" s="1962"/>
      <c r="SIZ4" s="1962"/>
      <c r="SJA4" s="1962"/>
      <c r="SJB4" s="1962"/>
      <c r="SJC4" s="1962"/>
      <c r="SJD4" s="1962"/>
      <c r="SJE4" s="1962"/>
      <c r="SJF4" s="1962"/>
      <c r="SJG4" s="1962"/>
      <c r="SJH4" s="1962"/>
      <c r="SJI4" s="1962"/>
      <c r="SJJ4" s="1962"/>
      <c r="SJK4" s="1962"/>
      <c r="SJL4" s="1962"/>
      <c r="SJM4" s="1962"/>
      <c r="SJN4" s="1962"/>
      <c r="SJO4" s="1962"/>
      <c r="SJP4" s="1962"/>
      <c r="SJQ4" s="1962"/>
      <c r="SJR4" s="1962"/>
      <c r="SJS4" s="1962"/>
      <c r="SJT4" s="1962"/>
      <c r="SJU4" s="1962"/>
      <c r="SJV4" s="1962"/>
      <c r="SJW4" s="1962"/>
      <c r="SJX4" s="1962"/>
      <c r="SJY4" s="1962"/>
      <c r="SJZ4" s="1962"/>
      <c r="SKA4" s="1962"/>
      <c r="SKB4" s="1962"/>
      <c r="SKC4" s="1962"/>
      <c r="SKD4" s="1962"/>
      <c r="SKE4" s="1962"/>
      <c r="SKF4" s="1962"/>
      <c r="SKG4" s="1962"/>
      <c r="SKH4" s="1962"/>
      <c r="SKI4" s="1962"/>
      <c r="SKJ4" s="1962"/>
      <c r="SKK4" s="1962"/>
      <c r="SKL4" s="1962"/>
      <c r="SKM4" s="1962"/>
      <c r="SKN4" s="1962"/>
      <c r="SKO4" s="1962"/>
      <c r="SKP4" s="1962"/>
      <c r="SKQ4" s="1962"/>
      <c r="SKR4" s="1962"/>
      <c r="SKS4" s="1962"/>
      <c r="SKT4" s="1962"/>
      <c r="SKU4" s="1962"/>
      <c r="SKV4" s="1962"/>
      <c r="SKW4" s="1962"/>
      <c r="SKX4" s="1962"/>
      <c r="SKY4" s="1962"/>
      <c r="SKZ4" s="1962"/>
      <c r="SLA4" s="1962"/>
      <c r="SLB4" s="1962"/>
      <c r="SLC4" s="1962"/>
      <c r="SLD4" s="1962"/>
      <c r="SLE4" s="1962"/>
      <c r="SLF4" s="1962"/>
      <c r="SLG4" s="1962"/>
      <c r="SLH4" s="1962"/>
      <c r="SLI4" s="1962"/>
      <c r="SLJ4" s="1962"/>
      <c r="SLK4" s="1962"/>
      <c r="SLL4" s="1962"/>
      <c r="SLM4" s="1962"/>
      <c r="SLN4" s="1962"/>
      <c r="SLO4" s="1962"/>
      <c r="SLP4" s="1962"/>
      <c r="SLQ4" s="1962"/>
      <c r="SLR4" s="1962"/>
      <c r="SLS4" s="1962"/>
      <c r="SLT4" s="1962"/>
      <c r="SLU4" s="1962"/>
      <c r="SLV4" s="1962"/>
      <c r="SLW4" s="1962"/>
      <c r="SLX4" s="1962"/>
      <c r="SLY4" s="1962"/>
      <c r="SLZ4" s="1962"/>
      <c r="SMA4" s="1962"/>
      <c r="SMB4" s="1962"/>
      <c r="SMC4" s="1962"/>
      <c r="SMD4" s="1962"/>
      <c r="SME4" s="1962"/>
      <c r="SMF4" s="1962"/>
      <c r="SMG4" s="1962"/>
      <c r="SMH4" s="1962"/>
      <c r="SMI4" s="1962"/>
      <c r="SMJ4" s="1962"/>
      <c r="SMK4" s="1962"/>
      <c r="SML4" s="1962"/>
      <c r="SMM4" s="1962"/>
      <c r="SMN4" s="1962"/>
      <c r="SMO4" s="1962"/>
      <c r="SMP4" s="1962"/>
      <c r="SMQ4" s="1962"/>
      <c r="SMR4" s="1962"/>
      <c r="SMS4" s="1962"/>
      <c r="SMT4" s="1962"/>
      <c r="SMU4" s="1962"/>
      <c r="SMV4" s="1962"/>
      <c r="SMW4" s="1962"/>
      <c r="SMX4" s="1962"/>
      <c r="SMY4" s="1962"/>
      <c r="SMZ4" s="1962"/>
      <c r="SNA4" s="1962"/>
      <c r="SNB4" s="1962"/>
      <c r="SNC4" s="1962"/>
      <c r="SND4" s="1962"/>
      <c r="SNE4" s="1962"/>
      <c r="SNF4" s="1962"/>
      <c r="SNG4" s="1962"/>
      <c r="SNH4" s="1962"/>
      <c r="SNI4" s="1962"/>
      <c r="SNJ4" s="1962"/>
      <c r="SNK4" s="1962"/>
      <c r="SNL4" s="1962"/>
      <c r="SNM4" s="1962"/>
      <c r="SNN4" s="1962"/>
      <c r="SNO4" s="1962"/>
      <c r="SNP4" s="1962"/>
      <c r="SNQ4" s="1962"/>
      <c r="SNR4" s="1962"/>
      <c r="SNS4" s="1962"/>
      <c r="SNT4" s="1962"/>
      <c r="SNU4" s="1962"/>
      <c r="SNV4" s="1962"/>
      <c r="SNW4" s="1962"/>
      <c r="SNX4" s="1962"/>
      <c r="SNY4" s="1962"/>
      <c r="SNZ4" s="1962"/>
      <c r="SOA4" s="1962"/>
      <c r="SOB4" s="1962"/>
      <c r="SOC4" s="1962"/>
      <c r="SOD4" s="1962"/>
      <c r="SOE4" s="1962"/>
      <c r="SOF4" s="1962"/>
      <c r="SOG4" s="1962"/>
      <c r="SOH4" s="1962"/>
      <c r="SOI4" s="1962"/>
      <c r="SOJ4" s="1962"/>
      <c r="SOK4" s="1962"/>
      <c r="SOL4" s="1962"/>
      <c r="SOM4" s="1962"/>
      <c r="SON4" s="1962"/>
      <c r="SOO4" s="1962"/>
      <c r="SOP4" s="1962"/>
      <c r="SOQ4" s="1962"/>
      <c r="SOR4" s="1962"/>
      <c r="SOS4" s="1962"/>
      <c r="SOT4" s="1962"/>
      <c r="SOU4" s="1962"/>
      <c r="SOV4" s="1962"/>
      <c r="SOW4" s="1962"/>
      <c r="SOX4" s="1962"/>
      <c r="SOY4" s="1962"/>
      <c r="SOZ4" s="1962"/>
      <c r="SPA4" s="1962"/>
      <c r="SPB4" s="1962"/>
      <c r="SPC4" s="1962"/>
      <c r="SPD4" s="1962"/>
      <c r="SPE4" s="1962"/>
      <c r="SPF4" s="1962"/>
      <c r="SPG4" s="1962"/>
      <c r="SPH4" s="1962"/>
      <c r="SPI4" s="1962"/>
      <c r="SPJ4" s="1962"/>
      <c r="SPK4" s="1962"/>
      <c r="SPL4" s="1962"/>
      <c r="SPM4" s="1962"/>
      <c r="SPN4" s="1962"/>
      <c r="SPO4" s="1962"/>
      <c r="SPP4" s="1962"/>
      <c r="SPQ4" s="1962"/>
      <c r="SPR4" s="1962"/>
      <c r="SPS4" s="1962"/>
      <c r="SPT4" s="1962"/>
      <c r="SPU4" s="1962"/>
      <c r="SPV4" s="1962"/>
      <c r="SPW4" s="1962"/>
      <c r="SPX4" s="1962"/>
      <c r="SPY4" s="1962"/>
      <c r="SPZ4" s="1962"/>
      <c r="SQA4" s="1962"/>
      <c r="SQB4" s="1962"/>
      <c r="SQC4" s="1962"/>
      <c r="SQD4" s="1962"/>
      <c r="SQE4" s="1962"/>
      <c r="SQF4" s="1962"/>
      <c r="SQG4" s="1962"/>
      <c r="SQH4" s="1962"/>
      <c r="SQI4" s="1962"/>
      <c r="SQJ4" s="1962"/>
      <c r="SQK4" s="1962"/>
      <c r="SQL4" s="1962"/>
      <c r="SQM4" s="1962"/>
      <c r="SQN4" s="1962"/>
      <c r="SQO4" s="1962"/>
      <c r="SQP4" s="1962"/>
      <c r="SQQ4" s="1962"/>
      <c r="SQR4" s="1962"/>
      <c r="SQS4" s="1962"/>
      <c r="SQT4" s="1962"/>
      <c r="SQU4" s="1962"/>
      <c r="SQV4" s="1962"/>
      <c r="SQW4" s="1962"/>
      <c r="SQX4" s="1962"/>
      <c r="SQY4" s="1962"/>
      <c r="SQZ4" s="1962"/>
      <c r="SRA4" s="1962"/>
      <c r="SRB4" s="1962"/>
      <c r="SRC4" s="1962"/>
      <c r="SRD4" s="1962"/>
      <c r="SRE4" s="1962"/>
      <c r="SRF4" s="1962"/>
      <c r="SRG4" s="1962"/>
      <c r="SRH4" s="1962"/>
      <c r="SRI4" s="1962"/>
      <c r="SRJ4" s="1962"/>
      <c r="SRK4" s="1962"/>
      <c r="SRL4" s="1962"/>
      <c r="SRM4" s="1962"/>
      <c r="SRN4" s="1962"/>
      <c r="SRO4" s="1962"/>
      <c r="SRP4" s="1962"/>
      <c r="SRQ4" s="1962"/>
      <c r="SRR4" s="1962"/>
      <c r="SRS4" s="1962"/>
      <c r="SRT4" s="1962"/>
      <c r="SRU4" s="1962"/>
      <c r="SRV4" s="1962"/>
      <c r="SRW4" s="1962"/>
      <c r="SRX4" s="1962"/>
      <c r="SRY4" s="1962"/>
      <c r="SRZ4" s="1962"/>
      <c r="SSA4" s="1962"/>
      <c r="SSB4" s="1962"/>
      <c r="SSC4" s="1962"/>
      <c r="SSD4" s="1962"/>
      <c r="SSE4" s="1962"/>
      <c r="SSF4" s="1962"/>
      <c r="SSG4" s="1962"/>
      <c r="SSH4" s="1962"/>
      <c r="SSI4" s="1962"/>
      <c r="SSJ4" s="1962"/>
      <c r="SSK4" s="1962"/>
      <c r="SSL4" s="1962"/>
      <c r="SSM4" s="1962"/>
      <c r="SSN4" s="1962"/>
      <c r="SSO4" s="1962"/>
      <c r="SSP4" s="1962"/>
      <c r="SSQ4" s="1962"/>
      <c r="SSR4" s="1962"/>
      <c r="SSS4" s="1962"/>
      <c r="SST4" s="1962"/>
      <c r="SSU4" s="1962"/>
      <c r="SSV4" s="1962"/>
      <c r="SSW4" s="1962"/>
      <c r="SSX4" s="1962"/>
      <c r="SSY4" s="1962"/>
      <c r="SSZ4" s="1962"/>
      <c r="STA4" s="1962"/>
      <c r="STB4" s="1962"/>
      <c r="STC4" s="1962"/>
      <c r="STD4" s="1962"/>
      <c r="STE4" s="1962"/>
      <c r="STF4" s="1962"/>
      <c r="STG4" s="1962"/>
      <c r="STH4" s="1962"/>
      <c r="STI4" s="1962"/>
      <c r="STJ4" s="1962"/>
      <c r="STK4" s="1962"/>
      <c r="STL4" s="1962"/>
      <c r="STM4" s="1962"/>
      <c r="STN4" s="1962"/>
      <c r="STO4" s="1962"/>
      <c r="STP4" s="1962"/>
      <c r="STQ4" s="1962"/>
      <c r="STR4" s="1962"/>
      <c r="STS4" s="1962"/>
      <c r="STT4" s="1962"/>
      <c r="STU4" s="1962"/>
      <c r="STV4" s="1962"/>
      <c r="STW4" s="1962"/>
      <c r="STX4" s="1962"/>
      <c r="STY4" s="1962"/>
      <c r="STZ4" s="1962"/>
      <c r="SUA4" s="1962"/>
      <c r="SUB4" s="1962"/>
      <c r="SUC4" s="1962"/>
      <c r="SUD4" s="1962"/>
      <c r="SUE4" s="1962"/>
      <c r="SUF4" s="1962"/>
      <c r="SUG4" s="1962"/>
      <c r="SUH4" s="1962"/>
      <c r="SUI4" s="1962"/>
      <c r="SUJ4" s="1962"/>
      <c r="SUK4" s="1962"/>
      <c r="SUL4" s="1962"/>
      <c r="SUM4" s="1962"/>
      <c r="SUN4" s="1962"/>
      <c r="SUO4" s="1962"/>
      <c r="SUP4" s="1962"/>
      <c r="SUQ4" s="1962"/>
      <c r="SUR4" s="1962"/>
      <c r="SUS4" s="1962"/>
      <c r="SUT4" s="1962"/>
      <c r="SUU4" s="1962"/>
      <c r="SUV4" s="1962"/>
      <c r="SUW4" s="1962"/>
      <c r="SUX4" s="1962"/>
      <c r="SUY4" s="1962"/>
      <c r="SUZ4" s="1962"/>
      <c r="SVA4" s="1962"/>
      <c r="SVB4" s="1962"/>
      <c r="SVC4" s="1962"/>
      <c r="SVD4" s="1962"/>
      <c r="SVE4" s="1962"/>
      <c r="SVF4" s="1962"/>
      <c r="SVG4" s="1962"/>
      <c r="SVH4" s="1962"/>
      <c r="SVI4" s="1962"/>
      <c r="SVJ4" s="1962"/>
      <c r="SVK4" s="1962"/>
      <c r="SVL4" s="1962"/>
      <c r="SVM4" s="1962"/>
      <c r="SVN4" s="1962"/>
      <c r="SVO4" s="1962"/>
      <c r="SVP4" s="1962"/>
      <c r="SVQ4" s="1962"/>
      <c r="SVR4" s="1962"/>
      <c r="SVS4" s="1962"/>
      <c r="SVT4" s="1962"/>
      <c r="SVU4" s="1962"/>
      <c r="SVV4" s="1962"/>
      <c r="SVW4" s="1962"/>
      <c r="SVX4" s="1962"/>
      <c r="SVY4" s="1962"/>
      <c r="SVZ4" s="1962"/>
      <c r="SWA4" s="1962"/>
      <c r="SWB4" s="1962"/>
      <c r="SWC4" s="1962"/>
      <c r="SWD4" s="1962"/>
      <c r="SWE4" s="1962"/>
      <c r="SWF4" s="1962"/>
      <c r="SWG4" s="1962"/>
      <c r="SWH4" s="1962"/>
      <c r="SWI4" s="1962"/>
      <c r="SWJ4" s="1962"/>
      <c r="SWK4" s="1962"/>
      <c r="SWL4" s="1962"/>
      <c r="SWM4" s="1962"/>
      <c r="SWN4" s="1962"/>
      <c r="SWO4" s="1962"/>
      <c r="SWP4" s="1962"/>
      <c r="SWQ4" s="1962"/>
      <c r="SWR4" s="1962"/>
      <c r="SWS4" s="1962"/>
      <c r="SWT4" s="1962"/>
      <c r="SWU4" s="1962"/>
      <c r="SWV4" s="1962"/>
      <c r="SWW4" s="1962"/>
      <c r="SWX4" s="1962"/>
      <c r="SWY4" s="1962"/>
      <c r="SWZ4" s="1962"/>
      <c r="SXA4" s="1962"/>
      <c r="SXB4" s="1962"/>
      <c r="SXC4" s="1962"/>
      <c r="SXD4" s="1962"/>
      <c r="SXE4" s="1962"/>
      <c r="SXF4" s="1962"/>
      <c r="SXG4" s="1962"/>
      <c r="SXH4" s="1962"/>
      <c r="SXI4" s="1962"/>
      <c r="SXJ4" s="1962"/>
      <c r="SXK4" s="1962"/>
      <c r="SXL4" s="1962"/>
      <c r="SXM4" s="1962"/>
      <c r="SXN4" s="1962"/>
      <c r="SXO4" s="1962"/>
      <c r="SXP4" s="1962"/>
      <c r="SXQ4" s="1962"/>
      <c r="SXR4" s="1962"/>
      <c r="SXS4" s="1962"/>
      <c r="SXT4" s="1962"/>
      <c r="SXU4" s="1962"/>
      <c r="SXV4" s="1962"/>
      <c r="SXW4" s="1962"/>
      <c r="SXX4" s="1962"/>
      <c r="SXY4" s="1962"/>
      <c r="SXZ4" s="1962"/>
      <c r="SYA4" s="1962"/>
      <c r="SYB4" s="1962"/>
      <c r="SYC4" s="1962"/>
      <c r="SYD4" s="1962"/>
      <c r="SYE4" s="1962"/>
      <c r="SYF4" s="1962"/>
      <c r="SYG4" s="1962"/>
      <c r="SYH4" s="1962"/>
      <c r="SYI4" s="1962"/>
      <c r="SYJ4" s="1962"/>
      <c r="SYK4" s="1962"/>
      <c r="SYL4" s="1962"/>
      <c r="SYM4" s="1962"/>
      <c r="SYN4" s="1962"/>
      <c r="SYO4" s="1962"/>
      <c r="SYP4" s="1962"/>
      <c r="SYQ4" s="1962"/>
      <c r="SYR4" s="1962"/>
      <c r="SYS4" s="1962"/>
      <c r="SYT4" s="1962"/>
      <c r="SYU4" s="1962"/>
      <c r="SYV4" s="1962"/>
      <c r="SYW4" s="1962"/>
      <c r="SYX4" s="1962"/>
      <c r="SYY4" s="1962"/>
      <c r="SYZ4" s="1962"/>
      <c r="SZA4" s="1962"/>
      <c r="SZB4" s="1962"/>
      <c r="SZC4" s="1962"/>
      <c r="SZD4" s="1962"/>
      <c r="SZE4" s="1962"/>
      <c r="SZF4" s="1962"/>
      <c r="SZG4" s="1962"/>
      <c r="SZH4" s="1962"/>
      <c r="SZI4" s="1962"/>
      <c r="SZJ4" s="1962"/>
      <c r="SZK4" s="1962"/>
      <c r="SZL4" s="1962"/>
      <c r="SZM4" s="1962"/>
      <c r="SZN4" s="1962"/>
      <c r="SZO4" s="1962"/>
      <c r="SZP4" s="1962"/>
      <c r="SZQ4" s="1962"/>
      <c r="SZR4" s="1962"/>
      <c r="SZS4" s="1962"/>
      <c r="SZT4" s="1962"/>
      <c r="SZU4" s="1962"/>
      <c r="SZV4" s="1962"/>
      <c r="SZW4" s="1962"/>
      <c r="SZX4" s="1962"/>
      <c r="SZY4" s="1962"/>
      <c r="SZZ4" s="1962"/>
      <c r="TAA4" s="1962"/>
      <c r="TAB4" s="1962"/>
      <c r="TAC4" s="1962"/>
      <c r="TAD4" s="1962"/>
      <c r="TAE4" s="1962"/>
      <c r="TAF4" s="1962"/>
      <c r="TAG4" s="1962"/>
      <c r="TAH4" s="1962"/>
      <c r="TAI4" s="1962"/>
      <c r="TAJ4" s="1962"/>
      <c r="TAK4" s="1962"/>
      <c r="TAL4" s="1962"/>
      <c r="TAM4" s="1962"/>
      <c r="TAN4" s="1962"/>
      <c r="TAO4" s="1962"/>
      <c r="TAP4" s="1962"/>
      <c r="TAQ4" s="1962"/>
      <c r="TAR4" s="1962"/>
      <c r="TAS4" s="1962"/>
      <c r="TAT4" s="1962"/>
      <c r="TAU4" s="1962"/>
      <c r="TAV4" s="1962"/>
      <c r="TAW4" s="1962"/>
      <c r="TAX4" s="1962"/>
      <c r="TAY4" s="1962"/>
      <c r="TAZ4" s="1962"/>
      <c r="TBA4" s="1962"/>
      <c r="TBB4" s="1962"/>
      <c r="TBC4" s="1962"/>
      <c r="TBD4" s="1962"/>
      <c r="TBE4" s="1962"/>
      <c r="TBF4" s="1962"/>
      <c r="TBG4" s="1962"/>
      <c r="TBH4" s="1962"/>
      <c r="TBI4" s="1962"/>
      <c r="TBJ4" s="1962"/>
      <c r="TBK4" s="1962"/>
      <c r="TBL4" s="1962"/>
      <c r="TBM4" s="1962"/>
      <c r="TBN4" s="1962"/>
      <c r="TBO4" s="1962"/>
      <c r="TBP4" s="1962"/>
      <c r="TBQ4" s="1962"/>
      <c r="TBR4" s="1962"/>
      <c r="TBS4" s="1962"/>
      <c r="TBT4" s="1962"/>
      <c r="TBU4" s="1962"/>
      <c r="TBV4" s="1962"/>
      <c r="TBW4" s="1962"/>
      <c r="TBX4" s="1962"/>
      <c r="TBY4" s="1962"/>
      <c r="TBZ4" s="1962"/>
      <c r="TCA4" s="1962"/>
      <c r="TCB4" s="1962"/>
      <c r="TCC4" s="1962"/>
      <c r="TCD4" s="1962"/>
      <c r="TCE4" s="1962"/>
      <c r="TCF4" s="1962"/>
      <c r="TCG4" s="1962"/>
      <c r="TCH4" s="1962"/>
      <c r="TCI4" s="1962"/>
      <c r="TCJ4" s="1962"/>
      <c r="TCK4" s="1962"/>
      <c r="TCL4" s="1962"/>
      <c r="TCM4" s="1962"/>
      <c r="TCN4" s="1962"/>
      <c r="TCO4" s="1962"/>
      <c r="TCP4" s="1962"/>
      <c r="TCQ4" s="1962"/>
      <c r="TCR4" s="1962"/>
      <c r="TCS4" s="1962"/>
      <c r="TCT4" s="1962"/>
      <c r="TCU4" s="1962"/>
      <c r="TCV4" s="1962"/>
      <c r="TCW4" s="1962"/>
      <c r="TCX4" s="1962"/>
      <c r="TCY4" s="1962"/>
      <c r="TCZ4" s="1962"/>
      <c r="TDA4" s="1962"/>
      <c r="TDB4" s="1962"/>
      <c r="TDC4" s="1962"/>
      <c r="TDD4" s="1962"/>
      <c r="TDE4" s="1962"/>
      <c r="TDF4" s="1962"/>
      <c r="TDG4" s="1962"/>
      <c r="TDH4" s="1962"/>
      <c r="TDI4" s="1962"/>
      <c r="TDJ4" s="1962"/>
      <c r="TDK4" s="1962"/>
      <c r="TDL4" s="1962"/>
      <c r="TDM4" s="1962"/>
      <c r="TDN4" s="1962"/>
      <c r="TDO4" s="1962"/>
      <c r="TDP4" s="1962"/>
      <c r="TDQ4" s="1962"/>
      <c r="TDR4" s="1962"/>
      <c r="TDS4" s="1962"/>
      <c r="TDT4" s="1962"/>
      <c r="TDU4" s="1962"/>
      <c r="TDV4" s="1962"/>
      <c r="TDW4" s="1962"/>
      <c r="TDX4" s="1962"/>
      <c r="TDY4" s="1962"/>
      <c r="TDZ4" s="1962"/>
      <c r="TEA4" s="1962"/>
      <c r="TEB4" s="1962"/>
      <c r="TEC4" s="1962"/>
      <c r="TED4" s="1962"/>
      <c r="TEE4" s="1962"/>
      <c r="TEF4" s="1962"/>
      <c r="TEG4" s="1962"/>
      <c r="TEH4" s="1962"/>
      <c r="TEI4" s="1962"/>
      <c r="TEJ4" s="1962"/>
      <c r="TEK4" s="1962"/>
      <c r="TEL4" s="1962"/>
      <c r="TEM4" s="1962"/>
      <c r="TEN4" s="1962"/>
      <c r="TEO4" s="1962"/>
      <c r="TEP4" s="1962"/>
      <c r="TEQ4" s="1962"/>
      <c r="TER4" s="1962"/>
      <c r="TES4" s="1962"/>
      <c r="TET4" s="1962"/>
      <c r="TEU4" s="1962"/>
      <c r="TEV4" s="1962"/>
      <c r="TEW4" s="1962"/>
      <c r="TEX4" s="1962"/>
      <c r="TEY4" s="1962"/>
      <c r="TEZ4" s="1962"/>
      <c r="TFA4" s="1962"/>
      <c r="TFB4" s="1962"/>
      <c r="TFC4" s="1962"/>
      <c r="TFD4" s="1962"/>
      <c r="TFE4" s="1962"/>
      <c r="TFF4" s="1962"/>
      <c r="TFG4" s="1962"/>
      <c r="TFH4" s="1962"/>
      <c r="TFI4" s="1962"/>
      <c r="TFJ4" s="1962"/>
      <c r="TFK4" s="1962"/>
      <c r="TFL4" s="1962"/>
      <c r="TFM4" s="1962"/>
      <c r="TFN4" s="1962"/>
      <c r="TFO4" s="1962"/>
      <c r="TFP4" s="1962"/>
      <c r="TFQ4" s="1962"/>
      <c r="TFR4" s="1962"/>
      <c r="TFS4" s="1962"/>
      <c r="TFT4" s="1962"/>
      <c r="TFU4" s="1962"/>
      <c r="TFV4" s="1962"/>
      <c r="TFW4" s="1962"/>
      <c r="TFX4" s="1962"/>
      <c r="TFY4" s="1962"/>
      <c r="TFZ4" s="1962"/>
      <c r="TGA4" s="1962"/>
      <c r="TGB4" s="1962"/>
      <c r="TGC4" s="1962"/>
      <c r="TGD4" s="1962"/>
      <c r="TGE4" s="1962"/>
      <c r="TGF4" s="1962"/>
      <c r="TGG4" s="1962"/>
      <c r="TGH4" s="1962"/>
      <c r="TGI4" s="1962"/>
      <c r="TGJ4" s="1962"/>
      <c r="TGK4" s="1962"/>
      <c r="TGL4" s="1962"/>
      <c r="TGM4" s="1962"/>
      <c r="TGN4" s="1962"/>
      <c r="TGO4" s="1962"/>
      <c r="TGP4" s="1962"/>
      <c r="TGQ4" s="1962"/>
      <c r="TGR4" s="1962"/>
      <c r="TGS4" s="1962"/>
      <c r="TGT4" s="1962"/>
      <c r="TGU4" s="1962"/>
      <c r="TGV4" s="1962"/>
      <c r="TGW4" s="1962"/>
      <c r="TGX4" s="1962"/>
      <c r="TGY4" s="1962"/>
      <c r="TGZ4" s="1962"/>
      <c r="THA4" s="1962"/>
      <c r="THB4" s="1962"/>
      <c r="THC4" s="1962"/>
      <c r="THD4" s="1962"/>
      <c r="THE4" s="1962"/>
      <c r="THF4" s="1962"/>
      <c r="THG4" s="1962"/>
      <c r="THH4" s="1962"/>
      <c r="THI4" s="1962"/>
      <c r="THJ4" s="1962"/>
      <c r="THK4" s="1962"/>
      <c r="THL4" s="1962"/>
      <c r="THM4" s="1962"/>
      <c r="THN4" s="1962"/>
      <c r="THO4" s="1962"/>
      <c r="THP4" s="1962"/>
      <c r="THQ4" s="1962"/>
      <c r="THR4" s="1962"/>
      <c r="THS4" s="1962"/>
      <c r="THT4" s="1962"/>
      <c r="THU4" s="1962"/>
      <c r="THV4" s="1962"/>
      <c r="THW4" s="1962"/>
      <c r="THX4" s="1962"/>
      <c r="THY4" s="1962"/>
      <c r="THZ4" s="1962"/>
      <c r="TIA4" s="1962"/>
      <c r="TIB4" s="1962"/>
      <c r="TIC4" s="1962"/>
      <c r="TID4" s="1962"/>
      <c r="TIE4" s="1962"/>
      <c r="TIF4" s="1962"/>
      <c r="TIG4" s="1962"/>
      <c r="TIH4" s="1962"/>
      <c r="TII4" s="1962"/>
      <c r="TIJ4" s="1962"/>
      <c r="TIK4" s="1962"/>
      <c r="TIL4" s="1962"/>
      <c r="TIM4" s="1962"/>
      <c r="TIN4" s="1962"/>
      <c r="TIO4" s="1962"/>
      <c r="TIP4" s="1962"/>
      <c r="TIQ4" s="1962"/>
      <c r="TIR4" s="1962"/>
      <c r="TIS4" s="1962"/>
      <c r="TIT4" s="1962"/>
      <c r="TIU4" s="1962"/>
      <c r="TIV4" s="1962"/>
      <c r="TIW4" s="1962"/>
      <c r="TIX4" s="1962"/>
      <c r="TIY4" s="1962"/>
      <c r="TIZ4" s="1962"/>
      <c r="TJA4" s="1962"/>
      <c r="TJB4" s="1962"/>
      <c r="TJC4" s="1962"/>
      <c r="TJD4" s="1962"/>
      <c r="TJE4" s="1962"/>
      <c r="TJF4" s="1962"/>
      <c r="TJG4" s="1962"/>
      <c r="TJH4" s="1962"/>
      <c r="TJI4" s="1962"/>
      <c r="TJJ4" s="1962"/>
      <c r="TJK4" s="1962"/>
      <c r="TJL4" s="1962"/>
      <c r="TJM4" s="1962"/>
      <c r="TJN4" s="1962"/>
      <c r="TJO4" s="1962"/>
      <c r="TJP4" s="1962"/>
      <c r="TJQ4" s="1962"/>
      <c r="TJR4" s="1962"/>
      <c r="TJS4" s="1962"/>
      <c r="TJT4" s="1962"/>
      <c r="TJU4" s="1962"/>
      <c r="TJV4" s="1962"/>
      <c r="TJW4" s="1962"/>
      <c r="TJX4" s="1962"/>
      <c r="TJY4" s="1962"/>
      <c r="TJZ4" s="1962"/>
      <c r="TKA4" s="1962"/>
      <c r="TKB4" s="1962"/>
      <c r="TKC4" s="1962"/>
      <c r="TKD4" s="1962"/>
      <c r="TKE4" s="1962"/>
      <c r="TKF4" s="1962"/>
      <c r="TKG4" s="1962"/>
      <c r="TKH4" s="1962"/>
      <c r="TKI4" s="1962"/>
      <c r="TKJ4" s="1962"/>
      <c r="TKK4" s="1962"/>
      <c r="TKL4" s="1962"/>
      <c r="TKM4" s="1962"/>
      <c r="TKN4" s="1962"/>
      <c r="TKO4" s="1962"/>
      <c r="TKP4" s="1962"/>
      <c r="TKQ4" s="1962"/>
      <c r="TKR4" s="1962"/>
      <c r="TKS4" s="1962"/>
      <c r="TKT4" s="1962"/>
      <c r="TKU4" s="1962"/>
      <c r="TKV4" s="1962"/>
      <c r="TKW4" s="1962"/>
      <c r="TKX4" s="1962"/>
      <c r="TKY4" s="1962"/>
      <c r="TKZ4" s="1962"/>
      <c r="TLA4" s="1962"/>
      <c r="TLB4" s="1962"/>
      <c r="TLC4" s="1962"/>
      <c r="TLD4" s="1962"/>
      <c r="TLE4" s="1962"/>
      <c r="TLF4" s="1962"/>
      <c r="TLG4" s="1962"/>
      <c r="TLH4" s="1962"/>
      <c r="TLI4" s="1962"/>
      <c r="TLJ4" s="1962"/>
      <c r="TLK4" s="1962"/>
      <c r="TLL4" s="1962"/>
      <c r="TLM4" s="1962"/>
      <c r="TLN4" s="1962"/>
      <c r="TLO4" s="1962"/>
      <c r="TLP4" s="1962"/>
      <c r="TLQ4" s="1962"/>
      <c r="TLR4" s="1962"/>
      <c r="TLS4" s="1962"/>
      <c r="TLT4" s="1962"/>
      <c r="TLU4" s="1962"/>
      <c r="TLV4" s="1962"/>
      <c r="TLW4" s="1962"/>
      <c r="TLX4" s="1962"/>
      <c r="TLY4" s="1962"/>
      <c r="TLZ4" s="1962"/>
      <c r="TMA4" s="1962"/>
      <c r="TMB4" s="1962"/>
      <c r="TMC4" s="1962"/>
      <c r="TMD4" s="1962"/>
      <c r="TME4" s="1962"/>
      <c r="TMF4" s="1962"/>
      <c r="TMG4" s="1962"/>
      <c r="TMH4" s="1962"/>
      <c r="TMI4" s="1962"/>
      <c r="TMJ4" s="1962"/>
      <c r="TMK4" s="1962"/>
      <c r="TML4" s="1962"/>
      <c r="TMM4" s="1962"/>
      <c r="TMN4" s="1962"/>
      <c r="TMO4" s="1962"/>
      <c r="TMP4" s="1962"/>
      <c r="TMQ4" s="1962"/>
      <c r="TMR4" s="1962"/>
      <c r="TMS4" s="1962"/>
      <c r="TMT4" s="1962"/>
      <c r="TMU4" s="1962"/>
      <c r="TMV4" s="1962"/>
      <c r="TMW4" s="1962"/>
      <c r="TMX4" s="1962"/>
      <c r="TMY4" s="1962"/>
      <c r="TMZ4" s="1962"/>
      <c r="TNA4" s="1962"/>
      <c r="TNB4" s="1962"/>
      <c r="TNC4" s="1962"/>
      <c r="TND4" s="1962"/>
      <c r="TNE4" s="1962"/>
      <c r="TNF4" s="1962"/>
      <c r="TNG4" s="1962"/>
      <c r="TNH4" s="1962"/>
      <c r="TNI4" s="1962"/>
      <c r="TNJ4" s="1962"/>
      <c r="TNK4" s="1962"/>
      <c r="TNL4" s="1962"/>
      <c r="TNM4" s="1962"/>
      <c r="TNN4" s="1962"/>
      <c r="TNO4" s="1962"/>
      <c r="TNP4" s="1962"/>
      <c r="TNQ4" s="1962"/>
      <c r="TNR4" s="1962"/>
      <c r="TNS4" s="1962"/>
      <c r="TNT4" s="1962"/>
      <c r="TNU4" s="1962"/>
      <c r="TNV4" s="1962"/>
      <c r="TNW4" s="1962"/>
      <c r="TNX4" s="1962"/>
      <c r="TNY4" s="1962"/>
      <c r="TNZ4" s="1962"/>
      <c r="TOA4" s="1962"/>
      <c r="TOB4" s="1962"/>
      <c r="TOC4" s="1962"/>
      <c r="TOD4" s="1962"/>
      <c r="TOE4" s="1962"/>
      <c r="TOF4" s="1962"/>
      <c r="TOG4" s="1962"/>
      <c r="TOH4" s="1962"/>
      <c r="TOI4" s="1962"/>
      <c r="TOJ4" s="1962"/>
      <c r="TOK4" s="1962"/>
      <c r="TOL4" s="1962"/>
      <c r="TOM4" s="1962"/>
      <c r="TON4" s="1962"/>
      <c r="TOO4" s="1962"/>
      <c r="TOP4" s="1962"/>
      <c r="TOQ4" s="1962"/>
      <c r="TOR4" s="1962"/>
      <c r="TOS4" s="1962"/>
      <c r="TOT4" s="1962"/>
      <c r="TOU4" s="1962"/>
      <c r="TOV4" s="1962"/>
      <c r="TOW4" s="1962"/>
      <c r="TOX4" s="1962"/>
      <c r="TOY4" s="1962"/>
      <c r="TOZ4" s="1962"/>
      <c r="TPA4" s="1962"/>
      <c r="TPB4" s="1962"/>
      <c r="TPC4" s="1962"/>
      <c r="TPD4" s="1962"/>
      <c r="TPE4" s="1962"/>
      <c r="TPF4" s="1962"/>
      <c r="TPG4" s="1962"/>
      <c r="TPH4" s="1962"/>
      <c r="TPI4" s="1962"/>
      <c r="TPJ4" s="1962"/>
      <c r="TPK4" s="1962"/>
      <c r="TPL4" s="1962"/>
      <c r="TPM4" s="1962"/>
      <c r="TPN4" s="1962"/>
      <c r="TPO4" s="1962"/>
      <c r="TPP4" s="1962"/>
      <c r="TPQ4" s="1962"/>
      <c r="TPR4" s="1962"/>
      <c r="TPS4" s="1962"/>
      <c r="TPT4" s="1962"/>
      <c r="TPU4" s="1962"/>
      <c r="TPV4" s="1962"/>
      <c r="TPW4" s="1962"/>
      <c r="TPX4" s="1962"/>
      <c r="TPY4" s="1962"/>
      <c r="TPZ4" s="1962"/>
      <c r="TQA4" s="1962"/>
      <c r="TQB4" s="1962"/>
      <c r="TQC4" s="1962"/>
      <c r="TQD4" s="1962"/>
      <c r="TQE4" s="1962"/>
      <c r="TQF4" s="1962"/>
      <c r="TQG4" s="1962"/>
      <c r="TQH4" s="1962"/>
      <c r="TQI4" s="1962"/>
      <c r="TQJ4" s="1962"/>
      <c r="TQK4" s="1962"/>
      <c r="TQL4" s="1962"/>
      <c r="TQM4" s="1962"/>
      <c r="TQN4" s="1962"/>
      <c r="TQO4" s="1962"/>
      <c r="TQP4" s="1962"/>
      <c r="TQQ4" s="1962"/>
      <c r="TQR4" s="1962"/>
      <c r="TQS4" s="1962"/>
      <c r="TQT4" s="1962"/>
      <c r="TQU4" s="1962"/>
      <c r="TQV4" s="1962"/>
      <c r="TQW4" s="1962"/>
      <c r="TQX4" s="1962"/>
      <c r="TQY4" s="1962"/>
      <c r="TQZ4" s="1962"/>
      <c r="TRA4" s="1962"/>
      <c r="TRB4" s="1962"/>
      <c r="TRC4" s="1962"/>
      <c r="TRD4" s="1962"/>
      <c r="TRE4" s="1962"/>
      <c r="TRF4" s="1962"/>
      <c r="TRG4" s="1962"/>
      <c r="TRH4" s="1962"/>
      <c r="TRI4" s="1962"/>
      <c r="TRJ4" s="1962"/>
      <c r="TRK4" s="1962"/>
      <c r="TRL4" s="1962"/>
      <c r="TRM4" s="1962"/>
      <c r="TRN4" s="1962"/>
      <c r="TRO4" s="1962"/>
      <c r="TRP4" s="1962"/>
      <c r="TRQ4" s="1962"/>
      <c r="TRR4" s="1962"/>
      <c r="TRS4" s="1962"/>
      <c r="TRT4" s="1962"/>
      <c r="TRU4" s="1962"/>
      <c r="TRV4" s="1962"/>
      <c r="TRW4" s="1962"/>
      <c r="TRX4" s="1962"/>
      <c r="TRY4" s="1962"/>
      <c r="TRZ4" s="1962"/>
      <c r="TSA4" s="1962"/>
      <c r="TSB4" s="1962"/>
      <c r="TSC4" s="1962"/>
      <c r="TSD4" s="1962"/>
      <c r="TSE4" s="1962"/>
      <c r="TSF4" s="1962"/>
      <c r="TSG4" s="1962"/>
      <c r="TSH4" s="1962"/>
      <c r="TSI4" s="1962"/>
      <c r="TSJ4" s="1962"/>
      <c r="TSK4" s="1962"/>
      <c r="TSL4" s="1962"/>
      <c r="TSM4" s="1962"/>
      <c r="TSN4" s="1962"/>
      <c r="TSO4" s="1962"/>
      <c r="TSP4" s="1962"/>
      <c r="TSQ4" s="1962"/>
      <c r="TSR4" s="1962"/>
      <c r="TSS4" s="1962"/>
      <c r="TST4" s="1962"/>
      <c r="TSU4" s="1962"/>
      <c r="TSV4" s="1962"/>
      <c r="TSW4" s="1962"/>
      <c r="TSX4" s="1962"/>
      <c r="TSY4" s="1962"/>
      <c r="TSZ4" s="1962"/>
      <c r="TTA4" s="1962"/>
      <c r="TTB4" s="1962"/>
      <c r="TTC4" s="1962"/>
      <c r="TTD4" s="1962"/>
      <c r="TTE4" s="1962"/>
      <c r="TTF4" s="1962"/>
      <c r="TTG4" s="1962"/>
      <c r="TTH4" s="1962"/>
      <c r="TTI4" s="1962"/>
      <c r="TTJ4" s="1962"/>
      <c r="TTK4" s="1962"/>
      <c r="TTL4" s="1962"/>
      <c r="TTM4" s="1962"/>
      <c r="TTN4" s="1962"/>
      <c r="TTO4" s="1962"/>
      <c r="TTP4" s="1962"/>
      <c r="TTQ4" s="1962"/>
      <c r="TTR4" s="1962"/>
      <c r="TTS4" s="1962"/>
      <c r="TTT4" s="1962"/>
      <c r="TTU4" s="1962"/>
      <c r="TTV4" s="1962"/>
      <c r="TTW4" s="1962"/>
      <c r="TTX4" s="1962"/>
      <c r="TTY4" s="1962"/>
      <c r="TTZ4" s="1962"/>
      <c r="TUA4" s="1962"/>
      <c r="TUB4" s="1962"/>
      <c r="TUC4" s="1962"/>
      <c r="TUD4" s="1962"/>
      <c r="TUE4" s="1962"/>
      <c r="TUF4" s="1962"/>
      <c r="TUG4" s="1962"/>
      <c r="TUH4" s="1962"/>
      <c r="TUI4" s="1962"/>
      <c r="TUJ4" s="1962"/>
      <c r="TUK4" s="1962"/>
      <c r="TUL4" s="1962"/>
      <c r="TUM4" s="1962"/>
      <c r="TUN4" s="1962"/>
      <c r="TUO4" s="1962"/>
      <c r="TUP4" s="1962"/>
      <c r="TUQ4" s="1962"/>
      <c r="TUR4" s="1962"/>
      <c r="TUS4" s="1962"/>
      <c r="TUT4" s="1962"/>
      <c r="TUU4" s="1962"/>
      <c r="TUV4" s="1962"/>
      <c r="TUW4" s="1962"/>
      <c r="TUX4" s="1962"/>
      <c r="TUY4" s="1962"/>
      <c r="TUZ4" s="1962"/>
      <c r="TVA4" s="1962"/>
      <c r="TVB4" s="1962"/>
      <c r="TVC4" s="1962"/>
      <c r="TVD4" s="1962"/>
      <c r="TVE4" s="1962"/>
      <c r="TVF4" s="1962"/>
      <c r="TVG4" s="1962"/>
      <c r="TVH4" s="1962"/>
      <c r="TVI4" s="1962"/>
      <c r="TVJ4" s="1962"/>
      <c r="TVK4" s="1962"/>
      <c r="TVL4" s="1962"/>
      <c r="TVM4" s="1962"/>
      <c r="TVN4" s="1962"/>
      <c r="TVO4" s="1962"/>
      <c r="TVP4" s="1962"/>
      <c r="TVQ4" s="1962"/>
      <c r="TVR4" s="1962"/>
      <c r="TVS4" s="1962"/>
      <c r="TVT4" s="1962"/>
      <c r="TVU4" s="1962"/>
      <c r="TVV4" s="1962"/>
      <c r="TVW4" s="1962"/>
      <c r="TVX4" s="1962"/>
      <c r="TVY4" s="1962"/>
      <c r="TVZ4" s="1962"/>
      <c r="TWA4" s="1962"/>
      <c r="TWB4" s="1962"/>
      <c r="TWC4" s="1962"/>
      <c r="TWD4" s="1962"/>
      <c r="TWE4" s="1962"/>
      <c r="TWF4" s="1962"/>
      <c r="TWG4" s="1962"/>
      <c r="TWH4" s="1962"/>
      <c r="TWI4" s="1962"/>
      <c r="TWJ4" s="1962"/>
      <c r="TWK4" s="1962"/>
      <c r="TWL4" s="1962"/>
      <c r="TWM4" s="1962"/>
      <c r="TWN4" s="1962"/>
      <c r="TWO4" s="1962"/>
      <c r="TWP4" s="1962"/>
      <c r="TWQ4" s="1962"/>
      <c r="TWR4" s="1962"/>
      <c r="TWS4" s="1962"/>
      <c r="TWT4" s="1962"/>
      <c r="TWU4" s="1962"/>
      <c r="TWV4" s="1962"/>
      <c r="TWW4" s="1962"/>
      <c r="TWX4" s="1962"/>
      <c r="TWY4" s="1962"/>
      <c r="TWZ4" s="1962"/>
      <c r="TXA4" s="1962"/>
      <c r="TXB4" s="1962"/>
      <c r="TXC4" s="1962"/>
      <c r="TXD4" s="1962"/>
      <c r="TXE4" s="1962"/>
      <c r="TXF4" s="1962"/>
      <c r="TXG4" s="1962"/>
      <c r="TXH4" s="1962"/>
      <c r="TXI4" s="1962"/>
      <c r="TXJ4" s="1962"/>
      <c r="TXK4" s="1962"/>
      <c r="TXL4" s="1962"/>
      <c r="TXM4" s="1962"/>
      <c r="TXN4" s="1962"/>
      <c r="TXO4" s="1962"/>
      <c r="TXP4" s="1962"/>
      <c r="TXQ4" s="1962"/>
      <c r="TXR4" s="1962"/>
      <c r="TXS4" s="1962"/>
      <c r="TXT4" s="1962"/>
      <c r="TXU4" s="1962"/>
      <c r="TXV4" s="1962"/>
      <c r="TXW4" s="1962"/>
      <c r="TXX4" s="1962"/>
      <c r="TXY4" s="1962"/>
      <c r="TXZ4" s="1962"/>
      <c r="TYA4" s="1962"/>
      <c r="TYB4" s="1962"/>
      <c r="TYC4" s="1962"/>
      <c r="TYD4" s="1962"/>
      <c r="TYE4" s="1962"/>
      <c r="TYF4" s="1962"/>
      <c r="TYG4" s="1962"/>
      <c r="TYH4" s="1962"/>
      <c r="TYI4" s="1962"/>
      <c r="TYJ4" s="1962"/>
      <c r="TYK4" s="1962"/>
      <c r="TYL4" s="1962"/>
      <c r="TYM4" s="1962"/>
      <c r="TYN4" s="1962"/>
      <c r="TYO4" s="1962"/>
      <c r="TYP4" s="1962"/>
      <c r="TYQ4" s="1962"/>
      <c r="TYR4" s="1962"/>
      <c r="TYS4" s="1962"/>
      <c r="TYT4" s="1962"/>
      <c r="TYU4" s="1962"/>
      <c r="TYV4" s="1962"/>
      <c r="TYW4" s="1962"/>
      <c r="TYX4" s="1962"/>
      <c r="TYY4" s="1962"/>
      <c r="TYZ4" s="1962"/>
      <c r="TZA4" s="1962"/>
      <c r="TZB4" s="1962"/>
      <c r="TZC4" s="1962"/>
      <c r="TZD4" s="1962"/>
      <c r="TZE4" s="1962"/>
      <c r="TZF4" s="1962"/>
      <c r="TZG4" s="1962"/>
      <c r="TZH4" s="1962"/>
      <c r="TZI4" s="1962"/>
      <c r="TZJ4" s="1962"/>
      <c r="TZK4" s="1962"/>
      <c r="TZL4" s="1962"/>
      <c r="TZM4" s="1962"/>
      <c r="TZN4" s="1962"/>
      <c r="TZO4" s="1962"/>
      <c r="TZP4" s="1962"/>
      <c r="TZQ4" s="1962"/>
      <c r="TZR4" s="1962"/>
      <c r="TZS4" s="1962"/>
      <c r="TZT4" s="1962"/>
      <c r="TZU4" s="1962"/>
      <c r="TZV4" s="1962"/>
      <c r="TZW4" s="1962"/>
      <c r="TZX4" s="1962"/>
      <c r="TZY4" s="1962"/>
      <c r="TZZ4" s="1962"/>
      <c r="UAA4" s="1962"/>
      <c r="UAB4" s="1962"/>
      <c r="UAC4" s="1962"/>
      <c r="UAD4" s="1962"/>
      <c r="UAE4" s="1962"/>
      <c r="UAF4" s="1962"/>
      <c r="UAG4" s="1962"/>
      <c r="UAH4" s="1962"/>
      <c r="UAI4" s="1962"/>
      <c r="UAJ4" s="1962"/>
      <c r="UAK4" s="1962"/>
      <c r="UAL4" s="1962"/>
      <c r="UAM4" s="1962"/>
      <c r="UAN4" s="1962"/>
      <c r="UAO4" s="1962"/>
      <c r="UAP4" s="1962"/>
      <c r="UAQ4" s="1962"/>
      <c r="UAR4" s="1962"/>
      <c r="UAS4" s="1962"/>
      <c r="UAT4" s="1962"/>
      <c r="UAU4" s="1962"/>
      <c r="UAV4" s="1962"/>
      <c r="UAW4" s="1962"/>
      <c r="UAX4" s="1962"/>
      <c r="UAY4" s="1962"/>
      <c r="UAZ4" s="1962"/>
      <c r="UBA4" s="1962"/>
      <c r="UBB4" s="1962"/>
      <c r="UBC4" s="1962"/>
      <c r="UBD4" s="1962"/>
      <c r="UBE4" s="1962"/>
      <c r="UBF4" s="1962"/>
      <c r="UBG4" s="1962"/>
      <c r="UBH4" s="1962"/>
      <c r="UBI4" s="1962"/>
      <c r="UBJ4" s="1962"/>
      <c r="UBK4" s="1962"/>
      <c r="UBL4" s="1962"/>
      <c r="UBM4" s="1962"/>
      <c r="UBN4" s="1962"/>
      <c r="UBO4" s="1962"/>
      <c r="UBP4" s="1962"/>
      <c r="UBQ4" s="1962"/>
      <c r="UBR4" s="1962"/>
      <c r="UBS4" s="1962"/>
      <c r="UBT4" s="1962"/>
      <c r="UBU4" s="1962"/>
      <c r="UBV4" s="1962"/>
      <c r="UBW4" s="1962"/>
      <c r="UBX4" s="1962"/>
      <c r="UBY4" s="1962"/>
      <c r="UBZ4" s="1962"/>
      <c r="UCA4" s="1962"/>
      <c r="UCB4" s="1962"/>
      <c r="UCC4" s="1962"/>
      <c r="UCD4" s="1962"/>
      <c r="UCE4" s="1962"/>
      <c r="UCF4" s="1962"/>
      <c r="UCG4" s="1962"/>
      <c r="UCH4" s="1962"/>
      <c r="UCI4" s="1962"/>
      <c r="UCJ4" s="1962"/>
      <c r="UCK4" s="1962"/>
      <c r="UCL4" s="1962"/>
      <c r="UCM4" s="1962"/>
      <c r="UCN4" s="1962"/>
      <c r="UCO4" s="1962"/>
      <c r="UCP4" s="1962"/>
      <c r="UCQ4" s="1962"/>
      <c r="UCR4" s="1962"/>
      <c r="UCS4" s="1962"/>
      <c r="UCT4" s="1962"/>
      <c r="UCU4" s="1962"/>
      <c r="UCV4" s="1962"/>
      <c r="UCW4" s="1962"/>
      <c r="UCX4" s="1962"/>
      <c r="UCY4" s="1962"/>
      <c r="UCZ4" s="1962"/>
      <c r="UDA4" s="1962"/>
      <c r="UDB4" s="1962"/>
      <c r="UDC4" s="1962"/>
      <c r="UDD4" s="1962"/>
      <c r="UDE4" s="1962"/>
      <c r="UDF4" s="1962"/>
      <c r="UDG4" s="1962"/>
      <c r="UDH4" s="1962"/>
      <c r="UDI4" s="1962"/>
      <c r="UDJ4" s="1962"/>
      <c r="UDK4" s="1962"/>
      <c r="UDL4" s="1962"/>
      <c r="UDM4" s="1962"/>
      <c r="UDN4" s="1962"/>
      <c r="UDO4" s="1962"/>
      <c r="UDP4" s="1962"/>
      <c r="UDQ4" s="1962"/>
      <c r="UDR4" s="1962"/>
      <c r="UDS4" s="1962"/>
      <c r="UDT4" s="1962"/>
      <c r="UDU4" s="1962"/>
      <c r="UDV4" s="1962"/>
      <c r="UDW4" s="1962"/>
      <c r="UDX4" s="1962"/>
      <c r="UDY4" s="1962"/>
      <c r="UDZ4" s="1962"/>
      <c r="UEA4" s="1962"/>
      <c r="UEB4" s="1962"/>
      <c r="UEC4" s="1962"/>
      <c r="UED4" s="1962"/>
      <c r="UEE4" s="1962"/>
      <c r="UEF4" s="1962"/>
      <c r="UEG4" s="1962"/>
      <c r="UEH4" s="1962"/>
      <c r="UEI4" s="1962"/>
      <c r="UEJ4" s="1962"/>
      <c r="UEK4" s="1962"/>
      <c r="UEL4" s="1962"/>
      <c r="UEM4" s="1962"/>
      <c r="UEN4" s="1962"/>
      <c r="UEO4" s="1962"/>
      <c r="UEP4" s="1962"/>
      <c r="UEQ4" s="1962"/>
      <c r="UER4" s="1962"/>
      <c r="UES4" s="1962"/>
      <c r="UET4" s="1962"/>
      <c r="UEU4" s="1962"/>
      <c r="UEV4" s="1962"/>
      <c r="UEW4" s="1962"/>
      <c r="UEX4" s="1962"/>
      <c r="UEY4" s="1962"/>
      <c r="UEZ4" s="1962"/>
      <c r="UFA4" s="1962"/>
      <c r="UFB4" s="1962"/>
      <c r="UFC4" s="1962"/>
      <c r="UFD4" s="1962"/>
      <c r="UFE4" s="1962"/>
      <c r="UFF4" s="1962"/>
      <c r="UFG4" s="1962"/>
      <c r="UFH4" s="1962"/>
      <c r="UFI4" s="1962"/>
      <c r="UFJ4" s="1962"/>
      <c r="UFK4" s="1962"/>
      <c r="UFL4" s="1962"/>
      <c r="UFM4" s="1962"/>
      <c r="UFN4" s="1962"/>
      <c r="UFO4" s="1962"/>
      <c r="UFP4" s="1962"/>
      <c r="UFQ4" s="1962"/>
      <c r="UFR4" s="1962"/>
      <c r="UFS4" s="1962"/>
      <c r="UFT4" s="1962"/>
      <c r="UFU4" s="1962"/>
      <c r="UFV4" s="1962"/>
      <c r="UFW4" s="1962"/>
      <c r="UFX4" s="1962"/>
      <c r="UFY4" s="1962"/>
      <c r="UFZ4" s="1962"/>
      <c r="UGA4" s="1962"/>
      <c r="UGB4" s="1962"/>
      <c r="UGC4" s="1962"/>
      <c r="UGD4" s="1962"/>
      <c r="UGE4" s="1962"/>
      <c r="UGF4" s="1962"/>
      <c r="UGG4" s="1962"/>
      <c r="UGH4" s="1962"/>
      <c r="UGI4" s="1962"/>
      <c r="UGJ4" s="1962"/>
      <c r="UGK4" s="1962"/>
      <c r="UGL4" s="1962"/>
      <c r="UGM4" s="1962"/>
      <c r="UGN4" s="1962"/>
      <c r="UGO4" s="1962"/>
      <c r="UGP4" s="1962"/>
      <c r="UGQ4" s="1962"/>
      <c r="UGR4" s="1962"/>
      <c r="UGS4" s="1962"/>
      <c r="UGT4" s="1962"/>
      <c r="UGU4" s="1962"/>
      <c r="UGV4" s="1962"/>
      <c r="UGW4" s="1962"/>
      <c r="UGX4" s="1962"/>
      <c r="UGY4" s="1962"/>
      <c r="UGZ4" s="1962"/>
      <c r="UHA4" s="1962"/>
      <c r="UHB4" s="1962"/>
      <c r="UHC4" s="1962"/>
      <c r="UHD4" s="1962"/>
      <c r="UHE4" s="1962"/>
      <c r="UHF4" s="1962"/>
      <c r="UHG4" s="1962"/>
      <c r="UHH4" s="1962"/>
      <c r="UHI4" s="1962"/>
      <c r="UHJ4" s="1962"/>
      <c r="UHK4" s="1962"/>
      <c r="UHL4" s="1962"/>
      <c r="UHM4" s="1962"/>
      <c r="UHN4" s="1962"/>
      <c r="UHO4" s="1962"/>
      <c r="UHP4" s="1962"/>
      <c r="UHQ4" s="1962"/>
      <c r="UHR4" s="1962"/>
      <c r="UHS4" s="1962"/>
      <c r="UHT4" s="1962"/>
      <c r="UHU4" s="1962"/>
      <c r="UHV4" s="1962"/>
      <c r="UHW4" s="1962"/>
      <c r="UHX4" s="1962"/>
      <c r="UHY4" s="1962"/>
      <c r="UHZ4" s="1962"/>
      <c r="UIA4" s="1962"/>
      <c r="UIB4" s="1962"/>
      <c r="UIC4" s="1962"/>
      <c r="UID4" s="1962"/>
      <c r="UIE4" s="1962"/>
      <c r="UIF4" s="1962"/>
      <c r="UIG4" s="1962"/>
      <c r="UIH4" s="1962"/>
      <c r="UII4" s="1962"/>
      <c r="UIJ4" s="1962"/>
      <c r="UIK4" s="1962"/>
      <c r="UIL4" s="1962"/>
      <c r="UIM4" s="1962"/>
      <c r="UIN4" s="1962"/>
      <c r="UIO4" s="1962"/>
      <c r="UIP4" s="1962"/>
      <c r="UIQ4" s="1962"/>
      <c r="UIR4" s="1962"/>
      <c r="UIS4" s="1962"/>
      <c r="UIT4" s="1962"/>
      <c r="UIU4" s="1962"/>
      <c r="UIV4" s="1962"/>
      <c r="UIW4" s="1962"/>
      <c r="UIX4" s="1962"/>
      <c r="UIY4" s="1962"/>
      <c r="UIZ4" s="1962"/>
      <c r="UJA4" s="1962"/>
      <c r="UJB4" s="1962"/>
      <c r="UJC4" s="1962"/>
      <c r="UJD4" s="1962"/>
      <c r="UJE4" s="1962"/>
      <c r="UJF4" s="1962"/>
      <c r="UJG4" s="1962"/>
      <c r="UJH4" s="1962"/>
      <c r="UJI4" s="1962"/>
      <c r="UJJ4" s="1962"/>
      <c r="UJK4" s="1962"/>
      <c r="UJL4" s="1962"/>
      <c r="UJM4" s="1962"/>
      <c r="UJN4" s="1962"/>
      <c r="UJO4" s="1962"/>
      <c r="UJP4" s="1962"/>
      <c r="UJQ4" s="1962"/>
      <c r="UJR4" s="1962"/>
      <c r="UJS4" s="1962"/>
      <c r="UJT4" s="1962"/>
      <c r="UJU4" s="1962"/>
      <c r="UJV4" s="1962"/>
      <c r="UJW4" s="1962"/>
      <c r="UJX4" s="1962"/>
      <c r="UJY4" s="1962"/>
      <c r="UJZ4" s="1962"/>
      <c r="UKA4" s="1962"/>
      <c r="UKB4" s="1962"/>
      <c r="UKC4" s="1962"/>
      <c r="UKD4" s="1962"/>
      <c r="UKE4" s="1962"/>
      <c r="UKF4" s="1962"/>
      <c r="UKG4" s="1962"/>
      <c r="UKH4" s="1962"/>
      <c r="UKI4" s="1962"/>
      <c r="UKJ4" s="1962"/>
      <c r="UKK4" s="1962"/>
      <c r="UKL4" s="1962"/>
      <c r="UKM4" s="1962"/>
      <c r="UKN4" s="1962"/>
      <c r="UKO4" s="1962"/>
      <c r="UKP4" s="1962"/>
      <c r="UKQ4" s="1962"/>
      <c r="UKR4" s="1962"/>
      <c r="UKS4" s="1962"/>
      <c r="UKT4" s="1962"/>
      <c r="UKU4" s="1962"/>
      <c r="UKV4" s="1962"/>
      <c r="UKW4" s="1962"/>
      <c r="UKX4" s="1962"/>
      <c r="UKY4" s="1962"/>
      <c r="UKZ4" s="1962"/>
      <c r="ULA4" s="1962"/>
      <c r="ULB4" s="1962"/>
      <c r="ULC4" s="1962"/>
      <c r="ULD4" s="1962"/>
      <c r="ULE4" s="1962"/>
      <c r="ULF4" s="1962"/>
      <c r="ULG4" s="1962"/>
      <c r="ULH4" s="1962"/>
      <c r="ULI4" s="1962"/>
      <c r="ULJ4" s="1962"/>
      <c r="ULK4" s="1962"/>
      <c r="ULL4" s="1962"/>
      <c r="ULM4" s="1962"/>
      <c r="ULN4" s="1962"/>
      <c r="ULO4" s="1962"/>
      <c r="ULP4" s="1962"/>
      <c r="ULQ4" s="1962"/>
      <c r="ULR4" s="1962"/>
      <c r="ULS4" s="1962"/>
      <c r="ULT4" s="1962"/>
      <c r="ULU4" s="1962"/>
      <c r="ULV4" s="1962"/>
      <c r="ULW4" s="1962"/>
      <c r="ULX4" s="1962"/>
      <c r="ULY4" s="1962"/>
      <c r="ULZ4" s="1962"/>
      <c r="UMA4" s="1962"/>
      <c r="UMB4" s="1962"/>
      <c r="UMC4" s="1962"/>
      <c r="UMD4" s="1962"/>
      <c r="UME4" s="1962"/>
      <c r="UMF4" s="1962"/>
      <c r="UMG4" s="1962"/>
      <c r="UMH4" s="1962"/>
      <c r="UMI4" s="1962"/>
      <c r="UMJ4" s="1962"/>
      <c r="UMK4" s="1962"/>
      <c r="UML4" s="1962"/>
      <c r="UMM4" s="1962"/>
      <c r="UMN4" s="1962"/>
      <c r="UMO4" s="1962"/>
      <c r="UMP4" s="1962"/>
      <c r="UMQ4" s="1962"/>
      <c r="UMR4" s="1962"/>
      <c r="UMS4" s="1962"/>
      <c r="UMT4" s="1962"/>
      <c r="UMU4" s="1962"/>
      <c r="UMV4" s="1962"/>
      <c r="UMW4" s="1962"/>
      <c r="UMX4" s="1962"/>
      <c r="UMY4" s="1962"/>
      <c r="UMZ4" s="1962"/>
      <c r="UNA4" s="1962"/>
      <c r="UNB4" s="1962"/>
      <c r="UNC4" s="1962"/>
      <c r="UND4" s="1962"/>
      <c r="UNE4" s="1962"/>
      <c r="UNF4" s="1962"/>
      <c r="UNG4" s="1962"/>
      <c r="UNH4" s="1962"/>
      <c r="UNI4" s="1962"/>
      <c r="UNJ4" s="1962"/>
      <c r="UNK4" s="1962"/>
      <c r="UNL4" s="1962"/>
      <c r="UNM4" s="1962"/>
      <c r="UNN4" s="1962"/>
      <c r="UNO4" s="1962"/>
      <c r="UNP4" s="1962"/>
      <c r="UNQ4" s="1962"/>
      <c r="UNR4" s="1962"/>
      <c r="UNS4" s="1962"/>
      <c r="UNT4" s="1962"/>
      <c r="UNU4" s="1962"/>
      <c r="UNV4" s="1962"/>
      <c r="UNW4" s="1962"/>
      <c r="UNX4" s="1962"/>
      <c r="UNY4" s="1962"/>
      <c r="UNZ4" s="1962"/>
      <c r="UOA4" s="1962"/>
      <c r="UOB4" s="1962"/>
      <c r="UOC4" s="1962"/>
      <c r="UOD4" s="1962"/>
      <c r="UOE4" s="1962"/>
      <c r="UOF4" s="1962"/>
      <c r="UOG4" s="1962"/>
      <c r="UOH4" s="1962"/>
      <c r="UOI4" s="1962"/>
      <c r="UOJ4" s="1962"/>
      <c r="UOK4" s="1962"/>
      <c r="UOL4" s="1962"/>
      <c r="UOM4" s="1962"/>
      <c r="UON4" s="1962"/>
      <c r="UOO4" s="1962"/>
      <c r="UOP4" s="1962"/>
      <c r="UOQ4" s="1962"/>
      <c r="UOR4" s="1962"/>
      <c r="UOS4" s="1962"/>
      <c r="UOT4" s="1962"/>
      <c r="UOU4" s="1962"/>
      <c r="UOV4" s="1962"/>
      <c r="UOW4" s="1962"/>
      <c r="UOX4" s="1962"/>
      <c r="UOY4" s="1962"/>
      <c r="UOZ4" s="1962"/>
      <c r="UPA4" s="1962"/>
      <c r="UPB4" s="1962"/>
      <c r="UPC4" s="1962"/>
      <c r="UPD4" s="1962"/>
      <c r="UPE4" s="1962"/>
      <c r="UPF4" s="1962"/>
      <c r="UPG4" s="1962"/>
      <c r="UPH4" s="1962"/>
      <c r="UPI4" s="1962"/>
      <c r="UPJ4" s="1962"/>
      <c r="UPK4" s="1962"/>
      <c r="UPL4" s="1962"/>
      <c r="UPM4" s="1962"/>
      <c r="UPN4" s="1962"/>
      <c r="UPO4" s="1962"/>
      <c r="UPP4" s="1962"/>
      <c r="UPQ4" s="1962"/>
      <c r="UPR4" s="1962"/>
      <c r="UPS4" s="1962"/>
      <c r="UPT4" s="1962"/>
      <c r="UPU4" s="1962"/>
      <c r="UPV4" s="1962"/>
      <c r="UPW4" s="1962"/>
      <c r="UPX4" s="1962"/>
      <c r="UPY4" s="1962"/>
      <c r="UPZ4" s="1962"/>
      <c r="UQA4" s="1962"/>
      <c r="UQB4" s="1962"/>
      <c r="UQC4" s="1962"/>
      <c r="UQD4" s="1962"/>
      <c r="UQE4" s="1962"/>
      <c r="UQF4" s="1962"/>
      <c r="UQG4" s="1962"/>
      <c r="UQH4" s="1962"/>
      <c r="UQI4" s="1962"/>
      <c r="UQJ4" s="1962"/>
      <c r="UQK4" s="1962"/>
      <c r="UQL4" s="1962"/>
      <c r="UQM4" s="1962"/>
      <c r="UQN4" s="1962"/>
      <c r="UQO4" s="1962"/>
      <c r="UQP4" s="1962"/>
      <c r="UQQ4" s="1962"/>
      <c r="UQR4" s="1962"/>
      <c r="UQS4" s="1962"/>
      <c r="UQT4" s="1962"/>
      <c r="UQU4" s="1962"/>
      <c r="UQV4" s="1962"/>
      <c r="UQW4" s="1962"/>
      <c r="UQX4" s="1962"/>
      <c r="UQY4" s="1962"/>
      <c r="UQZ4" s="1962"/>
      <c r="URA4" s="1962"/>
      <c r="URB4" s="1962"/>
      <c r="URC4" s="1962"/>
      <c r="URD4" s="1962"/>
      <c r="URE4" s="1962"/>
      <c r="URF4" s="1962"/>
      <c r="URG4" s="1962"/>
      <c r="URH4" s="1962"/>
      <c r="URI4" s="1962"/>
      <c r="URJ4" s="1962"/>
      <c r="URK4" s="1962"/>
      <c r="URL4" s="1962"/>
      <c r="URM4" s="1962"/>
      <c r="URN4" s="1962"/>
      <c r="URO4" s="1962"/>
      <c r="URP4" s="1962"/>
      <c r="URQ4" s="1962"/>
      <c r="URR4" s="1962"/>
      <c r="URS4" s="1962"/>
      <c r="URT4" s="1962"/>
      <c r="URU4" s="1962"/>
      <c r="URV4" s="1962"/>
      <c r="URW4" s="1962"/>
      <c r="URX4" s="1962"/>
      <c r="URY4" s="1962"/>
      <c r="URZ4" s="1962"/>
      <c r="USA4" s="1962"/>
      <c r="USB4" s="1962"/>
      <c r="USC4" s="1962"/>
      <c r="USD4" s="1962"/>
      <c r="USE4" s="1962"/>
      <c r="USF4" s="1962"/>
      <c r="USG4" s="1962"/>
      <c r="USH4" s="1962"/>
      <c r="USI4" s="1962"/>
      <c r="USJ4" s="1962"/>
      <c r="USK4" s="1962"/>
      <c r="USL4" s="1962"/>
      <c r="USM4" s="1962"/>
      <c r="USN4" s="1962"/>
      <c r="USO4" s="1962"/>
      <c r="USP4" s="1962"/>
      <c r="USQ4" s="1962"/>
      <c r="USR4" s="1962"/>
      <c r="USS4" s="1962"/>
      <c r="UST4" s="1962"/>
      <c r="USU4" s="1962"/>
      <c r="USV4" s="1962"/>
      <c r="USW4" s="1962"/>
      <c r="USX4" s="1962"/>
      <c r="USY4" s="1962"/>
      <c r="USZ4" s="1962"/>
      <c r="UTA4" s="1962"/>
      <c r="UTB4" s="1962"/>
      <c r="UTC4" s="1962"/>
      <c r="UTD4" s="1962"/>
      <c r="UTE4" s="1962"/>
      <c r="UTF4" s="1962"/>
      <c r="UTG4" s="1962"/>
      <c r="UTH4" s="1962"/>
      <c r="UTI4" s="1962"/>
      <c r="UTJ4" s="1962"/>
      <c r="UTK4" s="1962"/>
      <c r="UTL4" s="1962"/>
      <c r="UTM4" s="1962"/>
      <c r="UTN4" s="1962"/>
      <c r="UTO4" s="1962"/>
      <c r="UTP4" s="1962"/>
      <c r="UTQ4" s="1962"/>
      <c r="UTR4" s="1962"/>
      <c r="UTS4" s="1962"/>
      <c r="UTT4" s="1962"/>
      <c r="UTU4" s="1962"/>
      <c r="UTV4" s="1962"/>
      <c r="UTW4" s="1962"/>
      <c r="UTX4" s="1962"/>
      <c r="UTY4" s="1962"/>
      <c r="UTZ4" s="1962"/>
      <c r="UUA4" s="1962"/>
      <c r="UUB4" s="1962"/>
      <c r="UUC4" s="1962"/>
      <c r="UUD4" s="1962"/>
      <c r="UUE4" s="1962"/>
      <c r="UUF4" s="1962"/>
      <c r="UUG4" s="1962"/>
      <c r="UUH4" s="1962"/>
      <c r="UUI4" s="1962"/>
      <c r="UUJ4" s="1962"/>
      <c r="UUK4" s="1962"/>
      <c r="UUL4" s="1962"/>
      <c r="UUM4" s="1962"/>
      <c r="UUN4" s="1962"/>
      <c r="UUO4" s="1962"/>
      <c r="UUP4" s="1962"/>
      <c r="UUQ4" s="1962"/>
      <c r="UUR4" s="1962"/>
      <c r="UUS4" s="1962"/>
      <c r="UUT4" s="1962"/>
      <c r="UUU4" s="1962"/>
      <c r="UUV4" s="1962"/>
      <c r="UUW4" s="1962"/>
      <c r="UUX4" s="1962"/>
      <c r="UUY4" s="1962"/>
      <c r="UUZ4" s="1962"/>
      <c r="UVA4" s="1962"/>
      <c r="UVB4" s="1962"/>
      <c r="UVC4" s="1962"/>
      <c r="UVD4" s="1962"/>
      <c r="UVE4" s="1962"/>
      <c r="UVF4" s="1962"/>
      <c r="UVG4" s="1962"/>
      <c r="UVH4" s="1962"/>
      <c r="UVI4" s="1962"/>
      <c r="UVJ4" s="1962"/>
      <c r="UVK4" s="1962"/>
      <c r="UVL4" s="1962"/>
      <c r="UVM4" s="1962"/>
      <c r="UVN4" s="1962"/>
      <c r="UVO4" s="1962"/>
      <c r="UVP4" s="1962"/>
      <c r="UVQ4" s="1962"/>
      <c r="UVR4" s="1962"/>
      <c r="UVS4" s="1962"/>
      <c r="UVT4" s="1962"/>
      <c r="UVU4" s="1962"/>
      <c r="UVV4" s="1962"/>
      <c r="UVW4" s="1962"/>
      <c r="UVX4" s="1962"/>
      <c r="UVY4" s="1962"/>
      <c r="UVZ4" s="1962"/>
      <c r="UWA4" s="1962"/>
      <c r="UWB4" s="1962"/>
      <c r="UWC4" s="1962"/>
      <c r="UWD4" s="1962"/>
      <c r="UWE4" s="1962"/>
      <c r="UWF4" s="1962"/>
      <c r="UWG4" s="1962"/>
      <c r="UWH4" s="1962"/>
      <c r="UWI4" s="1962"/>
      <c r="UWJ4" s="1962"/>
      <c r="UWK4" s="1962"/>
      <c r="UWL4" s="1962"/>
      <c r="UWM4" s="1962"/>
      <c r="UWN4" s="1962"/>
      <c r="UWO4" s="1962"/>
      <c r="UWP4" s="1962"/>
      <c r="UWQ4" s="1962"/>
      <c r="UWR4" s="1962"/>
      <c r="UWS4" s="1962"/>
      <c r="UWT4" s="1962"/>
      <c r="UWU4" s="1962"/>
      <c r="UWV4" s="1962"/>
      <c r="UWW4" s="1962"/>
      <c r="UWX4" s="1962"/>
      <c r="UWY4" s="1962"/>
      <c r="UWZ4" s="1962"/>
      <c r="UXA4" s="1962"/>
      <c r="UXB4" s="1962"/>
      <c r="UXC4" s="1962"/>
      <c r="UXD4" s="1962"/>
      <c r="UXE4" s="1962"/>
      <c r="UXF4" s="1962"/>
      <c r="UXG4" s="1962"/>
      <c r="UXH4" s="1962"/>
      <c r="UXI4" s="1962"/>
      <c r="UXJ4" s="1962"/>
      <c r="UXK4" s="1962"/>
      <c r="UXL4" s="1962"/>
      <c r="UXM4" s="1962"/>
      <c r="UXN4" s="1962"/>
      <c r="UXO4" s="1962"/>
      <c r="UXP4" s="1962"/>
      <c r="UXQ4" s="1962"/>
      <c r="UXR4" s="1962"/>
      <c r="UXS4" s="1962"/>
      <c r="UXT4" s="1962"/>
      <c r="UXU4" s="1962"/>
      <c r="UXV4" s="1962"/>
      <c r="UXW4" s="1962"/>
      <c r="UXX4" s="1962"/>
      <c r="UXY4" s="1962"/>
      <c r="UXZ4" s="1962"/>
      <c r="UYA4" s="1962"/>
      <c r="UYB4" s="1962"/>
      <c r="UYC4" s="1962"/>
      <c r="UYD4" s="1962"/>
      <c r="UYE4" s="1962"/>
      <c r="UYF4" s="1962"/>
      <c r="UYG4" s="1962"/>
      <c r="UYH4" s="1962"/>
      <c r="UYI4" s="1962"/>
      <c r="UYJ4" s="1962"/>
      <c r="UYK4" s="1962"/>
      <c r="UYL4" s="1962"/>
      <c r="UYM4" s="1962"/>
      <c r="UYN4" s="1962"/>
      <c r="UYO4" s="1962"/>
      <c r="UYP4" s="1962"/>
      <c r="UYQ4" s="1962"/>
      <c r="UYR4" s="1962"/>
      <c r="UYS4" s="1962"/>
      <c r="UYT4" s="1962"/>
      <c r="UYU4" s="1962"/>
      <c r="UYV4" s="1962"/>
      <c r="UYW4" s="1962"/>
      <c r="UYX4" s="1962"/>
      <c r="UYY4" s="1962"/>
      <c r="UYZ4" s="1962"/>
      <c r="UZA4" s="1962"/>
      <c r="UZB4" s="1962"/>
      <c r="UZC4" s="1962"/>
      <c r="UZD4" s="1962"/>
      <c r="UZE4" s="1962"/>
      <c r="UZF4" s="1962"/>
      <c r="UZG4" s="1962"/>
      <c r="UZH4" s="1962"/>
      <c r="UZI4" s="1962"/>
      <c r="UZJ4" s="1962"/>
      <c r="UZK4" s="1962"/>
      <c r="UZL4" s="1962"/>
      <c r="UZM4" s="1962"/>
      <c r="UZN4" s="1962"/>
      <c r="UZO4" s="1962"/>
      <c r="UZP4" s="1962"/>
      <c r="UZQ4" s="1962"/>
      <c r="UZR4" s="1962"/>
      <c r="UZS4" s="1962"/>
      <c r="UZT4" s="1962"/>
      <c r="UZU4" s="1962"/>
      <c r="UZV4" s="1962"/>
      <c r="UZW4" s="1962"/>
      <c r="UZX4" s="1962"/>
      <c r="UZY4" s="1962"/>
      <c r="UZZ4" s="1962"/>
      <c r="VAA4" s="1962"/>
      <c r="VAB4" s="1962"/>
      <c r="VAC4" s="1962"/>
      <c r="VAD4" s="1962"/>
      <c r="VAE4" s="1962"/>
      <c r="VAF4" s="1962"/>
      <c r="VAG4" s="1962"/>
      <c r="VAH4" s="1962"/>
      <c r="VAI4" s="1962"/>
      <c r="VAJ4" s="1962"/>
      <c r="VAK4" s="1962"/>
      <c r="VAL4" s="1962"/>
      <c r="VAM4" s="1962"/>
      <c r="VAN4" s="1962"/>
      <c r="VAO4" s="1962"/>
      <c r="VAP4" s="1962"/>
      <c r="VAQ4" s="1962"/>
      <c r="VAR4" s="1962"/>
      <c r="VAS4" s="1962"/>
      <c r="VAT4" s="1962"/>
      <c r="VAU4" s="1962"/>
      <c r="VAV4" s="1962"/>
      <c r="VAW4" s="1962"/>
      <c r="VAX4" s="1962"/>
      <c r="VAY4" s="1962"/>
      <c r="VAZ4" s="1962"/>
      <c r="VBA4" s="1962"/>
      <c r="VBB4" s="1962"/>
      <c r="VBC4" s="1962"/>
      <c r="VBD4" s="1962"/>
      <c r="VBE4" s="1962"/>
      <c r="VBF4" s="1962"/>
      <c r="VBG4" s="1962"/>
      <c r="VBH4" s="1962"/>
      <c r="VBI4" s="1962"/>
      <c r="VBJ4" s="1962"/>
      <c r="VBK4" s="1962"/>
      <c r="VBL4" s="1962"/>
      <c r="VBM4" s="1962"/>
      <c r="VBN4" s="1962"/>
      <c r="VBO4" s="1962"/>
      <c r="VBP4" s="1962"/>
      <c r="VBQ4" s="1962"/>
      <c r="VBR4" s="1962"/>
      <c r="VBS4" s="1962"/>
      <c r="VBT4" s="1962"/>
      <c r="VBU4" s="1962"/>
      <c r="VBV4" s="1962"/>
      <c r="VBW4" s="1962"/>
      <c r="VBX4" s="1962"/>
      <c r="VBY4" s="1962"/>
      <c r="VBZ4" s="1962"/>
      <c r="VCA4" s="1962"/>
      <c r="VCB4" s="1962"/>
      <c r="VCC4" s="1962"/>
      <c r="VCD4" s="1962"/>
      <c r="VCE4" s="1962"/>
      <c r="VCF4" s="1962"/>
      <c r="VCG4" s="1962"/>
      <c r="VCH4" s="1962"/>
      <c r="VCI4" s="1962"/>
      <c r="VCJ4" s="1962"/>
      <c r="VCK4" s="1962"/>
      <c r="VCL4" s="1962"/>
      <c r="VCM4" s="1962"/>
      <c r="VCN4" s="1962"/>
      <c r="VCO4" s="1962"/>
      <c r="VCP4" s="1962"/>
      <c r="VCQ4" s="1962"/>
      <c r="VCR4" s="1962"/>
      <c r="VCS4" s="1962"/>
      <c r="VCT4" s="1962"/>
      <c r="VCU4" s="1962"/>
      <c r="VCV4" s="1962"/>
      <c r="VCW4" s="1962"/>
      <c r="VCX4" s="1962"/>
      <c r="VCY4" s="1962"/>
      <c r="VCZ4" s="1962"/>
      <c r="VDA4" s="1962"/>
      <c r="VDB4" s="1962"/>
      <c r="VDC4" s="1962"/>
      <c r="VDD4" s="1962"/>
      <c r="VDE4" s="1962"/>
      <c r="VDF4" s="1962"/>
      <c r="VDG4" s="1962"/>
      <c r="VDH4" s="1962"/>
      <c r="VDI4" s="1962"/>
      <c r="VDJ4" s="1962"/>
      <c r="VDK4" s="1962"/>
      <c r="VDL4" s="1962"/>
      <c r="VDM4" s="1962"/>
      <c r="VDN4" s="1962"/>
      <c r="VDO4" s="1962"/>
      <c r="VDP4" s="1962"/>
      <c r="VDQ4" s="1962"/>
      <c r="VDR4" s="1962"/>
      <c r="VDS4" s="1962"/>
      <c r="VDT4" s="1962"/>
      <c r="VDU4" s="1962"/>
      <c r="VDV4" s="1962"/>
      <c r="VDW4" s="1962"/>
      <c r="VDX4" s="1962"/>
      <c r="VDY4" s="1962"/>
      <c r="VDZ4" s="1962"/>
      <c r="VEA4" s="1962"/>
      <c r="VEB4" s="1962"/>
      <c r="VEC4" s="1962"/>
      <c r="VED4" s="1962"/>
      <c r="VEE4" s="1962"/>
      <c r="VEF4" s="1962"/>
      <c r="VEG4" s="1962"/>
      <c r="VEH4" s="1962"/>
      <c r="VEI4" s="1962"/>
      <c r="VEJ4" s="1962"/>
      <c r="VEK4" s="1962"/>
      <c r="VEL4" s="1962"/>
      <c r="VEM4" s="1962"/>
      <c r="VEN4" s="1962"/>
      <c r="VEO4" s="1962"/>
      <c r="VEP4" s="1962"/>
      <c r="VEQ4" s="1962"/>
      <c r="VER4" s="1962"/>
      <c r="VES4" s="1962"/>
      <c r="VET4" s="1962"/>
      <c r="VEU4" s="1962"/>
      <c r="VEV4" s="1962"/>
      <c r="VEW4" s="1962"/>
      <c r="VEX4" s="1962"/>
      <c r="VEY4" s="1962"/>
      <c r="VEZ4" s="1962"/>
      <c r="VFA4" s="1962"/>
      <c r="VFB4" s="1962"/>
      <c r="VFC4" s="1962"/>
      <c r="VFD4" s="1962"/>
      <c r="VFE4" s="1962"/>
      <c r="VFF4" s="1962"/>
      <c r="VFG4" s="1962"/>
      <c r="VFH4" s="1962"/>
      <c r="VFI4" s="1962"/>
      <c r="VFJ4" s="1962"/>
      <c r="VFK4" s="1962"/>
      <c r="VFL4" s="1962"/>
      <c r="VFM4" s="1962"/>
      <c r="VFN4" s="1962"/>
      <c r="VFO4" s="1962"/>
      <c r="VFP4" s="1962"/>
      <c r="VFQ4" s="1962"/>
      <c r="VFR4" s="1962"/>
      <c r="VFS4" s="1962"/>
      <c r="VFT4" s="1962"/>
      <c r="VFU4" s="1962"/>
      <c r="VFV4" s="1962"/>
      <c r="VFW4" s="1962"/>
      <c r="VFX4" s="1962"/>
      <c r="VFY4" s="1962"/>
      <c r="VFZ4" s="1962"/>
      <c r="VGA4" s="1962"/>
      <c r="VGB4" s="1962"/>
      <c r="VGC4" s="1962"/>
      <c r="VGD4" s="1962"/>
      <c r="VGE4" s="1962"/>
      <c r="VGF4" s="1962"/>
      <c r="VGG4" s="1962"/>
      <c r="VGH4" s="1962"/>
      <c r="VGI4" s="1962"/>
      <c r="VGJ4" s="1962"/>
      <c r="VGK4" s="1962"/>
      <c r="VGL4" s="1962"/>
      <c r="VGM4" s="1962"/>
      <c r="VGN4" s="1962"/>
      <c r="VGO4" s="1962"/>
      <c r="VGP4" s="1962"/>
      <c r="VGQ4" s="1962"/>
      <c r="VGR4" s="1962"/>
      <c r="VGS4" s="1962"/>
      <c r="VGT4" s="1962"/>
      <c r="VGU4" s="1962"/>
      <c r="VGV4" s="1962"/>
      <c r="VGW4" s="1962"/>
      <c r="VGX4" s="1962"/>
      <c r="VGY4" s="1962"/>
      <c r="VGZ4" s="1962"/>
      <c r="VHA4" s="1962"/>
      <c r="VHB4" s="1962"/>
      <c r="VHC4" s="1962"/>
      <c r="VHD4" s="1962"/>
      <c r="VHE4" s="1962"/>
      <c r="VHF4" s="1962"/>
      <c r="VHG4" s="1962"/>
      <c r="VHH4" s="1962"/>
      <c r="VHI4" s="1962"/>
      <c r="VHJ4" s="1962"/>
      <c r="VHK4" s="1962"/>
      <c r="VHL4" s="1962"/>
      <c r="VHM4" s="1962"/>
      <c r="VHN4" s="1962"/>
      <c r="VHO4" s="1962"/>
      <c r="VHP4" s="1962"/>
      <c r="VHQ4" s="1962"/>
      <c r="VHR4" s="1962"/>
      <c r="VHS4" s="1962"/>
      <c r="VHT4" s="1962"/>
      <c r="VHU4" s="1962"/>
      <c r="VHV4" s="1962"/>
      <c r="VHW4" s="1962"/>
      <c r="VHX4" s="1962"/>
      <c r="VHY4" s="1962"/>
      <c r="VHZ4" s="1962"/>
      <c r="VIA4" s="1962"/>
      <c r="VIB4" s="1962"/>
      <c r="VIC4" s="1962"/>
      <c r="VID4" s="1962"/>
      <c r="VIE4" s="1962"/>
      <c r="VIF4" s="1962"/>
      <c r="VIG4" s="1962"/>
      <c r="VIH4" s="1962"/>
      <c r="VII4" s="1962"/>
      <c r="VIJ4" s="1962"/>
      <c r="VIK4" s="1962"/>
      <c r="VIL4" s="1962"/>
      <c r="VIM4" s="1962"/>
      <c r="VIN4" s="1962"/>
      <c r="VIO4" s="1962"/>
      <c r="VIP4" s="1962"/>
      <c r="VIQ4" s="1962"/>
      <c r="VIR4" s="1962"/>
      <c r="VIS4" s="1962"/>
      <c r="VIT4" s="1962"/>
      <c r="VIU4" s="1962"/>
      <c r="VIV4" s="1962"/>
      <c r="VIW4" s="1962"/>
      <c r="VIX4" s="1962"/>
      <c r="VIY4" s="1962"/>
      <c r="VIZ4" s="1962"/>
      <c r="VJA4" s="1962"/>
      <c r="VJB4" s="1962"/>
      <c r="VJC4" s="1962"/>
      <c r="VJD4" s="1962"/>
      <c r="VJE4" s="1962"/>
      <c r="VJF4" s="1962"/>
      <c r="VJG4" s="1962"/>
      <c r="VJH4" s="1962"/>
      <c r="VJI4" s="1962"/>
      <c r="VJJ4" s="1962"/>
      <c r="VJK4" s="1962"/>
      <c r="VJL4" s="1962"/>
      <c r="VJM4" s="1962"/>
      <c r="VJN4" s="1962"/>
      <c r="VJO4" s="1962"/>
      <c r="VJP4" s="1962"/>
      <c r="VJQ4" s="1962"/>
      <c r="VJR4" s="1962"/>
      <c r="VJS4" s="1962"/>
      <c r="VJT4" s="1962"/>
      <c r="VJU4" s="1962"/>
      <c r="VJV4" s="1962"/>
      <c r="VJW4" s="1962"/>
      <c r="VJX4" s="1962"/>
      <c r="VJY4" s="1962"/>
      <c r="VJZ4" s="1962"/>
      <c r="VKA4" s="1962"/>
      <c r="VKB4" s="1962"/>
      <c r="VKC4" s="1962"/>
      <c r="VKD4" s="1962"/>
      <c r="VKE4" s="1962"/>
      <c r="VKF4" s="1962"/>
      <c r="VKG4" s="1962"/>
      <c r="VKH4" s="1962"/>
      <c r="VKI4" s="1962"/>
      <c r="VKJ4" s="1962"/>
      <c r="VKK4" s="1962"/>
      <c r="VKL4" s="1962"/>
      <c r="VKM4" s="1962"/>
      <c r="VKN4" s="1962"/>
      <c r="VKO4" s="1962"/>
      <c r="VKP4" s="1962"/>
      <c r="VKQ4" s="1962"/>
      <c r="VKR4" s="1962"/>
      <c r="VKS4" s="1962"/>
      <c r="VKT4" s="1962"/>
      <c r="VKU4" s="1962"/>
      <c r="VKV4" s="1962"/>
      <c r="VKW4" s="1962"/>
      <c r="VKX4" s="1962"/>
      <c r="VKY4" s="1962"/>
      <c r="VKZ4" s="1962"/>
      <c r="VLA4" s="1962"/>
      <c r="VLB4" s="1962"/>
      <c r="VLC4" s="1962"/>
      <c r="VLD4" s="1962"/>
      <c r="VLE4" s="1962"/>
      <c r="VLF4" s="1962"/>
      <c r="VLG4" s="1962"/>
      <c r="VLH4" s="1962"/>
      <c r="VLI4" s="1962"/>
      <c r="VLJ4" s="1962"/>
      <c r="VLK4" s="1962"/>
      <c r="VLL4" s="1962"/>
      <c r="VLM4" s="1962"/>
      <c r="VLN4" s="1962"/>
      <c r="VLO4" s="1962"/>
      <c r="VLP4" s="1962"/>
      <c r="VLQ4" s="1962"/>
      <c r="VLR4" s="1962"/>
      <c r="VLS4" s="1962"/>
      <c r="VLT4" s="1962"/>
      <c r="VLU4" s="1962"/>
      <c r="VLV4" s="1962"/>
      <c r="VLW4" s="1962"/>
      <c r="VLX4" s="1962"/>
      <c r="VLY4" s="1962"/>
      <c r="VLZ4" s="1962"/>
      <c r="VMA4" s="1962"/>
      <c r="VMB4" s="1962"/>
      <c r="VMC4" s="1962"/>
      <c r="VMD4" s="1962"/>
      <c r="VME4" s="1962"/>
      <c r="VMF4" s="1962"/>
      <c r="VMG4" s="1962"/>
      <c r="VMH4" s="1962"/>
      <c r="VMI4" s="1962"/>
      <c r="VMJ4" s="1962"/>
      <c r="VMK4" s="1962"/>
      <c r="VML4" s="1962"/>
      <c r="VMM4" s="1962"/>
      <c r="VMN4" s="1962"/>
      <c r="VMO4" s="1962"/>
      <c r="VMP4" s="1962"/>
      <c r="VMQ4" s="1962"/>
      <c r="VMR4" s="1962"/>
      <c r="VMS4" s="1962"/>
      <c r="VMT4" s="1962"/>
      <c r="VMU4" s="1962"/>
      <c r="VMV4" s="1962"/>
      <c r="VMW4" s="1962"/>
      <c r="VMX4" s="1962"/>
      <c r="VMY4" s="1962"/>
      <c r="VMZ4" s="1962"/>
      <c r="VNA4" s="1962"/>
      <c r="VNB4" s="1962"/>
      <c r="VNC4" s="1962"/>
      <c r="VND4" s="1962"/>
      <c r="VNE4" s="1962"/>
      <c r="VNF4" s="1962"/>
      <c r="VNG4" s="1962"/>
      <c r="VNH4" s="1962"/>
      <c r="VNI4" s="1962"/>
      <c r="VNJ4" s="1962"/>
      <c r="VNK4" s="1962"/>
      <c r="VNL4" s="1962"/>
      <c r="VNM4" s="1962"/>
      <c r="VNN4" s="1962"/>
      <c r="VNO4" s="1962"/>
      <c r="VNP4" s="1962"/>
      <c r="VNQ4" s="1962"/>
      <c r="VNR4" s="1962"/>
      <c r="VNS4" s="1962"/>
      <c r="VNT4" s="1962"/>
      <c r="VNU4" s="1962"/>
      <c r="VNV4" s="1962"/>
      <c r="VNW4" s="1962"/>
      <c r="VNX4" s="1962"/>
      <c r="VNY4" s="1962"/>
      <c r="VNZ4" s="1962"/>
      <c r="VOA4" s="1962"/>
      <c r="VOB4" s="1962"/>
      <c r="VOC4" s="1962"/>
      <c r="VOD4" s="1962"/>
      <c r="VOE4" s="1962"/>
      <c r="VOF4" s="1962"/>
      <c r="VOG4" s="1962"/>
      <c r="VOH4" s="1962"/>
      <c r="VOI4" s="1962"/>
      <c r="VOJ4" s="1962"/>
      <c r="VOK4" s="1962"/>
      <c r="VOL4" s="1962"/>
      <c r="VOM4" s="1962"/>
      <c r="VON4" s="1962"/>
      <c r="VOO4" s="1962"/>
      <c r="VOP4" s="1962"/>
      <c r="VOQ4" s="1962"/>
      <c r="VOR4" s="1962"/>
      <c r="VOS4" s="1962"/>
      <c r="VOT4" s="1962"/>
      <c r="VOU4" s="1962"/>
      <c r="VOV4" s="1962"/>
      <c r="VOW4" s="1962"/>
      <c r="VOX4" s="1962"/>
      <c r="VOY4" s="1962"/>
      <c r="VOZ4" s="1962"/>
      <c r="VPA4" s="1962"/>
      <c r="VPB4" s="1962"/>
      <c r="VPC4" s="1962"/>
      <c r="VPD4" s="1962"/>
      <c r="VPE4" s="1962"/>
      <c r="VPF4" s="1962"/>
      <c r="VPG4" s="1962"/>
      <c r="VPH4" s="1962"/>
      <c r="VPI4" s="1962"/>
      <c r="VPJ4" s="1962"/>
      <c r="VPK4" s="1962"/>
      <c r="VPL4" s="1962"/>
      <c r="VPM4" s="1962"/>
      <c r="VPN4" s="1962"/>
      <c r="VPO4" s="1962"/>
      <c r="VPP4" s="1962"/>
      <c r="VPQ4" s="1962"/>
      <c r="VPR4" s="1962"/>
      <c r="VPS4" s="1962"/>
      <c r="VPT4" s="1962"/>
      <c r="VPU4" s="1962"/>
      <c r="VPV4" s="1962"/>
      <c r="VPW4" s="1962"/>
      <c r="VPX4" s="1962"/>
      <c r="VPY4" s="1962"/>
      <c r="VPZ4" s="1962"/>
      <c r="VQA4" s="1962"/>
      <c r="VQB4" s="1962"/>
      <c r="VQC4" s="1962"/>
      <c r="VQD4" s="1962"/>
      <c r="VQE4" s="1962"/>
      <c r="VQF4" s="1962"/>
      <c r="VQG4" s="1962"/>
      <c r="VQH4" s="1962"/>
      <c r="VQI4" s="1962"/>
      <c r="VQJ4" s="1962"/>
      <c r="VQK4" s="1962"/>
      <c r="VQL4" s="1962"/>
      <c r="VQM4" s="1962"/>
      <c r="VQN4" s="1962"/>
      <c r="VQO4" s="1962"/>
      <c r="VQP4" s="1962"/>
      <c r="VQQ4" s="1962"/>
      <c r="VQR4" s="1962"/>
      <c r="VQS4" s="1962"/>
      <c r="VQT4" s="1962"/>
      <c r="VQU4" s="1962"/>
      <c r="VQV4" s="1962"/>
      <c r="VQW4" s="1962"/>
      <c r="VQX4" s="1962"/>
      <c r="VQY4" s="1962"/>
      <c r="VQZ4" s="1962"/>
      <c r="VRA4" s="1962"/>
      <c r="VRB4" s="1962"/>
      <c r="VRC4" s="1962"/>
      <c r="VRD4" s="1962"/>
      <c r="VRE4" s="1962"/>
      <c r="VRF4" s="1962"/>
      <c r="VRG4" s="1962"/>
      <c r="VRH4" s="1962"/>
      <c r="VRI4" s="1962"/>
      <c r="VRJ4" s="1962"/>
      <c r="VRK4" s="1962"/>
      <c r="VRL4" s="1962"/>
      <c r="VRM4" s="1962"/>
      <c r="VRN4" s="1962"/>
      <c r="VRO4" s="1962"/>
      <c r="VRP4" s="1962"/>
      <c r="VRQ4" s="1962"/>
      <c r="VRR4" s="1962"/>
      <c r="VRS4" s="1962"/>
      <c r="VRT4" s="1962"/>
      <c r="VRU4" s="1962"/>
      <c r="VRV4" s="1962"/>
      <c r="VRW4" s="1962"/>
      <c r="VRX4" s="1962"/>
      <c r="VRY4" s="1962"/>
      <c r="VRZ4" s="1962"/>
      <c r="VSA4" s="1962"/>
      <c r="VSB4" s="1962"/>
      <c r="VSC4" s="1962"/>
      <c r="VSD4" s="1962"/>
      <c r="VSE4" s="1962"/>
      <c r="VSF4" s="1962"/>
      <c r="VSG4" s="1962"/>
      <c r="VSH4" s="1962"/>
      <c r="VSI4" s="1962"/>
      <c r="VSJ4" s="1962"/>
      <c r="VSK4" s="1962"/>
      <c r="VSL4" s="1962"/>
      <c r="VSM4" s="1962"/>
      <c r="VSN4" s="1962"/>
      <c r="VSO4" s="1962"/>
      <c r="VSP4" s="1962"/>
      <c r="VSQ4" s="1962"/>
      <c r="VSR4" s="1962"/>
      <c r="VSS4" s="1962"/>
      <c r="VST4" s="1962"/>
      <c r="VSU4" s="1962"/>
      <c r="VSV4" s="1962"/>
      <c r="VSW4" s="1962"/>
      <c r="VSX4" s="1962"/>
      <c r="VSY4" s="1962"/>
      <c r="VSZ4" s="1962"/>
      <c r="VTA4" s="1962"/>
      <c r="VTB4" s="1962"/>
      <c r="VTC4" s="1962"/>
      <c r="VTD4" s="1962"/>
      <c r="VTE4" s="1962"/>
      <c r="VTF4" s="1962"/>
      <c r="VTG4" s="1962"/>
      <c r="VTH4" s="1962"/>
      <c r="VTI4" s="1962"/>
      <c r="VTJ4" s="1962"/>
      <c r="VTK4" s="1962"/>
      <c r="VTL4" s="1962"/>
      <c r="VTM4" s="1962"/>
      <c r="VTN4" s="1962"/>
      <c r="VTO4" s="1962"/>
      <c r="VTP4" s="1962"/>
      <c r="VTQ4" s="1962"/>
      <c r="VTR4" s="1962"/>
      <c r="VTS4" s="1962"/>
      <c r="VTT4" s="1962"/>
      <c r="VTU4" s="1962"/>
      <c r="VTV4" s="1962"/>
      <c r="VTW4" s="1962"/>
      <c r="VTX4" s="1962"/>
      <c r="VTY4" s="1962"/>
      <c r="VTZ4" s="1962"/>
      <c r="VUA4" s="1962"/>
      <c r="VUB4" s="1962"/>
      <c r="VUC4" s="1962"/>
      <c r="VUD4" s="1962"/>
      <c r="VUE4" s="1962"/>
      <c r="VUF4" s="1962"/>
      <c r="VUG4" s="1962"/>
      <c r="VUH4" s="1962"/>
      <c r="VUI4" s="1962"/>
      <c r="VUJ4" s="1962"/>
      <c r="VUK4" s="1962"/>
      <c r="VUL4" s="1962"/>
      <c r="VUM4" s="1962"/>
      <c r="VUN4" s="1962"/>
      <c r="VUO4" s="1962"/>
      <c r="VUP4" s="1962"/>
      <c r="VUQ4" s="1962"/>
      <c r="VUR4" s="1962"/>
      <c r="VUS4" s="1962"/>
      <c r="VUT4" s="1962"/>
      <c r="VUU4" s="1962"/>
      <c r="VUV4" s="1962"/>
      <c r="VUW4" s="1962"/>
      <c r="VUX4" s="1962"/>
      <c r="VUY4" s="1962"/>
      <c r="VUZ4" s="1962"/>
      <c r="VVA4" s="1962"/>
      <c r="VVB4" s="1962"/>
      <c r="VVC4" s="1962"/>
      <c r="VVD4" s="1962"/>
      <c r="VVE4" s="1962"/>
      <c r="VVF4" s="1962"/>
      <c r="VVG4" s="1962"/>
      <c r="VVH4" s="1962"/>
      <c r="VVI4" s="1962"/>
      <c r="VVJ4" s="1962"/>
      <c r="VVK4" s="1962"/>
      <c r="VVL4" s="1962"/>
      <c r="VVM4" s="1962"/>
      <c r="VVN4" s="1962"/>
      <c r="VVO4" s="1962"/>
      <c r="VVP4" s="1962"/>
      <c r="VVQ4" s="1962"/>
      <c r="VVR4" s="1962"/>
      <c r="VVS4" s="1962"/>
      <c r="VVT4" s="1962"/>
      <c r="VVU4" s="1962"/>
      <c r="VVV4" s="1962"/>
      <c r="VVW4" s="1962"/>
      <c r="VVX4" s="1962"/>
      <c r="VVY4" s="1962"/>
      <c r="VVZ4" s="1962"/>
      <c r="VWA4" s="1962"/>
      <c r="VWB4" s="1962"/>
      <c r="VWC4" s="1962"/>
      <c r="VWD4" s="1962"/>
      <c r="VWE4" s="1962"/>
      <c r="VWF4" s="1962"/>
      <c r="VWG4" s="1962"/>
      <c r="VWH4" s="1962"/>
      <c r="VWI4" s="1962"/>
      <c r="VWJ4" s="1962"/>
      <c r="VWK4" s="1962"/>
      <c r="VWL4" s="1962"/>
      <c r="VWM4" s="1962"/>
      <c r="VWN4" s="1962"/>
      <c r="VWO4" s="1962"/>
      <c r="VWP4" s="1962"/>
      <c r="VWQ4" s="1962"/>
      <c r="VWR4" s="1962"/>
      <c r="VWS4" s="1962"/>
      <c r="VWT4" s="1962"/>
      <c r="VWU4" s="1962"/>
      <c r="VWV4" s="1962"/>
      <c r="VWW4" s="1962"/>
      <c r="VWX4" s="1962"/>
      <c r="VWY4" s="1962"/>
      <c r="VWZ4" s="1962"/>
      <c r="VXA4" s="1962"/>
      <c r="VXB4" s="1962"/>
      <c r="VXC4" s="1962"/>
      <c r="VXD4" s="1962"/>
      <c r="VXE4" s="1962"/>
      <c r="VXF4" s="1962"/>
      <c r="VXG4" s="1962"/>
      <c r="VXH4" s="1962"/>
      <c r="VXI4" s="1962"/>
      <c r="VXJ4" s="1962"/>
      <c r="VXK4" s="1962"/>
      <c r="VXL4" s="1962"/>
      <c r="VXM4" s="1962"/>
      <c r="VXN4" s="1962"/>
      <c r="VXO4" s="1962"/>
      <c r="VXP4" s="1962"/>
      <c r="VXQ4" s="1962"/>
      <c r="VXR4" s="1962"/>
      <c r="VXS4" s="1962"/>
      <c r="VXT4" s="1962"/>
      <c r="VXU4" s="1962"/>
      <c r="VXV4" s="1962"/>
      <c r="VXW4" s="1962"/>
      <c r="VXX4" s="1962"/>
      <c r="VXY4" s="1962"/>
      <c r="VXZ4" s="1962"/>
      <c r="VYA4" s="1962"/>
      <c r="VYB4" s="1962"/>
      <c r="VYC4" s="1962"/>
      <c r="VYD4" s="1962"/>
      <c r="VYE4" s="1962"/>
      <c r="VYF4" s="1962"/>
      <c r="VYG4" s="1962"/>
      <c r="VYH4" s="1962"/>
      <c r="VYI4" s="1962"/>
      <c r="VYJ4" s="1962"/>
      <c r="VYK4" s="1962"/>
      <c r="VYL4" s="1962"/>
      <c r="VYM4" s="1962"/>
      <c r="VYN4" s="1962"/>
      <c r="VYO4" s="1962"/>
      <c r="VYP4" s="1962"/>
      <c r="VYQ4" s="1962"/>
      <c r="VYR4" s="1962"/>
      <c r="VYS4" s="1962"/>
      <c r="VYT4" s="1962"/>
      <c r="VYU4" s="1962"/>
      <c r="VYV4" s="1962"/>
      <c r="VYW4" s="1962"/>
      <c r="VYX4" s="1962"/>
      <c r="VYY4" s="1962"/>
      <c r="VYZ4" s="1962"/>
      <c r="VZA4" s="1962"/>
      <c r="VZB4" s="1962"/>
      <c r="VZC4" s="1962"/>
      <c r="VZD4" s="1962"/>
      <c r="VZE4" s="1962"/>
      <c r="VZF4" s="1962"/>
      <c r="VZG4" s="1962"/>
      <c r="VZH4" s="1962"/>
      <c r="VZI4" s="1962"/>
      <c r="VZJ4" s="1962"/>
      <c r="VZK4" s="1962"/>
      <c r="VZL4" s="1962"/>
      <c r="VZM4" s="1962"/>
      <c r="VZN4" s="1962"/>
      <c r="VZO4" s="1962"/>
      <c r="VZP4" s="1962"/>
      <c r="VZQ4" s="1962"/>
      <c r="VZR4" s="1962"/>
      <c r="VZS4" s="1962"/>
      <c r="VZT4" s="1962"/>
      <c r="VZU4" s="1962"/>
      <c r="VZV4" s="1962"/>
      <c r="VZW4" s="1962"/>
      <c r="VZX4" s="1962"/>
      <c r="VZY4" s="1962"/>
      <c r="VZZ4" s="1962"/>
      <c r="WAA4" s="1962"/>
      <c r="WAB4" s="1962"/>
      <c r="WAC4" s="1962"/>
      <c r="WAD4" s="1962"/>
      <c r="WAE4" s="1962"/>
      <c r="WAF4" s="1962"/>
      <c r="WAG4" s="1962"/>
      <c r="WAH4" s="1962"/>
      <c r="WAI4" s="1962"/>
      <c r="WAJ4" s="1962"/>
      <c r="WAK4" s="1962"/>
      <c r="WAL4" s="1962"/>
      <c r="WAM4" s="1962"/>
      <c r="WAN4" s="1962"/>
      <c r="WAO4" s="1962"/>
      <c r="WAP4" s="1962"/>
      <c r="WAQ4" s="1962"/>
      <c r="WAR4" s="1962"/>
      <c r="WAS4" s="1962"/>
      <c r="WAT4" s="1962"/>
      <c r="WAU4" s="1962"/>
      <c r="WAV4" s="1962"/>
      <c r="WAW4" s="1962"/>
      <c r="WAX4" s="1962"/>
      <c r="WAY4" s="1962"/>
      <c r="WAZ4" s="1962"/>
      <c r="WBA4" s="1962"/>
      <c r="WBB4" s="1962"/>
      <c r="WBC4" s="1962"/>
      <c r="WBD4" s="1962"/>
      <c r="WBE4" s="1962"/>
      <c r="WBF4" s="1962"/>
      <c r="WBG4" s="1962"/>
      <c r="WBH4" s="1962"/>
      <c r="WBI4" s="1962"/>
      <c r="WBJ4" s="1962"/>
      <c r="WBK4" s="1962"/>
      <c r="WBL4" s="1962"/>
      <c r="WBM4" s="1962"/>
      <c r="WBN4" s="1962"/>
      <c r="WBO4" s="1962"/>
      <c r="WBP4" s="1962"/>
      <c r="WBQ4" s="1962"/>
      <c r="WBR4" s="1962"/>
      <c r="WBS4" s="1962"/>
      <c r="WBT4" s="1962"/>
      <c r="WBU4" s="1962"/>
      <c r="WBV4" s="1962"/>
      <c r="WBW4" s="1962"/>
      <c r="WBX4" s="1962"/>
      <c r="WBY4" s="1962"/>
      <c r="WBZ4" s="1962"/>
      <c r="WCA4" s="1962"/>
      <c r="WCB4" s="1962"/>
      <c r="WCC4" s="1962"/>
      <c r="WCD4" s="1962"/>
      <c r="WCE4" s="1962"/>
      <c r="WCF4" s="1962"/>
      <c r="WCG4" s="1962"/>
      <c r="WCH4" s="1962"/>
      <c r="WCI4" s="1962"/>
      <c r="WCJ4" s="1962"/>
      <c r="WCK4" s="1962"/>
      <c r="WCL4" s="1962"/>
      <c r="WCM4" s="1962"/>
      <c r="WCN4" s="1962"/>
      <c r="WCO4" s="1962"/>
      <c r="WCP4" s="1962"/>
      <c r="WCQ4" s="1962"/>
      <c r="WCR4" s="1962"/>
      <c r="WCS4" s="1962"/>
      <c r="WCT4" s="1962"/>
      <c r="WCU4" s="1962"/>
      <c r="WCV4" s="1962"/>
      <c r="WCW4" s="1962"/>
      <c r="WCX4" s="1962"/>
      <c r="WCY4" s="1962"/>
      <c r="WCZ4" s="1962"/>
      <c r="WDA4" s="1962"/>
      <c r="WDB4" s="1962"/>
      <c r="WDC4" s="1962"/>
      <c r="WDD4" s="1962"/>
      <c r="WDE4" s="1962"/>
      <c r="WDF4" s="1962"/>
      <c r="WDG4" s="1962"/>
      <c r="WDH4" s="1962"/>
      <c r="WDI4" s="1962"/>
      <c r="WDJ4" s="1962"/>
      <c r="WDK4" s="1962"/>
      <c r="WDL4" s="1962"/>
      <c r="WDM4" s="1962"/>
      <c r="WDN4" s="1962"/>
      <c r="WDO4" s="1962"/>
      <c r="WDP4" s="1962"/>
      <c r="WDQ4" s="1962"/>
      <c r="WDR4" s="1962"/>
      <c r="WDS4" s="1962"/>
      <c r="WDT4" s="1962"/>
      <c r="WDU4" s="1962"/>
      <c r="WDV4" s="1962"/>
      <c r="WDW4" s="1962"/>
      <c r="WDX4" s="1962"/>
      <c r="WDY4" s="1962"/>
      <c r="WDZ4" s="1962"/>
      <c r="WEA4" s="1962"/>
      <c r="WEB4" s="1962"/>
      <c r="WEC4" s="1962"/>
      <c r="WED4" s="1962"/>
      <c r="WEE4" s="1962"/>
      <c r="WEF4" s="1962"/>
      <c r="WEG4" s="1962"/>
      <c r="WEH4" s="1962"/>
      <c r="WEI4" s="1962"/>
      <c r="WEJ4" s="1962"/>
      <c r="WEK4" s="1962"/>
      <c r="WEL4" s="1962"/>
      <c r="WEM4" s="1962"/>
      <c r="WEN4" s="1962"/>
      <c r="WEO4" s="1962"/>
      <c r="WEP4" s="1962"/>
      <c r="WEQ4" s="1962"/>
      <c r="WER4" s="1962"/>
      <c r="WES4" s="1962"/>
      <c r="WET4" s="1962"/>
      <c r="WEU4" s="1962"/>
      <c r="WEV4" s="1962"/>
      <c r="WEW4" s="1962"/>
      <c r="WEX4" s="1962"/>
      <c r="WEY4" s="1962"/>
      <c r="WEZ4" s="1962"/>
      <c r="WFA4" s="1962"/>
      <c r="WFB4" s="1962"/>
      <c r="WFC4" s="1962"/>
      <c r="WFD4" s="1962"/>
      <c r="WFE4" s="1962"/>
      <c r="WFF4" s="1962"/>
      <c r="WFG4" s="1962"/>
      <c r="WFH4" s="1962"/>
      <c r="WFI4" s="1962"/>
      <c r="WFJ4" s="1962"/>
      <c r="WFK4" s="1962"/>
      <c r="WFL4" s="1962"/>
      <c r="WFM4" s="1962"/>
      <c r="WFN4" s="1962"/>
      <c r="WFO4" s="1962"/>
      <c r="WFP4" s="1962"/>
      <c r="WFQ4" s="1962"/>
      <c r="WFR4" s="1962"/>
      <c r="WFS4" s="1962"/>
      <c r="WFT4" s="1962"/>
      <c r="WFU4" s="1962"/>
      <c r="WFV4" s="1962"/>
      <c r="WFW4" s="1962"/>
      <c r="WFX4" s="1962"/>
      <c r="WFY4" s="1962"/>
      <c r="WFZ4" s="1962"/>
      <c r="WGA4" s="1962"/>
      <c r="WGB4" s="1962"/>
      <c r="WGC4" s="1962"/>
      <c r="WGD4" s="1962"/>
      <c r="WGE4" s="1962"/>
      <c r="WGF4" s="1962"/>
      <c r="WGG4" s="1962"/>
      <c r="WGH4" s="1962"/>
      <c r="WGI4" s="1962"/>
      <c r="WGJ4" s="1962"/>
      <c r="WGK4" s="1962"/>
      <c r="WGL4" s="1962"/>
      <c r="WGM4" s="1962"/>
      <c r="WGN4" s="1962"/>
      <c r="WGO4" s="1962"/>
      <c r="WGP4" s="1962"/>
      <c r="WGQ4" s="1962"/>
      <c r="WGR4" s="1962"/>
      <c r="WGS4" s="1962"/>
      <c r="WGT4" s="1962"/>
      <c r="WGU4" s="1962"/>
      <c r="WGV4" s="1962"/>
      <c r="WGW4" s="1962"/>
      <c r="WGX4" s="1962"/>
      <c r="WGY4" s="1962"/>
      <c r="WGZ4" s="1962"/>
      <c r="WHA4" s="1962"/>
      <c r="WHB4" s="1962"/>
      <c r="WHC4" s="1962"/>
      <c r="WHD4" s="1962"/>
      <c r="WHE4" s="1962"/>
      <c r="WHF4" s="1962"/>
      <c r="WHG4" s="1962"/>
      <c r="WHH4" s="1962"/>
      <c r="WHI4" s="1962"/>
      <c r="WHJ4" s="1962"/>
      <c r="WHK4" s="1962"/>
      <c r="WHL4" s="1962"/>
      <c r="WHM4" s="1962"/>
      <c r="WHN4" s="1962"/>
      <c r="WHO4" s="1962"/>
      <c r="WHP4" s="1962"/>
      <c r="WHQ4" s="1962"/>
      <c r="WHR4" s="1962"/>
      <c r="WHS4" s="1962"/>
      <c r="WHT4" s="1962"/>
      <c r="WHU4" s="1962"/>
      <c r="WHV4" s="1962"/>
      <c r="WHW4" s="1962"/>
      <c r="WHX4" s="1962"/>
      <c r="WHY4" s="1962"/>
      <c r="WHZ4" s="1962"/>
      <c r="WIA4" s="1962"/>
      <c r="WIB4" s="1962"/>
      <c r="WIC4" s="1962"/>
      <c r="WID4" s="1962"/>
      <c r="WIE4" s="1962"/>
      <c r="WIF4" s="1962"/>
      <c r="WIG4" s="1962"/>
      <c r="WIH4" s="1962"/>
      <c r="WII4" s="1962"/>
      <c r="WIJ4" s="1962"/>
      <c r="WIK4" s="1962"/>
      <c r="WIL4" s="1962"/>
      <c r="WIM4" s="1962"/>
      <c r="WIN4" s="1962"/>
      <c r="WIO4" s="1962"/>
      <c r="WIP4" s="1962"/>
      <c r="WIQ4" s="1962"/>
      <c r="WIR4" s="1962"/>
      <c r="WIS4" s="1962"/>
      <c r="WIT4" s="1962"/>
      <c r="WIU4" s="1962"/>
      <c r="WIV4" s="1962"/>
      <c r="WIW4" s="1962"/>
      <c r="WIX4" s="1962"/>
      <c r="WIY4" s="1962"/>
      <c r="WIZ4" s="1962"/>
      <c r="WJA4" s="1962"/>
      <c r="WJB4" s="1962"/>
      <c r="WJC4" s="1962"/>
      <c r="WJD4" s="1962"/>
      <c r="WJE4" s="1962"/>
      <c r="WJF4" s="1962"/>
      <c r="WJG4" s="1962"/>
      <c r="WJH4" s="1962"/>
      <c r="WJI4" s="1962"/>
      <c r="WJJ4" s="1962"/>
      <c r="WJK4" s="1962"/>
      <c r="WJL4" s="1962"/>
      <c r="WJM4" s="1962"/>
      <c r="WJN4" s="1962"/>
      <c r="WJO4" s="1962"/>
      <c r="WJP4" s="1962"/>
      <c r="WJQ4" s="1962"/>
      <c r="WJR4" s="1962"/>
      <c r="WJS4" s="1962"/>
      <c r="WJT4" s="1962"/>
      <c r="WJU4" s="1962"/>
      <c r="WJV4" s="1962"/>
      <c r="WJW4" s="1962"/>
      <c r="WJX4" s="1962"/>
      <c r="WJY4" s="1962"/>
      <c r="WJZ4" s="1962"/>
      <c r="WKA4" s="1962"/>
      <c r="WKB4" s="1962"/>
      <c r="WKC4" s="1962"/>
      <c r="WKD4" s="1962"/>
      <c r="WKE4" s="1962"/>
      <c r="WKF4" s="1962"/>
      <c r="WKG4" s="1962"/>
      <c r="WKH4" s="1962"/>
      <c r="WKI4" s="1962"/>
      <c r="WKJ4" s="1962"/>
      <c r="WKK4" s="1962"/>
      <c r="WKL4" s="1962"/>
      <c r="WKM4" s="1962"/>
      <c r="WKN4" s="1962"/>
      <c r="WKO4" s="1962"/>
      <c r="WKP4" s="1962"/>
      <c r="WKQ4" s="1962"/>
      <c r="WKR4" s="1962"/>
      <c r="WKS4" s="1962"/>
      <c r="WKT4" s="1962"/>
      <c r="WKU4" s="1962"/>
      <c r="WKV4" s="1962"/>
      <c r="WKW4" s="1962"/>
      <c r="WKX4" s="1962"/>
      <c r="WKY4" s="1962"/>
      <c r="WKZ4" s="1962"/>
      <c r="WLA4" s="1962"/>
      <c r="WLB4" s="1962"/>
      <c r="WLC4" s="1962"/>
      <c r="WLD4" s="1962"/>
      <c r="WLE4" s="1962"/>
      <c r="WLF4" s="1962"/>
      <c r="WLG4" s="1962"/>
      <c r="WLH4" s="1962"/>
      <c r="WLI4" s="1962"/>
      <c r="WLJ4" s="1962"/>
      <c r="WLK4" s="1962"/>
      <c r="WLL4" s="1962"/>
      <c r="WLM4" s="1962"/>
      <c r="WLN4" s="1962"/>
      <c r="WLO4" s="1962"/>
      <c r="WLP4" s="1962"/>
      <c r="WLQ4" s="1962"/>
      <c r="WLR4" s="1962"/>
      <c r="WLS4" s="1962"/>
      <c r="WLT4" s="1962"/>
      <c r="WLU4" s="1962"/>
      <c r="WLV4" s="1962"/>
      <c r="WLW4" s="1962"/>
      <c r="WLX4" s="1962"/>
      <c r="WLY4" s="1962"/>
      <c r="WLZ4" s="1962"/>
      <c r="WMA4" s="1962"/>
      <c r="WMB4" s="1962"/>
      <c r="WMC4" s="1962"/>
      <c r="WMD4" s="1962"/>
      <c r="WME4" s="1962"/>
      <c r="WMF4" s="1962"/>
      <c r="WMG4" s="1962"/>
      <c r="WMH4" s="1962"/>
      <c r="WMI4" s="1962"/>
      <c r="WMJ4" s="1962"/>
      <c r="WMK4" s="1962"/>
      <c r="WML4" s="1962"/>
      <c r="WMM4" s="1962"/>
      <c r="WMN4" s="1962"/>
      <c r="WMO4" s="1962"/>
      <c r="WMP4" s="1962"/>
      <c r="WMQ4" s="1962"/>
      <c r="WMR4" s="1962"/>
      <c r="WMS4" s="1962"/>
      <c r="WMT4" s="1962"/>
      <c r="WMU4" s="1962"/>
      <c r="WMV4" s="1962"/>
      <c r="WMW4" s="1962"/>
      <c r="WMX4" s="1962"/>
      <c r="WMY4" s="1962"/>
      <c r="WMZ4" s="1962"/>
      <c r="WNA4" s="1962"/>
      <c r="WNB4" s="1962"/>
      <c r="WNC4" s="1962"/>
      <c r="WND4" s="1962"/>
      <c r="WNE4" s="1962"/>
      <c r="WNF4" s="1962"/>
      <c r="WNG4" s="1962"/>
      <c r="WNH4" s="1962"/>
      <c r="WNI4" s="1962"/>
      <c r="WNJ4" s="1962"/>
      <c r="WNK4" s="1962"/>
      <c r="WNL4" s="1962"/>
      <c r="WNM4" s="1962"/>
      <c r="WNN4" s="1962"/>
      <c r="WNO4" s="1962"/>
      <c r="WNP4" s="1962"/>
      <c r="WNQ4" s="1962"/>
      <c r="WNR4" s="1962"/>
      <c r="WNS4" s="1962"/>
      <c r="WNT4" s="1962"/>
      <c r="WNU4" s="1962"/>
      <c r="WNV4" s="1962"/>
      <c r="WNW4" s="1962"/>
      <c r="WNX4" s="1962"/>
      <c r="WNY4" s="1962"/>
      <c r="WNZ4" s="1962"/>
      <c r="WOA4" s="1962"/>
      <c r="WOB4" s="1962"/>
      <c r="WOC4" s="1962"/>
      <c r="WOD4" s="1962"/>
      <c r="WOE4" s="1962"/>
      <c r="WOF4" s="1962"/>
      <c r="WOG4" s="1962"/>
      <c r="WOH4" s="1962"/>
      <c r="WOI4" s="1962"/>
      <c r="WOJ4" s="1962"/>
      <c r="WOK4" s="1962"/>
      <c r="WOL4" s="1962"/>
      <c r="WOM4" s="1962"/>
      <c r="WON4" s="1962"/>
      <c r="WOO4" s="1962"/>
      <c r="WOP4" s="1962"/>
      <c r="WOQ4" s="1962"/>
      <c r="WOR4" s="1962"/>
      <c r="WOS4" s="1962"/>
      <c r="WOT4" s="1962"/>
      <c r="WOU4" s="1962"/>
      <c r="WOV4" s="1962"/>
      <c r="WOW4" s="1962"/>
      <c r="WOX4" s="1962"/>
      <c r="WOY4" s="1962"/>
      <c r="WOZ4" s="1962"/>
      <c r="WPA4" s="1962"/>
      <c r="WPB4" s="1962"/>
      <c r="WPC4" s="1962"/>
      <c r="WPD4" s="1962"/>
      <c r="WPE4" s="1962"/>
      <c r="WPF4" s="1962"/>
      <c r="WPG4" s="1962"/>
      <c r="WPH4" s="1962"/>
      <c r="WPI4" s="1962"/>
      <c r="WPJ4" s="1962"/>
      <c r="WPK4" s="1962"/>
      <c r="WPL4" s="1962"/>
      <c r="WPM4" s="1962"/>
      <c r="WPN4" s="1962"/>
      <c r="WPO4" s="1962"/>
      <c r="WPP4" s="1962"/>
      <c r="WPQ4" s="1962"/>
      <c r="WPR4" s="1962"/>
      <c r="WPS4" s="1962"/>
      <c r="WPT4" s="1962"/>
      <c r="WPU4" s="1962"/>
      <c r="WPV4" s="1962"/>
      <c r="WPW4" s="1962"/>
      <c r="WPX4" s="1962"/>
      <c r="WPY4" s="1962"/>
      <c r="WPZ4" s="1962"/>
      <c r="WQA4" s="1962"/>
      <c r="WQB4" s="1962"/>
      <c r="WQC4" s="1962"/>
      <c r="WQD4" s="1962"/>
      <c r="WQE4" s="1962"/>
      <c r="WQF4" s="1962"/>
      <c r="WQG4" s="1962"/>
      <c r="WQH4" s="1962"/>
      <c r="WQI4" s="1962"/>
      <c r="WQJ4" s="1962"/>
      <c r="WQK4" s="1962"/>
      <c r="WQL4" s="1962"/>
      <c r="WQM4" s="1962"/>
      <c r="WQN4" s="1962"/>
      <c r="WQO4" s="1962"/>
      <c r="WQP4" s="1962"/>
      <c r="WQQ4" s="1962"/>
      <c r="WQR4" s="1962"/>
      <c r="WQS4" s="1962"/>
      <c r="WQT4" s="1962"/>
      <c r="WQU4" s="1962"/>
      <c r="WQV4" s="1962"/>
      <c r="WQW4" s="1962"/>
      <c r="WQX4" s="1962"/>
      <c r="WQY4" s="1962"/>
      <c r="WQZ4" s="1962"/>
      <c r="WRA4" s="1962"/>
      <c r="WRB4" s="1962"/>
      <c r="WRC4" s="1962"/>
      <c r="WRD4" s="1962"/>
      <c r="WRE4" s="1962"/>
      <c r="WRF4" s="1962"/>
      <c r="WRG4" s="1962"/>
      <c r="WRH4" s="1962"/>
      <c r="WRI4" s="1962"/>
      <c r="WRJ4" s="1962"/>
      <c r="WRK4" s="1962"/>
      <c r="WRL4" s="1962"/>
      <c r="WRM4" s="1962"/>
      <c r="WRN4" s="1962"/>
      <c r="WRO4" s="1962"/>
      <c r="WRP4" s="1962"/>
      <c r="WRQ4" s="1962"/>
      <c r="WRR4" s="1962"/>
      <c r="WRS4" s="1962"/>
      <c r="WRT4" s="1962"/>
      <c r="WRU4" s="1962"/>
      <c r="WRV4" s="1962"/>
      <c r="WRW4" s="1962"/>
      <c r="WRX4" s="1962"/>
      <c r="WRY4" s="1962"/>
      <c r="WRZ4" s="1962"/>
      <c r="WSA4" s="1962"/>
      <c r="WSB4" s="1962"/>
      <c r="WSC4" s="1962"/>
      <c r="WSD4" s="1962"/>
      <c r="WSE4" s="1962"/>
      <c r="WSF4" s="1962"/>
      <c r="WSG4" s="1962"/>
      <c r="WSH4" s="1962"/>
      <c r="WSI4" s="1962"/>
      <c r="WSJ4" s="1962"/>
      <c r="WSK4" s="1962"/>
      <c r="WSL4" s="1962"/>
      <c r="WSM4" s="1962"/>
      <c r="WSN4" s="1962"/>
      <c r="WSO4" s="1962"/>
      <c r="WSP4" s="1962"/>
      <c r="WSQ4" s="1962"/>
      <c r="WSR4" s="1962"/>
      <c r="WSS4" s="1962"/>
      <c r="WST4" s="1962"/>
      <c r="WSU4" s="1962"/>
      <c r="WSV4" s="1962"/>
      <c r="WSW4" s="1962"/>
      <c r="WSX4" s="1962"/>
      <c r="WSY4" s="1962"/>
      <c r="WSZ4" s="1962"/>
      <c r="WTA4" s="1962"/>
      <c r="WTB4" s="1962"/>
      <c r="WTC4" s="1962"/>
      <c r="WTD4" s="1962"/>
      <c r="WTE4" s="1962"/>
      <c r="WTF4" s="1962"/>
      <c r="WTG4" s="1962"/>
      <c r="WTH4" s="1962"/>
      <c r="WTI4" s="1962"/>
      <c r="WTJ4" s="1962"/>
      <c r="WTK4" s="1962"/>
      <c r="WTL4" s="1962"/>
      <c r="WTM4" s="1962"/>
      <c r="WTN4" s="1962"/>
      <c r="WTO4" s="1962"/>
      <c r="WTP4" s="1962"/>
      <c r="WTQ4" s="1962"/>
      <c r="WTR4" s="1962"/>
      <c r="WTS4" s="1962"/>
      <c r="WTT4" s="1962"/>
      <c r="WTU4" s="1962"/>
      <c r="WTV4" s="1962"/>
      <c r="WTW4" s="1962"/>
      <c r="WTX4" s="1962"/>
      <c r="WTY4" s="1962"/>
      <c r="WTZ4" s="1962"/>
      <c r="WUA4" s="1962"/>
      <c r="WUB4" s="1962"/>
      <c r="WUC4" s="1962"/>
      <c r="WUD4" s="1962"/>
      <c r="WUE4" s="1962"/>
      <c r="WUF4" s="1962"/>
      <c r="WUG4" s="1962"/>
      <c r="WUH4" s="1962"/>
      <c r="WUI4" s="1962"/>
      <c r="WUJ4" s="1962"/>
      <c r="WUK4" s="1962"/>
      <c r="WUL4" s="1962"/>
      <c r="WUM4" s="1962"/>
      <c r="WUN4" s="1962"/>
      <c r="WUO4" s="1962"/>
      <c r="WUP4" s="1962"/>
      <c r="WUQ4" s="1962"/>
      <c r="WUR4" s="1962"/>
      <c r="WUS4" s="1962"/>
      <c r="WUT4" s="1962"/>
      <c r="WUU4" s="1962"/>
      <c r="WUV4" s="1962"/>
      <c r="WUW4" s="1962"/>
      <c r="WUX4" s="1962"/>
      <c r="WUY4" s="1962"/>
      <c r="WUZ4" s="1962"/>
      <c r="WVA4" s="1962"/>
      <c r="WVB4" s="1962"/>
      <c r="WVC4" s="1962"/>
      <c r="WVD4" s="1962"/>
      <c r="WVE4" s="1962"/>
      <c r="WVF4" s="1962"/>
      <c r="WVG4" s="1962"/>
      <c r="WVH4" s="1962"/>
      <c r="WVI4" s="1962"/>
      <c r="WVJ4" s="1962"/>
      <c r="WVK4" s="1962"/>
      <c r="WVL4" s="1962"/>
      <c r="WVM4" s="1962"/>
      <c r="WVN4" s="1962"/>
      <c r="WVO4" s="1962"/>
      <c r="WVP4" s="1962"/>
      <c r="WVQ4" s="1962"/>
      <c r="WVR4" s="1962"/>
      <c r="WVS4" s="1962"/>
      <c r="WVT4" s="1962"/>
      <c r="WVU4" s="1962"/>
      <c r="WVV4" s="1962"/>
      <c r="WVW4" s="1962"/>
      <c r="WVX4" s="1962"/>
      <c r="WVY4" s="1962"/>
      <c r="WVZ4" s="1962"/>
      <c r="WWA4" s="1962"/>
      <c r="WWB4" s="1962"/>
      <c r="WWC4" s="1962"/>
      <c r="WWD4" s="1962"/>
      <c r="WWE4" s="1962"/>
      <c r="WWF4" s="1962"/>
      <c r="WWG4" s="1962"/>
      <c r="WWH4" s="1962"/>
      <c r="WWI4" s="1962"/>
      <c r="WWJ4" s="1962"/>
      <c r="WWK4" s="1962"/>
      <c r="WWL4" s="1962"/>
      <c r="WWM4" s="1962"/>
      <c r="WWN4" s="1962"/>
      <c r="WWO4" s="1962"/>
      <c r="WWP4" s="1962"/>
      <c r="WWQ4" s="1962"/>
      <c r="WWR4" s="1962"/>
      <c r="WWS4" s="1962"/>
      <c r="WWT4" s="1962"/>
      <c r="WWU4" s="1962"/>
      <c r="WWV4" s="1962"/>
      <c r="WWW4" s="1962"/>
      <c r="WWX4" s="1962"/>
      <c r="WWY4" s="1962"/>
      <c r="WWZ4" s="1962"/>
      <c r="WXA4" s="1962"/>
      <c r="WXB4" s="1962"/>
      <c r="WXC4" s="1962"/>
      <c r="WXD4" s="1962"/>
      <c r="WXE4" s="1962"/>
      <c r="WXF4" s="1962"/>
      <c r="WXG4" s="1962"/>
      <c r="WXH4" s="1962"/>
      <c r="WXI4" s="1962"/>
      <c r="WXJ4" s="1962"/>
      <c r="WXK4" s="1962"/>
      <c r="WXL4" s="1962"/>
      <c r="WXM4" s="1962"/>
      <c r="WXN4" s="1962"/>
      <c r="WXO4" s="1962"/>
      <c r="WXP4" s="1962"/>
      <c r="WXQ4" s="1962"/>
      <c r="WXR4" s="1962"/>
      <c r="WXS4" s="1962"/>
      <c r="WXT4" s="1962"/>
      <c r="WXU4" s="1962"/>
      <c r="WXV4" s="1962"/>
      <c r="WXW4" s="1962"/>
      <c r="WXX4" s="1962"/>
      <c r="WXY4" s="1962"/>
      <c r="WXZ4" s="1962"/>
      <c r="WYA4" s="1962"/>
      <c r="WYB4" s="1962"/>
      <c r="WYC4" s="1962"/>
      <c r="WYD4" s="1962"/>
      <c r="WYE4" s="1962"/>
      <c r="WYF4" s="1962"/>
      <c r="WYG4" s="1962"/>
      <c r="WYH4" s="1962"/>
      <c r="WYI4" s="1962"/>
      <c r="WYJ4" s="1962"/>
      <c r="WYK4" s="1962"/>
      <c r="WYL4" s="1962"/>
      <c r="WYM4" s="1962"/>
      <c r="WYN4" s="1962"/>
      <c r="WYO4" s="1962"/>
      <c r="WYP4" s="1962"/>
      <c r="WYQ4" s="1962"/>
      <c r="WYR4" s="1962"/>
      <c r="WYS4" s="1962"/>
      <c r="WYT4" s="1962"/>
      <c r="WYU4" s="1962"/>
      <c r="WYV4" s="1962"/>
      <c r="WYW4" s="1962"/>
      <c r="WYX4" s="1962"/>
      <c r="WYY4" s="1962"/>
      <c r="WYZ4" s="1962"/>
      <c r="WZA4" s="1962"/>
      <c r="WZB4" s="1962"/>
      <c r="WZC4" s="1962"/>
      <c r="WZD4" s="1962"/>
      <c r="WZE4" s="1962"/>
      <c r="WZF4" s="1962"/>
      <c r="WZG4" s="1962"/>
      <c r="WZH4" s="1962"/>
      <c r="WZI4" s="1962"/>
      <c r="WZJ4" s="1962"/>
      <c r="WZK4" s="1962"/>
      <c r="WZL4" s="1962"/>
      <c r="WZM4" s="1962"/>
      <c r="WZN4" s="1962"/>
      <c r="WZO4" s="1962"/>
      <c r="WZP4" s="1962"/>
      <c r="WZQ4" s="1962"/>
      <c r="WZR4" s="1962"/>
      <c r="WZS4" s="1962"/>
      <c r="WZT4" s="1962"/>
      <c r="WZU4" s="1962"/>
      <c r="WZV4" s="1962"/>
      <c r="WZW4" s="1962"/>
      <c r="WZX4" s="1962"/>
      <c r="WZY4" s="1962"/>
      <c r="WZZ4" s="1962"/>
      <c r="XAA4" s="1962"/>
      <c r="XAB4" s="1962"/>
      <c r="XAC4" s="1962"/>
      <c r="XAD4" s="1962"/>
      <c r="XAE4" s="1962"/>
      <c r="XAF4" s="1962"/>
      <c r="XAG4" s="1962"/>
      <c r="XAH4" s="1962"/>
      <c r="XAI4" s="1962"/>
      <c r="XAJ4" s="1962"/>
      <c r="XAK4" s="1962"/>
      <c r="XAL4" s="1962"/>
      <c r="XAM4" s="1962"/>
      <c r="XAN4" s="1962"/>
      <c r="XAO4" s="1962"/>
      <c r="XAP4" s="1962"/>
      <c r="XAQ4" s="1962"/>
      <c r="XAR4" s="1962"/>
      <c r="XAS4" s="1962"/>
      <c r="XAT4" s="1962"/>
      <c r="XAU4" s="1962"/>
      <c r="XAV4" s="1962"/>
      <c r="XAW4" s="1962"/>
      <c r="XAX4" s="1962"/>
      <c r="XAY4" s="1962"/>
      <c r="XAZ4" s="1962"/>
      <c r="XBA4" s="1962"/>
      <c r="XBB4" s="1962"/>
      <c r="XBC4" s="1962"/>
      <c r="XBD4" s="1962"/>
      <c r="XBE4" s="1962"/>
      <c r="XBF4" s="1962"/>
      <c r="XBG4" s="1962"/>
      <c r="XBH4" s="1962"/>
      <c r="XBI4" s="1962"/>
      <c r="XBJ4" s="1962"/>
      <c r="XBK4" s="1962"/>
      <c r="XBL4" s="1962"/>
      <c r="XBM4" s="1962"/>
      <c r="XBN4" s="1962"/>
      <c r="XBO4" s="1962"/>
      <c r="XBP4" s="1962"/>
      <c r="XBQ4" s="1962"/>
      <c r="XBR4" s="1962"/>
      <c r="XBS4" s="1962"/>
      <c r="XBT4" s="1962"/>
      <c r="XBU4" s="1962"/>
      <c r="XBV4" s="1962"/>
      <c r="XBW4" s="1962"/>
      <c r="XBX4" s="1962"/>
      <c r="XBY4" s="1962"/>
      <c r="XBZ4" s="1962"/>
      <c r="XCA4" s="1962"/>
      <c r="XCB4" s="1962"/>
      <c r="XCC4" s="1962"/>
      <c r="XCD4" s="1962"/>
      <c r="XCE4" s="1962"/>
      <c r="XCF4" s="1962"/>
      <c r="XCG4" s="1962"/>
      <c r="XCH4" s="1962"/>
      <c r="XCI4" s="1962"/>
      <c r="XCJ4" s="1962"/>
      <c r="XCK4" s="1962"/>
      <c r="XCL4" s="1962"/>
      <c r="XCM4" s="1962"/>
      <c r="XCN4" s="1962"/>
      <c r="XCO4" s="1962"/>
      <c r="XCP4" s="1962"/>
      <c r="XCQ4" s="1962"/>
      <c r="XCR4" s="1962"/>
      <c r="XCS4" s="1962"/>
      <c r="XCT4" s="1962"/>
      <c r="XCU4" s="1962"/>
      <c r="XCV4" s="1962"/>
      <c r="XCW4" s="1962"/>
      <c r="XCX4" s="1962"/>
      <c r="XCY4" s="1962"/>
      <c r="XCZ4" s="1962"/>
      <c r="XDA4" s="1962"/>
      <c r="XDB4" s="1962"/>
      <c r="XDC4" s="1962"/>
      <c r="XDD4" s="1962"/>
      <c r="XDE4" s="1962"/>
      <c r="XDF4" s="1962"/>
      <c r="XDG4" s="1962"/>
      <c r="XDH4" s="1962"/>
      <c r="XDI4" s="1962"/>
      <c r="XDJ4" s="1962"/>
      <c r="XDK4" s="1962"/>
      <c r="XDL4" s="1962"/>
      <c r="XDM4" s="1962"/>
      <c r="XDN4" s="1962"/>
      <c r="XDO4" s="1962"/>
      <c r="XDP4" s="1962"/>
      <c r="XDQ4" s="1962"/>
      <c r="XDR4" s="1962"/>
      <c r="XDS4" s="1962"/>
      <c r="XDT4" s="1962"/>
      <c r="XDU4" s="1962"/>
      <c r="XDV4" s="1962"/>
      <c r="XDW4" s="1962"/>
      <c r="XDX4" s="1962"/>
      <c r="XDY4" s="1962"/>
      <c r="XDZ4" s="1962"/>
      <c r="XEA4" s="1962"/>
      <c r="XEB4" s="1962"/>
      <c r="XEC4" s="1962"/>
      <c r="XED4" s="1962"/>
      <c r="XEE4" s="1962"/>
      <c r="XEF4" s="1962"/>
      <c r="XEG4" s="1962"/>
      <c r="XEH4" s="1962"/>
      <c r="XEI4" s="1962"/>
      <c r="XEJ4" s="1962"/>
      <c r="XEK4" s="1962"/>
      <c r="XEL4" s="1962"/>
      <c r="XEM4" s="1962"/>
      <c r="XEN4" s="1962"/>
      <c r="XEO4" s="1962"/>
      <c r="XEP4" s="1962"/>
      <c r="XEQ4" s="1962"/>
      <c r="XER4" s="1962"/>
      <c r="XES4" s="1962"/>
      <c r="XET4" s="1962"/>
      <c r="XEU4" s="1962"/>
      <c r="XEV4" s="1962"/>
      <c r="XEW4" s="1962"/>
      <c r="XEX4" s="1962"/>
      <c r="XEY4" s="1962"/>
      <c r="XEZ4" s="1962"/>
      <c r="XFA4" s="1962"/>
      <c r="XFB4" s="1962"/>
      <c r="XFC4" s="1972"/>
      <c r="XFD4" s="1972"/>
    </row>
    <row r="5" s="1963" customFormat="1" ht="15" spans="1:16384">
      <c r="A5" s="1968" t="s">
        <v>1698</v>
      </c>
      <c r="B5" s="1968" t="s">
        <v>1699</v>
      </c>
      <c r="C5" s="1968">
        <v>15098</v>
      </c>
      <c r="D5" s="1968">
        <v>15314.42</v>
      </c>
      <c r="E5" s="1968" t="s">
        <v>1686</v>
      </c>
      <c r="F5" s="1968" t="s">
        <v>1700</v>
      </c>
      <c r="G5" s="1968" t="s">
        <v>1701</v>
      </c>
      <c r="H5" s="1968" t="s">
        <v>1689</v>
      </c>
      <c r="I5" s="1968" t="s">
        <v>1690</v>
      </c>
      <c r="J5" s="1968" t="s">
        <v>1691</v>
      </c>
      <c r="K5" s="1968" t="s">
        <v>1702</v>
      </c>
      <c r="L5" s="1968">
        <v>14000</v>
      </c>
      <c r="M5" s="1968">
        <v>9272.75</v>
      </c>
      <c r="N5" s="1968">
        <v>618.18</v>
      </c>
      <c r="O5" s="1968">
        <v>9142</v>
      </c>
      <c r="P5" s="1968">
        <v>1.45</v>
      </c>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c r="CF5" s="1962"/>
      <c r="CG5" s="1962"/>
      <c r="CH5" s="1962"/>
      <c r="CI5" s="1962"/>
      <c r="CJ5" s="1962"/>
      <c r="CK5" s="1962"/>
      <c r="CL5" s="1962"/>
      <c r="CM5" s="1962"/>
      <c r="CN5" s="1962"/>
      <c r="CO5" s="1962"/>
      <c r="CP5" s="1962"/>
      <c r="CQ5" s="1962"/>
      <c r="CR5" s="1962"/>
      <c r="CS5" s="1962"/>
      <c r="CT5" s="1962"/>
      <c r="CU5" s="1962"/>
      <c r="CV5" s="1962"/>
      <c r="CW5" s="1962"/>
      <c r="CX5" s="1962"/>
      <c r="CY5" s="1962"/>
      <c r="CZ5" s="1962"/>
      <c r="DA5" s="1962"/>
      <c r="DB5" s="1962"/>
      <c r="DC5" s="1962"/>
      <c r="DD5" s="1962"/>
      <c r="DE5" s="1962"/>
      <c r="DF5" s="1962"/>
      <c r="DG5" s="1962"/>
      <c r="DH5" s="1962"/>
      <c r="DI5" s="1962"/>
      <c r="DJ5" s="1962"/>
      <c r="DK5" s="1962"/>
      <c r="DL5" s="1962"/>
      <c r="DM5" s="1962"/>
      <c r="DN5" s="1962"/>
      <c r="DO5" s="1962"/>
      <c r="DP5" s="1962"/>
      <c r="DQ5" s="1962"/>
      <c r="DR5" s="1962"/>
      <c r="DS5" s="1962"/>
      <c r="DT5" s="1962"/>
      <c r="DU5" s="1962"/>
      <c r="DV5" s="1962"/>
      <c r="DW5" s="1962"/>
      <c r="DX5" s="1962"/>
      <c r="DY5" s="1962"/>
      <c r="DZ5" s="1962"/>
      <c r="EA5" s="1962"/>
      <c r="EB5" s="1962"/>
      <c r="EC5" s="1962"/>
      <c r="ED5" s="1962"/>
      <c r="EE5" s="1962"/>
      <c r="EF5" s="1962"/>
      <c r="EG5" s="1962"/>
      <c r="EH5" s="1962"/>
      <c r="EI5" s="1962"/>
      <c r="EJ5" s="1962"/>
      <c r="EK5" s="1962"/>
      <c r="EL5" s="1962"/>
      <c r="EM5" s="1962"/>
      <c r="EN5" s="1962"/>
      <c r="EO5" s="1962"/>
      <c r="EP5" s="1962"/>
      <c r="EQ5" s="1962"/>
      <c r="ER5" s="1962"/>
      <c r="ES5" s="1962"/>
      <c r="ET5" s="1962"/>
      <c r="EU5" s="1962"/>
      <c r="EV5" s="1962"/>
      <c r="EW5" s="1962"/>
      <c r="EX5" s="1962"/>
      <c r="EY5" s="1962"/>
      <c r="EZ5" s="1962"/>
      <c r="FA5" s="1962"/>
      <c r="FB5" s="1962"/>
      <c r="FC5" s="1962"/>
      <c r="FD5" s="1962"/>
      <c r="FE5" s="1962"/>
      <c r="FF5" s="1962"/>
      <c r="FG5" s="1962"/>
      <c r="FH5" s="1962"/>
      <c r="FI5" s="1962"/>
      <c r="FJ5" s="1962"/>
      <c r="FK5" s="1962"/>
      <c r="FL5" s="1962"/>
      <c r="FM5" s="1962"/>
      <c r="FN5" s="1962"/>
      <c r="FO5" s="1962"/>
      <c r="FP5" s="1962"/>
      <c r="FQ5" s="1962"/>
      <c r="FR5" s="1962"/>
      <c r="FS5" s="1962"/>
      <c r="FT5" s="1962"/>
      <c r="FU5" s="1962"/>
      <c r="FV5" s="1962"/>
      <c r="FW5" s="1962"/>
      <c r="FX5" s="1962"/>
      <c r="FY5" s="1962"/>
      <c r="FZ5" s="1962"/>
      <c r="GA5" s="1962"/>
      <c r="GB5" s="1962"/>
      <c r="GC5" s="1962"/>
      <c r="GD5" s="1962"/>
      <c r="GE5" s="1962"/>
      <c r="GF5" s="1962"/>
      <c r="GG5" s="1962"/>
      <c r="GH5" s="1962"/>
      <c r="GI5" s="1962"/>
      <c r="GJ5" s="1962"/>
      <c r="GK5" s="1962"/>
      <c r="GL5" s="1962"/>
      <c r="GM5" s="1962"/>
      <c r="GN5" s="1962"/>
      <c r="GO5" s="1962"/>
      <c r="GP5" s="1962"/>
      <c r="GQ5" s="1962"/>
      <c r="GR5" s="1962"/>
      <c r="GS5" s="1962"/>
      <c r="GT5" s="1962"/>
      <c r="GU5" s="1962"/>
      <c r="GV5" s="1962"/>
      <c r="GW5" s="1962"/>
      <c r="GX5" s="1962"/>
      <c r="GY5" s="1962"/>
      <c r="GZ5" s="1962"/>
      <c r="HA5" s="1962"/>
      <c r="HB5" s="1962"/>
      <c r="HC5" s="1962"/>
      <c r="HD5" s="1962"/>
      <c r="HE5" s="1962"/>
      <c r="HF5" s="1962"/>
      <c r="HG5" s="1962"/>
      <c r="HH5" s="1962"/>
      <c r="HI5" s="1962"/>
      <c r="HJ5" s="1962"/>
      <c r="HK5" s="1962"/>
      <c r="HL5" s="1962"/>
      <c r="HM5" s="1962"/>
      <c r="HN5" s="1962"/>
      <c r="HO5" s="1962"/>
      <c r="HP5" s="1962"/>
      <c r="HQ5" s="1962"/>
      <c r="HR5" s="1962"/>
      <c r="HS5" s="1962"/>
      <c r="HT5" s="1962"/>
      <c r="HU5" s="1962"/>
      <c r="HV5" s="1962"/>
      <c r="HW5" s="1962"/>
      <c r="HX5" s="1962"/>
      <c r="HY5" s="1962"/>
      <c r="HZ5" s="1962"/>
      <c r="IA5" s="1962"/>
      <c r="IB5" s="1962"/>
      <c r="IC5" s="1962"/>
      <c r="ID5" s="1962"/>
      <c r="IE5" s="1962"/>
      <c r="IF5" s="1962"/>
      <c r="IG5" s="1962"/>
      <c r="IH5" s="1962"/>
      <c r="II5" s="1962"/>
      <c r="IJ5" s="1962"/>
      <c r="IK5" s="1962"/>
      <c r="IL5" s="1962"/>
      <c r="IM5" s="1962"/>
      <c r="IN5" s="1962"/>
      <c r="IO5" s="1962"/>
      <c r="IP5" s="1962"/>
      <c r="IQ5" s="1962"/>
      <c r="IR5" s="1962"/>
      <c r="IS5" s="1962"/>
      <c r="IT5" s="1962"/>
      <c r="IU5" s="1962"/>
      <c r="IV5" s="1962"/>
      <c r="IW5" s="1962"/>
      <c r="IX5" s="1962"/>
      <c r="IY5" s="1962"/>
      <c r="IZ5" s="1962"/>
      <c r="JA5" s="1962"/>
      <c r="JB5" s="1962"/>
      <c r="JC5" s="1962"/>
      <c r="JD5" s="1962"/>
      <c r="JE5" s="1962"/>
      <c r="JF5" s="1962"/>
      <c r="JG5" s="1962"/>
      <c r="JH5" s="1962"/>
      <c r="JI5" s="1962"/>
      <c r="JJ5" s="1962"/>
      <c r="JK5" s="1962"/>
      <c r="JL5" s="1962"/>
      <c r="JM5" s="1962"/>
      <c r="JN5" s="1962"/>
      <c r="JO5" s="1962"/>
      <c r="JP5" s="1962"/>
      <c r="JQ5" s="1962"/>
      <c r="JR5" s="1962"/>
      <c r="JS5" s="1962"/>
      <c r="JT5" s="1962"/>
      <c r="JU5" s="1962"/>
      <c r="JV5" s="1962"/>
      <c r="JW5" s="1962"/>
      <c r="JX5" s="1962"/>
      <c r="JY5" s="1962"/>
      <c r="JZ5" s="1962"/>
      <c r="KA5" s="1962"/>
      <c r="KB5" s="1962"/>
      <c r="KC5" s="1962"/>
      <c r="KD5" s="1962"/>
      <c r="KE5" s="1962"/>
      <c r="KF5" s="1962"/>
      <c r="KG5" s="1962"/>
      <c r="KH5" s="1962"/>
      <c r="KI5" s="1962"/>
      <c r="KJ5" s="1962"/>
      <c r="KK5" s="1962"/>
      <c r="KL5" s="1962"/>
      <c r="KM5" s="1962"/>
      <c r="KN5" s="1962"/>
      <c r="KO5" s="1962"/>
      <c r="KP5" s="1962"/>
      <c r="KQ5" s="1962"/>
      <c r="KR5" s="1962"/>
      <c r="KS5" s="1962"/>
      <c r="KT5" s="1962"/>
      <c r="KU5" s="1962"/>
      <c r="KV5" s="1962"/>
      <c r="KW5" s="1962"/>
      <c r="KX5" s="1962"/>
      <c r="KY5" s="1962"/>
      <c r="KZ5" s="1962"/>
      <c r="LA5" s="1962"/>
      <c r="LB5" s="1962"/>
      <c r="LC5" s="1962"/>
      <c r="LD5" s="1962"/>
      <c r="LE5" s="1962"/>
      <c r="LF5" s="1962"/>
      <c r="LG5" s="1962"/>
      <c r="LH5" s="1962"/>
      <c r="LI5" s="1962"/>
      <c r="LJ5" s="1962"/>
      <c r="LK5" s="1962"/>
      <c r="LL5" s="1962"/>
      <c r="LM5" s="1962"/>
      <c r="LN5" s="1962"/>
      <c r="LO5" s="1962"/>
      <c r="LP5" s="1962"/>
      <c r="LQ5" s="1962"/>
      <c r="LR5" s="1962"/>
      <c r="LS5" s="1962"/>
      <c r="LT5" s="1962"/>
      <c r="LU5" s="1962"/>
      <c r="LV5" s="1962"/>
      <c r="LW5" s="1962"/>
      <c r="LX5" s="1962"/>
      <c r="LY5" s="1962"/>
      <c r="LZ5" s="1962"/>
      <c r="MA5" s="1962"/>
      <c r="MB5" s="1962"/>
      <c r="MC5" s="1962"/>
      <c r="MD5" s="1962"/>
      <c r="ME5" s="1962"/>
      <c r="MF5" s="1962"/>
      <c r="MG5" s="1962"/>
      <c r="MH5" s="1962"/>
      <c r="MI5" s="1962"/>
      <c r="MJ5" s="1962"/>
      <c r="MK5" s="1962"/>
      <c r="ML5" s="1962"/>
      <c r="MM5" s="1962"/>
      <c r="MN5" s="1962"/>
      <c r="MO5" s="1962"/>
      <c r="MP5" s="1962"/>
      <c r="MQ5" s="1962"/>
      <c r="MR5" s="1962"/>
      <c r="MS5" s="1962"/>
      <c r="MT5" s="1962"/>
      <c r="MU5" s="1962"/>
      <c r="MV5" s="1962"/>
      <c r="MW5" s="1962"/>
      <c r="MX5" s="1962"/>
      <c r="MY5" s="1962"/>
      <c r="MZ5" s="1962"/>
      <c r="NA5" s="1962"/>
      <c r="NB5" s="1962"/>
      <c r="NC5" s="1962"/>
      <c r="ND5" s="1962"/>
      <c r="NE5" s="1962"/>
      <c r="NF5" s="1962"/>
      <c r="NG5" s="1962"/>
      <c r="NH5" s="1962"/>
      <c r="NI5" s="1962"/>
      <c r="NJ5" s="1962"/>
      <c r="NK5" s="1962"/>
      <c r="NL5" s="1962"/>
      <c r="NM5" s="1962"/>
      <c r="NN5" s="1962"/>
      <c r="NO5" s="1962"/>
      <c r="NP5" s="1962"/>
      <c r="NQ5" s="1962"/>
      <c r="NR5" s="1962"/>
      <c r="NS5" s="1962"/>
      <c r="NT5" s="1962"/>
      <c r="NU5" s="1962"/>
      <c r="NV5" s="1962"/>
      <c r="NW5" s="1962"/>
      <c r="NX5" s="1962"/>
      <c r="NY5" s="1962"/>
      <c r="NZ5" s="1962"/>
      <c r="OA5" s="1962"/>
      <c r="OB5" s="1962"/>
      <c r="OC5" s="1962"/>
      <c r="OD5" s="1962"/>
      <c r="OE5" s="1962"/>
      <c r="OF5" s="1962"/>
      <c r="OG5" s="1962"/>
      <c r="OH5" s="1962"/>
      <c r="OI5" s="1962"/>
      <c r="OJ5" s="1962"/>
      <c r="OK5" s="1962"/>
      <c r="OL5" s="1962"/>
      <c r="OM5" s="1962"/>
      <c r="ON5" s="1962"/>
      <c r="OO5" s="1962"/>
      <c r="OP5" s="1962"/>
      <c r="OQ5" s="1962"/>
      <c r="OR5" s="1962"/>
      <c r="OS5" s="1962"/>
      <c r="OT5" s="1962"/>
      <c r="OU5" s="1962"/>
      <c r="OV5" s="1962"/>
      <c r="OW5" s="1962"/>
      <c r="OX5" s="1962"/>
      <c r="OY5" s="1962"/>
      <c r="OZ5" s="1962"/>
      <c r="PA5" s="1962"/>
      <c r="PB5" s="1962"/>
      <c r="PC5" s="1962"/>
      <c r="PD5" s="1962"/>
      <c r="PE5" s="1962"/>
      <c r="PF5" s="1962"/>
      <c r="PG5" s="1962"/>
      <c r="PH5" s="1962"/>
      <c r="PI5" s="1962"/>
      <c r="PJ5" s="1962"/>
      <c r="PK5" s="1962"/>
      <c r="PL5" s="1962"/>
      <c r="PM5" s="1962"/>
      <c r="PN5" s="1962"/>
      <c r="PO5" s="1962"/>
      <c r="PP5" s="1962"/>
      <c r="PQ5" s="1962"/>
      <c r="PR5" s="1962"/>
      <c r="PS5" s="1962"/>
      <c r="PT5" s="1962"/>
      <c r="PU5" s="1962"/>
      <c r="PV5" s="1962"/>
      <c r="PW5" s="1962"/>
      <c r="PX5" s="1962"/>
      <c r="PY5" s="1962"/>
      <c r="PZ5" s="1962"/>
      <c r="QA5" s="1962"/>
      <c r="QB5" s="1962"/>
      <c r="QC5" s="1962"/>
      <c r="QD5" s="1962"/>
      <c r="QE5" s="1962"/>
      <c r="QF5" s="1962"/>
      <c r="QG5" s="1962"/>
      <c r="QH5" s="1962"/>
      <c r="QI5" s="1962"/>
      <c r="QJ5" s="1962"/>
      <c r="QK5" s="1962"/>
      <c r="QL5" s="1962"/>
      <c r="QM5" s="1962"/>
      <c r="QN5" s="1962"/>
      <c r="QO5" s="1962"/>
      <c r="QP5" s="1962"/>
      <c r="QQ5" s="1962"/>
      <c r="QR5" s="1962"/>
      <c r="QS5" s="1962"/>
      <c r="QT5" s="1962"/>
      <c r="QU5" s="1962"/>
      <c r="QV5" s="1962"/>
      <c r="QW5" s="1962"/>
      <c r="QX5" s="1962"/>
      <c r="QY5" s="1962"/>
      <c r="QZ5" s="1962"/>
      <c r="RA5" s="1962"/>
      <c r="RB5" s="1962"/>
      <c r="RC5" s="1962"/>
      <c r="RD5" s="1962"/>
      <c r="RE5" s="1962"/>
      <c r="RF5" s="1962"/>
      <c r="RG5" s="1962"/>
      <c r="RH5" s="1962"/>
      <c r="RI5" s="1962"/>
      <c r="RJ5" s="1962"/>
      <c r="RK5" s="1962"/>
      <c r="RL5" s="1962"/>
      <c r="RM5" s="1962"/>
      <c r="RN5" s="1962"/>
      <c r="RO5" s="1962"/>
      <c r="RP5" s="1962"/>
      <c r="RQ5" s="1962"/>
      <c r="RR5" s="1962"/>
      <c r="RS5" s="1962"/>
      <c r="RT5" s="1962"/>
      <c r="RU5" s="1962"/>
      <c r="RV5" s="1962"/>
      <c r="RW5" s="1962"/>
      <c r="RX5" s="1962"/>
      <c r="RY5" s="1962"/>
      <c r="RZ5" s="1962"/>
      <c r="SA5" s="1962"/>
      <c r="SB5" s="1962"/>
      <c r="SC5" s="1962"/>
      <c r="SD5" s="1962"/>
      <c r="SE5" s="1962"/>
      <c r="SF5" s="1962"/>
      <c r="SG5" s="1962"/>
      <c r="SH5" s="1962"/>
      <c r="SI5" s="1962"/>
      <c r="SJ5" s="1962"/>
      <c r="SK5" s="1962"/>
      <c r="SL5" s="1962"/>
      <c r="SM5" s="1962"/>
      <c r="SN5" s="1962"/>
      <c r="SO5" s="1962"/>
      <c r="SP5" s="1962"/>
      <c r="SQ5" s="1962"/>
      <c r="SR5" s="1962"/>
      <c r="SS5" s="1962"/>
      <c r="ST5" s="1962"/>
      <c r="SU5" s="1962"/>
      <c r="SV5" s="1962"/>
      <c r="SW5" s="1962"/>
      <c r="SX5" s="1962"/>
      <c r="SY5" s="1962"/>
      <c r="SZ5" s="1962"/>
      <c r="TA5" s="1962"/>
      <c r="TB5" s="1962"/>
      <c r="TC5" s="1962"/>
      <c r="TD5" s="1962"/>
      <c r="TE5" s="1962"/>
      <c r="TF5" s="1962"/>
      <c r="TG5" s="1962"/>
      <c r="TH5" s="1962"/>
      <c r="TI5" s="1962"/>
      <c r="TJ5" s="1962"/>
      <c r="TK5" s="1962"/>
      <c r="TL5" s="1962"/>
      <c r="TM5" s="1962"/>
      <c r="TN5" s="1962"/>
      <c r="TO5" s="1962"/>
      <c r="TP5" s="1962"/>
      <c r="TQ5" s="1962"/>
      <c r="TR5" s="1962"/>
      <c r="TS5" s="1962"/>
      <c r="TT5" s="1962"/>
      <c r="TU5" s="1962"/>
      <c r="TV5" s="1962"/>
      <c r="TW5" s="1962"/>
      <c r="TX5" s="1962"/>
      <c r="TY5" s="1962"/>
      <c r="TZ5" s="1962"/>
      <c r="UA5" s="1962"/>
      <c r="UB5" s="1962"/>
      <c r="UC5" s="1962"/>
      <c r="UD5" s="1962"/>
      <c r="UE5" s="1962"/>
      <c r="UF5" s="1962"/>
      <c r="UG5" s="1962"/>
      <c r="UH5" s="1962"/>
      <c r="UI5" s="1962"/>
      <c r="UJ5" s="1962"/>
      <c r="UK5" s="1962"/>
      <c r="UL5" s="1962"/>
      <c r="UM5" s="1962"/>
      <c r="UN5" s="1962"/>
      <c r="UO5" s="1962"/>
      <c r="UP5" s="1962"/>
      <c r="UQ5" s="1962"/>
      <c r="UR5" s="1962"/>
      <c r="US5" s="1962"/>
      <c r="UT5" s="1962"/>
      <c r="UU5" s="1962"/>
      <c r="UV5" s="1962"/>
      <c r="UW5" s="1962"/>
      <c r="UX5" s="1962"/>
      <c r="UY5" s="1962"/>
      <c r="UZ5" s="1962"/>
      <c r="VA5" s="1962"/>
      <c r="VB5" s="1962"/>
      <c r="VC5" s="1962"/>
      <c r="VD5" s="1962"/>
      <c r="VE5" s="1962"/>
      <c r="VF5" s="1962"/>
      <c r="VG5" s="1962"/>
      <c r="VH5" s="1962"/>
      <c r="VI5" s="1962"/>
      <c r="VJ5" s="1962"/>
      <c r="VK5" s="1962"/>
      <c r="VL5" s="1962"/>
      <c r="VM5" s="1962"/>
      <c r="VN5" s="1962"/>
      <c r="VO5" s="1962"/>
      <c r="VP5" s="1962"/>
      <c r="VQ5" s="1962"/>
      <c r="VR5" s="1962"/>
      <c r="VS5" s="1962"/>
      <c r="VT5" s="1962"/>
      <c r="VU5" s="1962"/>
      <c r="VV5" s="1962"/>
      <c r="VW5" s="1962"/>
      <c r="VX5" s="1962"/>
      <c r="VY5" s="1962"/>
      <c r="VZ5" s="1962"/>
      <c r="WA5" s="1962"/>
      <c r="WB5" s="1962"/>
      <c r="WC5" s="1962"/>
      <c r="WD5" s="1962"/>
      <c r="WE5" s="1962"/>
      <c r="WF5" s="1962"/>
      <c r="WG5" s="1962"/>
      <c r="WH5" s="1962"/>
      <c r="WI5" s="1962"/>
      <c r="WJ5" s="1962"/>
      <c r="WK5" s="1962"/>
      <c r="WL5" s="1962"/>
      <c r="WM5" s="1962"/>
      <c r="WN5" s="1962"/>
      <c r="WO5" s="1962"/>
      <c r="WP5" s="1962"/>
      <c r="WQ5" s="1962"/>
      <c r="WR5" s="1962"/>
      <c r="WS5" s="1962"/>
      <c r="WT5" s="1962"/>
      <c r="WU5" s="1962"/>
      <c r="WV5" s="1962"/>
      <c r="WW5" s="1962"/>
      <c r="WX5" s="1962"/>
      <c r="WY5" s="1962"/>
      <c r="WZ5" s="1962"/>
      <c r="XA5" s="1962"/>
      <c r="XB5" s="1962"/>
      <c r="XC5" s="1962"/>
      <c r="XD5" s="1962"/>
      <c r="XE5" s="1962"/>
      <c r="XF5" s="1962"/>
      <c r="XG5" s="1962"/>
      <c r="XH5" s="1962"/>
      <c r="XI5" s="1962"/>
      <c r="XJ5" s="1962"/>
      <c r="XK5" s="1962"/>
      <c r="XL5" s="1962"/>
      <c r="XM5" s="1962"/>
      <c r="XN5" s="1962"/>
      <c r="XO5" s="1962"/>
      <c r="XP5" s="1962"/>
      <c r="XQ5" s="1962"/>
      <c r="XR5" s="1962"/>
      <c r="XS5" s="1962"/>
      <c r="XT5" s="1962"/>
      <c r="XU5" s="1962"/>
      <c r="XV5" s="1962"/>
      <c r="XW5" s="1962"/>
      <c r="XX5" s="1962"/>
      <c r="XY5" s="1962"/>
      <c r="XZ5" s="1962"/>
      <c r="YA5" s="1962"/>
      <c r="YB5" s="1962"/>
      <c r="YC5" s="1962"/>
      <c r="YD5" s="1962"/>
      <c r="YE5" s="1962"/>
      <c r="YF5" s="1962"/>
      <c r="YG5" s="1962"/>
      <c r="YH5" s="1962"/>
      <c r="YI5" s="1962"/>
      <c r="YJ5" s="1962"/>
      <c r="YK5" s="1962"/>
      <c r="YL5" s="1962"/>
      <c r="YM5" s="1962"/>
      <c r="YN5" s="1962"/>
      <c r="YO5" s="1962"/>
      <c r="YP5" s="1962"/>
      <c r="YQ5" s="1962"/>
      <c r="YR5" s="1962"/>
      <c r="YS5" s="1962"/>
      <c r="YT5" s="1962"/>
      <c r="YU5" s="1962"/>
      <c r="YV5" s="1962"/>
      <c r="YW5" s="1962"/>
      <c r="YX5" s="1962"/>
      <c r="YY5" s="1962"/>
      <c r="YZ5" s="1962"/>
      <c r="ZA5" s="1962"/>
      <c r="ZB5" s="1962"/>
      <c r="ZC5" s="1962"/>
      <c r="ZD5" s="1962"/>
      <c r="ZE5" s="1962"/>
      <c r="ZF5" s="1962"/>
      <c r="ZG5" s="1962"/>
      <c r="ZH5" s="1962"/>
      <c r="ZI5" s="1962"/>
      <c r="ZJ5" s="1962"/>
      <c r="ZK5" s="1962"/>
      <c r="ZL5" s="1962"/>
      <c r="ZM5" s="1962"/>
      <c r="ZN5" s="1962"/>
      <c r="ZO5" s="1962"/>
      <c r="ZP5" s="1962"/>
      <c r="ZQ5" s="1962"/>
      <c r="ZR5" s="1962"/>
      <c r="ZS5" s="1962"/>
      <c r="ZT5" s="1962"/>
      <c r="ZU5" s="1962"/>
      <c r="ZV5" s="1962"/>
      <c r="ZW5" s="1962"/>
      <c r="ZX5" s="1962"/>
      <c r="ZY5" s="1962"/>
      <c r="ZZ5" s="1962"/>
      <c r="AAA5" s="1962"/>
      <c r="AAB5" s="1962"/>
      <c r="AAC5" s="1962"/>
      <c r="AAD5" s="1962"/>
      <c r="AAE5" s="1962"/>
      <c r="AAF5" s="1962"/>
      <c r="AAG5" s="1962"/>
      <c r="AAH5" s="1962"/>
      <c r="AAI5" s="1962"/>
      <c r="AAJ5" s="1962"/>
      <c r="AAK5" s="1962"/>
      <c r="AAL5" s="1962"/>
      <c r="AAM5" s="1962"/>
      <c r="AAN5" s="1962"/>
      <c r="AAO5" s="1962"/>
      <c r="AAP5" s="1962"/>
      <c r="AAQ5" s="1962"/>
      <c r="AAR5" s="1962"/>
      <c r="AAS5" s="1962"/>
      <c r="AAT5" s="1962"/>
      <c r="AAU5" s="1962"/>
      <c r="AAV5" s="1962"/>
      <c r="AAW5" s="1962"/>
      <c r="AAX5" s="1962"/>
      <c r="AAY5" s="1962"/>
      <c r="AAZ5" s="1962"/>
      <c r="ABA5" s="1962"/>
      <c r="ABB5" s="1962"/>
      <c r="ABC5" s="1962"/>
      <c r="ABD5" s="1962"/>
      <c r="ABE5" s="1962"/>
      <c r="ABF5" s="1962"/>
      <c r="ABG5" s="1962"/>
      <c r="ABH5" s="1962"/>
      <c r="ABI5" s="1962"/>
      <c r="ABJ5" s="1962"/>
      <c r="ABK5" s="1962"/>
      <c r="ABL5" s="1962"/>
      <c r="ABM5" s="1962"/>
      <c r="ABN5" s="1962"/>
      <c r="ABO5" s="1962"/>
      <c r="ABP5" s="1962"/>
      <c r="ABQ5" s="1962"/>
      <c r="ABR5" s="1962"/>
      <c r="ABS5" s="1962"/>
      <c r="ABT5" s="1962"/>
      <c r="ABU5" s="1962"/>
      <c r="ABV5" s="1962"/>
      <c r="ABW5" s="1962"/>
      <c r="ABX5" s="1962"/>
      <c r="ABY5" s="1962"/>
      <c r="ABZ5" s="1962"/>
      <c r="ACA5" s="1962"/>
      <c r="ACB5" s="1962"/>
      <c r="ACC5" s="1962"/>
      <c r="ACD5" s="1962"/>
      <c r="ACE5" s="1962"/>
      <c r="ACF5" s="1962"/>
      <c r="ACG5" s="1962"/>
      <c r="ACH5" s="1962"/>
      <c r="ACI5" s="1962"/>
      <c r="ACJ5" s="1962"/>
      <c r="ACK5" s="1962"/>
      <c r="ACL5" s="1962"/>
      <c r="ACM5" s="1962"/>
      <c r="ACN5" s="1962"/>
      <c r="ACO5" s="1962"/>
      <c r="ACP5" s="1962"/>
      <c r="ACQ5" s="1962"/>
      <c r="ACR5" s="1962"/>
      <c r="ACS5" s="1962"/>
      <c r="ACT5" s="1962"/>
      <c r="ACU5" s="1962"/>
      <c r="ACV5" s="1962"/>
      <c r="ACW5" s="1962"/>
      <c r="ACX5" s="1962"/>
      <c r="ACY5" s="1962"/>
      <c r="ACZ5" s="1962"/>
      <c r="ADA5" s="1962"/>
      <c r="ADB5" s="1962"/>
      <c r="ADC5" s="1962"/>
      <c r="ADD5" s="1962"/>
      <c r="ADE5" s="1962"/>
      <c r="ADF5" s="1962"/>
      <c r="ADG5" s="1962"/>
      <c r="ADH5" s="1962"/>
      <c r="ADI5" s="1962"/>
      <c r="ADJ5" s="1962"/>
      <c r="ADK5" s="1962"/>
      <c r="ADL5" s="1962"/>
      <c r="ADM5" s="1962"/>
      <c r="ADN5" s="1962"/>
      <c r="ADO5" s="1962"/>
      <c r="ADP5" s="1962"/>
      <c r="ADQ5" s="1962"/>
      <c r="ADR5" s="1962"/>
      <c r="ADS5" s="1962"/>
      <c r="ADT5" s="1962"/>
      <c r="ADU5" s="1962"/>
      <c r="ADV5" s="1962"/>
      <c r="ADW5" s="1962"/>
      <c r="ADX5" s="1962"/>
      <c r="ADY5" s="1962"/>
      <c r="ADZ5" s="1962"/>
      <c r="AEA5" s="1962"/>
      <c r="AEB5" s="1962"/>
      <c r="AEC5" s="1962"/>
      <c r="AED5" s="1962"/>
      <c r="AEE5" s="1962"/>
      <c r="AEF5" s="1962"/>
      <c r="AEG5" s="1962"/>
      <c r="AEH5" s="1962"/>
      <c r="AEI5" s="1962"/>
      <c r="AEJ5" s="1962"/>
      <c r="AEK5" s="1962"/>
      <c r="AEL5" s="1962"/>
      <c r="AEM5" s="1962"/>
      <c r="AEN5" s="1962"/>
      <c r="AEO5" s="1962"/>
      <c r="AEP5" s="1962"/>
      <c r="AEQ5" s="1962"/>
      <c r="AER5" s="1962"/>
      <c r="AES5" s="1962"/>
      <c r="AET5" s="1962"/>
      <c r="AEU5" s="1962"/>
      <c r="AEV5" s="1962"/>
      <c r="AEW5" s="1962"/>
      <c r="AEX5" s="1962"/>
      <c r="AEY5" s="1962"/>
      <c r="AEZ5" s="1962"/>
      <c r="AFA5" s="1962"/>
      <c r="AFB5" s="1962"/>
      <c r="AFC5" s="1962"/>
      <c r="AFD5" s="1962"/>
      <c r="AFE5" s="1962"/>
      <c r="AFF5" s="1962"/>
      <c r="AFG5" s="1962"/>
      <c r="AFH5" s="1962"/>
      <c r="AFI5" s="1962"/>
      <c r="AFJ5" s="1962"/>
      <c r="AFK5" s="1962"/>
      <c r="AFL5" s="1962"/>
      <c r="AFM5" s="1962"/>
      <c r="AFN5" s="1962"/>
      <c r="AFO5" s="1962"/>
      <c r="AFP5" s="1962"/>
      <c r="AFQ5" s="1962"/>
      <c r="AFR5" s="1962"/>
      <c r="AFS5" s="1962"/>
      <c r="AFT5" s="1962"/>
      <c r="AFU5" s="1962"/>
      <c r="AFV5" s="1962"/>
      <c r="AFW5" s="1962"/>
      <c r="AFX5" s="1962"/>
      <c r="AFY5" s="1962"/>
      <c r="AFZ5" s="1962"/>
      <c r="AGA5" s="1962"/>
      <c r="AGB5" s="1962"/>
      <c r="AGC5" s="1962"/>
      <c r="AGD5" s="1962"/>
      <c r="AGE5" s="1962"/>
      <c r="AGF5" s="1962"/>
      <c r="AGG5" s="1962"/>
      <c r="AGH5" s="1962"/>
      <c r="AGI5" s="1962"/>
      <c r="AGJ5" s="1962"/>
      <c r="AGK5" s="1962"/>
      <c r="AGL5" s="1962"/>
      <c r="AGM5" s="1962"/>
      <c r="AGN5" s="1962"/>
      <c r="AGO5" s="1962"/>
      <c r="AGP5" s="1962"/>
      <c r="AGQ5" s="1962"/>
      <c r="AGR5" s="1962"/>
      <c r="AGS5" s="1962"/>
      <c r="AGT5" s="1962"/>
      <c r="AGU5" s="1962"/>
      <c r="AGV5" s="1962"/>
      <c r="AGW5" s="1962"/>
      <c r="AGX5" s="1962"/>
      <c r="AGY5" s="1962"/>
      <c r="AGZ5" s="1962"/>
      <c r="AHA5" s="1962"/>
      <c r="AHB5" s="1962"/>
      <c r="AHC5" s="1962"/>
      <c r="AHD5" s="1962"/>
      <c r="AHE5" s="1962"/>
      <c r="AHF5" s="1962"/>
      <c r="AHG5" s="1962"/>
      <c r="AHH5" s="1962"/>
      <c r="AHI5" s="1962"/>
      <c r="AHJ5" s="1962"/>
      <c r="AHK5" s="1962"/>
      <c r="AHL5" s="1962"/>
      <c r="AHM5" s="1962"/>
      <c r="AHN5" s="1962"/>
      <c r="AHO5" s="1962"/>
      <c r="AHP5" s="1962"/>
      <c r="AHQ5" s="1962"/>
      <c r="AHR5" s="1962"/>
      <c r="AHS5" s="1962"/>
      <c r="AHT5" s="1962"/>
      <c r="AHU5" s="1962"/>
      <c r="AHV5" s="1962"/>
      <c r="AHW5" s="1962"/>
      <c r="AHX5" s="1962"/>
      <c r="AHY5" s="1962"/>
      <c r="AHZ5" s="1962"/>
      <c r="AIA5" s="1962"/>
      <c r="AIB5" s="1962"/>
      <c r="AIC5" s="1962"/>
      <c r="AID5" s="1962"/>
      <c r="AIE5" s="1962"/>
      <c r="AIF5" s="1962"/>
      <c r="AIG5" s="1962"/>
      <c r="AIH5" s="1962"/>
      <c r="AII5" s="1962"/>
      <c r="AIJ5" s="1962"/>
      <c r="AIK5" s="1962"/>
      <c r="AIL5" s="1962"/>
      <c r="AIM5" s="1962"/>
      <c r="AIN5" s="1962"/>
      <c r="AIO5" s="1962"/>
      <c r="AIP5" s="1962"/>
      <c r="AIQ5" s="1962"/>
      <c r="AIR5" s="1962"/>
      <c r="AIS5" s="1962"/>
      <c r="AIT5" s="1962"/>
      <c r="AIU5" s="1962"/>
      <c r="AIV5" s="1962"/>
      <c r="AIW5" s="1962"/>
      <c r="AIX5" s="1962"/>
      <c r="AIY5" s="1962"/>
      <c r="AIZ5" s="1962"/>
      <c r="AJA5" s="1962"/>
      <c r="AJB5" s="1962"/>
      <c r="AJC5" s="1962"/>
      <c r="AJD5" s="1962"/>
      <c r="AJE5" s="1962"/>
      <c r="AJF5" s="1962"/>
      <c r="AJG5" s="1962"/>
      <c r="AJH5" s="1962"/>
      <c r="AJI5" s="1962"/>
      <c r="AJJ5" s="1962"/>
      <c r="AJK5" s="1962"/>
      <c r="AJL5" s="1962"/>
      <c r="AJM5" s="1962"/>
      <c r="AJN5" s="1962"/>
      <c r="AJO5" s="1962"/>
      <c r="AJP5" s="1962"/>
      <c r="AJQ5" s="1962"/>
      <c r="AJR5" s="1962"/>
      <c r="AJS5" s="1962"/>
      <c r="AJT5" s="1962"/>
      <c r="AJU5" s="1962"/>
      <c r="AJV5" s="1962"/>
      <c r="AJW5" s="1962"/>
      <c r="AJX5" s="1962"/>
      <c r="AJY5" s="1962"/>
      <c r="AJZ5" s="1962"/>
      <c r="AKA5" s="1962"/>
      <c r="AKB5" s="1962"/>
      <c r="AKC5" s="1962"/>
      <c r="AKD5" s="1962"/>
      <c r="AKE5" s="1962"/>
      <c r="AKF5" s="1962"/>
      <c r="AKG5" s="1962"/>
      <c r="AKH5" s="1962"/>
      <c r="AKI5" s="1962"/>
      <c r="AKJ5" s="1962"/>
      <c r="AKK5" s="1962"/>
      <c r="AKL5" s="1962"/>
      <c r="AKM5" s="1962"/>
      <c r="AKN5" s="1962"/>
      <c r="AKO5" s="1962"/>
      <c r="AKP5" s="1962"/>
      <c r="AKQ5" s="1962"/>
      <c r="AKR5" s="1962"/>
      <c r="AKS5" s="1962"/>
      <c r="AKT5" s="1962"/>
      <c r="AKU5" s="1962"/>
      <c r="AKV5" s="1962"/>
      <c r="AKW5" s="1962"/>
      <c r="AKX5" s="1962"/>
      <c r="AKY5" s="1962"/>
      <c r="AKZ5" s="1962"/>
      <c r="ALA5" s="1962"/>
      <c r="ALB5" s="1962"/>
      <c r="ALC5" s="1962"/>
      <c r="ALD5" s="1962"/>
      <c r="ALE5" s="1962"/>
      <c r="ALF5" s="1962"/>
      <c r="ALG5" s="1962"/>
      <c r="ALH5" s="1962"/>
      <c r="ALI5" s="1962"/>
      <c r="ALJ5" s="1962"/>
      <c r="ALK5" s="1962"/>
      <c r="ALL5" s="1962"/>
      <c r="ALM5" s="1962"/>
      <c r="ALN5" s="1962"/>
      <c r="ALO5" s="1962"/>
      <c r="ALP5" s="1962"/>
      <c r="ALQ5" s="1962"/>
      <c r="ALR5" s="1962"/>
      <c r="ALS5" s="1962"/>
      <c r="ALT5" s="1962"/>
      <c r="ALU5" s="1962"/>
      <c r="ALV5" s="1962"/>
      <c r="ALW5" s="1962"/>
      <c r="ALX5" s="1962"/>
      <c r="ALY5" s="1962"/>
      <c r="ALZ5" s="1962"/>
      <c r="AMA5" s="1962"/>
      <c r="AMB5" s="1962"/>
      <c r="AMC5" s="1962"/>
      <c r="AMD5" s="1962"/>
      <c r="AME5" s="1962"/>
      <c r="AMF5" s="1962"/>
      <c r="AMG5" s="1962"/>
      <c r="AMH5" s="1962"/>
      <c r="AMI5" s="1962"/>
      <c r="AMJ5" s="1962"/>
      <c r="AMK5" s="1962"/>
      <c r="AML5" s="1962"/>
      <c r="AMM5" s="1962"/>
      <c r="AMN5" s="1962"/>
      <c r="AMO5" s="1962"/>
      <c r="AMP5" s="1962"/>
      <c r="AMQ5" s="1962"/>
      <c r="AMR5" s="1962"/>
      <c r="AMS5" s="1962"/>
      <c r="AMT5" s="1962"/>
      <c r="AMU5" s="1962"/>
      <c r="AMV5" s="1962"/>
      <c r="AMW5" s="1962"/>
      <c r="AMX5" s="1962"/>
      <c r="AMY5" s="1962"/>
      <c r="AMZ5" s="1962"/>
      <c r="ANA5" s="1962"/>
      <c r="ANB5" s="1962"/>
      <c r="ANC5" s="1962"/>
      <c r="AND5" s="1962"/>
      <c r="ANE5" s="1962"/>
      <c r="ANF5" s="1962"/>
      <c r="ANG5" s="1962"/>
      <c r="ANH5" s="1962"/>
      <c r="ANI5" s="1962"/>
      <c r="ANJ5" s="1962"/>
      <c r="ANK5" s="1962"/>
      <c r="ANL5" s="1962"/>
      <c r="ANM5" s="1962"/>
      <c r="ANN5" s="1962"/>
      <c r="ANO5" s="1962"/>
      <c r="ANP5" s="1962"/>
      <c r="ANQ5" s="1962"/>
      <c r="ANR5" s="1962"/>
      <c r="ANS5" s="1962"/>
      <c r="ANT5" s="1962"/>
      <c r="ANU5" s="1962"/>
      <c r="ANV5" s="1962"/>
      <c r="ANW5" s="1962"/>
      <c r="ANX5" s="1962"/>
      <c r="ANY5" s="1962"/>
      <c r="ANZ5" s="1962"/>
      <c r="AOA5" s="1962"/>
      <c r="AOB5" s="1962"/>
      <c r="AOC5" s="1962"/>
      <c r="AOD5" s="1962"/>
      <c r="AOE5" s="1962"/>
      <c r="AOF5" s="1962"/>
      <c r="AOG5" s="1962"/>
      <c r="AOH5" s="1962"/>
      <c r="AOI5" s="1962"/>
      <c r="AOJ5" s="1962"/>
      <c r="AOK5" s="1962"/>
      <c r="AOL5" s="1962"/>
      <c r="AOM5" s="1962"/>
      <c r="AON5" s="1962"/>
      <c r="AOO5" s="1962"/>
      <c r="AOP5" s="1962"/>
      <c r="AOQ5" s="1962"/>
      <c r="AOR5" s="1962"/>
      <c r="AOS5" s="1962"/>
      <c r="AOT5" s="1962"/>
      <c r="AOU5" s="1962"/>
      <c r="AOV5" s="1962"/>
      <c r="AOW5" s="1962"/>
      <c r="AOX5" s="1962"/>
      <c r="AOY5" s="1962"/>
      <c r="AOZ5" s="1962"/>
      <c r="APA5" s="1962"/>
      <c r="APB5" s="1962"/>
      <c r="APC5" s="1962"/>
      <c r="APD5" s="1962"/>
      <c r="APE5" s="1962"/>
      <c r="APF5" s="1962"/>
      <c r="APG5" s="1962"/>
      <c r="APH5" s="1962"/>
      <c r="API5" s="1962"/>
      <c r="APJ5" s="1962"/>
      <c r="APK5" s="1962"/>
      <c r="APL5" s="1962"/>
      <c r="APM5" s="1962"/>
      <c r="APN5" s="1962"/>
      <c r="APO5" s="1962"/>
      <c r="APP5" s="1962"/>
      <c r="APQ5" s="1962"/>
      <c r="APR5" s="1962"/>
      <c r="APS5" s="1962"/>
      <c r="APT5" s="1962"/>
      <c r="APU5" s="1962"/>
      <c r="APV5" s="1962"/>
      <c r="APW5" s="1962"/>
      <c r="APX5" s="1962"/>
      <c r="APY5" s="1962"/>
      <c r="APZ5" s="1962"/>
      <c r="AQA5" s="1962"/>
      <c r="AQB5" s="1962"/>
      <c r="AQC5" s="1962"/>
      <c r="AQD5" s="1962"/>
      <c r="AQE5" s="1962"/>
      <c r="AQF5" s="1962"/>
      <c r="AQG5" s="1962"/>
      <c r="AQH5" s="1962"/>
      <c r="AQI5" s="1962"/>
      <c r="AQJ5" s="1962"/>
      <c r="AQK5" s="1962"/>
      <c r="AQL5" s="1962"/>
      <c r="AQM5" s="1962"/>
      <c r="AQN5" s="1962"/>
      <c r="AQO5" s="1962"/>
      <c r="AQP5" s="1962"/>
      <c r="AQQ5" s="1962"/>
      <c r="AQR5" s="1962"/>
      <c r="AQS5" s="1962"/>
      <c r="AQT5" s="1962"/>
      <c r="AQU5" s="1962"/>
      <c r="AQV5" s="1962"/>
      <c r="AQW5" s="1962"/>
      <c r="AQX5" s="1962"/>
      <c r="AQY5" s="1962"/>
      <c r="AQZ5" s="1962"/>
      <c r="ARA5" s="1962"/>
      <c r="ARB5" s="1962"/>
      <c r="ARC5" s="1962"/>
      <c r="ARD5" s="1962"/>
      <c r="ARE5" s="1962"/>
      <c r="ARF5" s="1962"/>
      <c r="ARG5" s="1962"/>
      <c r="ARH5" s="1962"/>
      <c r="ARI5" s="1962"/>
      <c r="ARJ5" s="1962"/>
      <c r="ARK5" s="1962"/>
      <c r="ARL5" s="1962"/>
      <c r="ARM5" s="1962"/>
      <c r="ARN5" s="1962"/>
      <c r="ARO5" s="1962"/>
      <c r="ARP5" s="1962"/>
      <c r="ARQ5" s="1962"/>
      <c r="ARR5" s="1962"/>
      <c r="ARS5" s="1962"/>
      <c r="ART5" s="1962"/>
      <c r="ARU5" s="1962"/>
      <c r="ARV5" s="1962"/>
      <c r="ARW5" s="1962"/>
      <c r="ARX5" s="1962"/>
      <c r="ARY5" s="1962"/>
      <c r="ARZ5" s="1962"/>
      <c r="ASA5" s="1962"/>
      <c r="ASB5" s="1962"/>
      <c r="ASC5" s="1962"/>
      <c r="ASD5" s="1962"/>
      <c r="ASE5" s="1962"/>
      <c r="ASF5" s="1962"/>
      <c r="ASG5" s="1962"/>
      <c r="ASH5" s="1962"/>
      <c r="ASI5" s="1962"/>
      <c r="ASJ5" s="1962"/>
      <c r="ASK5" s="1962"/>
      <c r="ASL5" s="1962"/>
      <c r="ASM5" s="1962"/>
      <c r="ASN5" s="1962"/>
      <c r="ASO5" s="1962"/>
      <c r="ASP5" s="1962"/>
      <c r="ASQ5" s="1962"/>
      <c r="ASR5" s="1962"/>
      <c r="ASS5" s="1962"/>
      <c r="AST5" s="1962"/>
      <c r="ASU5" s="1962"/>
      <c r="ASV5" s="1962"/>
      <c r="ASW5" s="1962"/>
      <c r="ASX5" s="1962"/>
      <c r="ASY5" s="1962"/>
      <c r="ASZ5" s="1962"/>
      <c r="ATA5" s="1962"/>
      <c r="ATB5" s="1962"/>
      <c r="ATC5" s="1962"/>
      <c r="ATD5" s="1962"/>
      <c r="ATE5" s="1962"/>
      <c r="ATF5" s="1962"/>
      <c r="ATG5" s="1962"/>
      <c r="ATH5" s="1962"/>
      <c r="ATI5" s="1962"/>
      <c r="ATJ5" s="1962"/>
      <c r="ATK5" s="1962"/>
      <c r="ATL5" s="1962"/>
      <c r="ATM5" s="1962"/>
      <c r="ATN5" s="1962"/>
      <c r="ATO5" s="1962"/>
      <c r="ATP5" s="1962"/>
      <c r="ATQ5" s="1962"/>
      <c r="ATR5" s="1962"/>
      <c r="ATS5" s="1962"/>
      <c r="ATT5" s="1962"/>
      <c r="ATU5" s="1962"/>
      <c r="ATV5" s="1962"/>
      <c r="ATW5" s="1962"/>
      <c r="ATX5" s="1962"/>
      <c r="ATY5" s="1962"/>
      <c r="ATZ5" s="1962"/>
      <c r="AUA5" s="1962"/>
      <c r="AUB5" s="1962"/>
      <c r="AUC5" s="1962"/>
      <c r="AUD5" s="1962"/>
      <c r="AUE5" s="1962"/>
      <c r="AUF5" s="1962"/>
      <c r="AUG5" s="1962"/>
      <c r="AUH5" s="1962"/>
      <c r="AUI5" s="1962"/>
      <c r="AUJ5" s="1962"/>
      <c r="AUK5" s="1962"/>
      <c r="AUL5" s="1962"/>
      <c r="AUM5" s="1962"/>
      <c r="AUN5" s="1962"/>
      <c r="AUO5" s="1962"/>
      <c r="AUP5" s="1962"/>
      <c r="AUQ5" s="1962"/>
      <c r="AUR5" s="1962"/>
      <c r="AUS5" s="1962"/>
      <c r="AUT5" s="1962"/>
      <c r="AUU5" s="1962"/>
      <c r="AUV5" s="1962"/>
      <c r="AUW5" s="1962"/>
      <c r="AUX5" s="1962"/>
      <c r="AUY5" s="1962"/>
      <c r="AUZ5" s="1962"/>
      <c r="AVA5" s="1962"/>
      <c r="AVB5" s="1962"/>
      <c r="AVC5" s="1962"/>
      <c r="AVD5" s="1962"/>
      <c r="AVE5" s="1962"/>
      <c r="AVF5" s="1962"/>
      <c r="AVG5" s="1962"/>
      <c r="AVH5" s="1962"/>
      <c r="AVI5" s="1962"/>
      <c r="AVJ5" s="1962"/>
      <c r="AVK5" s="1962"/>
      <c r="AVL5" s="1962"/>
      <c r="AVM5" s="1962"/>
      <c r="AVN5" s="1962"/>
      <c r="AVO5" s="1962"/>
      <c r="AVP5" s="1962"/>
      <c r="AVQ5" s="1962"/>
      <c r="AVR5" s="1962"/>
      <c r="AVS5" s="1962"/>
      <c r="AVT5" s="1962"/>
      <c r="AVU5" s="1962"/>
      <c r="AVV5" s="1962"/>
      <c r="AVW5" s="1962"/>
      <c r="AVX5" s="1962"/>
      <c r="AVY5" s="1962"/>
      <c r="AVZ5" s="1962"/>
      <c r="AWA5" s="1962"/>
      <c r="AWB5" s="1962"/>
      <c r="AWC5" s="1962"/>
      <c r="AWD5" s="1962"/>
      <c r="AWE5" s="1962"/>
      <c r="AWF5" s="1962"/>
      <c r="AWG5" s="1962"/>
      <c r="AWH5" s="1962"/>
      <c r="AWI5" s="1962"/>
      <c r="AWJ5" s="1962"/>
      <c r="AWK5" s="1962"/>
      <c r="AWL5" s="1962"/>
      <c r="AWM5" s="1962"/>
      <c r="AWN5" s="1962"/>
      <c r="AWO5" s="1962"/>
      <c r="AWP5" s="1962"/>
      <c r="AWQ5" s="1962"/>
      <c r="AWR5" s="1962"/>
      <c r="AWS5" s="1962"/>
      <c r="AWT5" s="1962"/>
      <c r="AWU5" s="1962"/>
      <c r="AWV5" s="1962"/>
      <c r="AWW5" s="1962"/>
      <c r="AWX5" s="1962"/>
      <c r="AWY5" s="1962"/>
      <c r="AWZ5" s="1962"/>
      <c r="AXA5" s="1962"/>
      <c r="AXB5" s="1962"/>
      <c r="AXC5" s="1962"/>
      <c r="AXD5" s="1962"/>
      <c r="AXE5" s="1962"/>
      <c r="AXF5" s="1962"/>
      <c r="AXG5" s="1962"/>
      <c r="AXH5" s="1962"/>
      <c r="AXI5" s="1962"/>
      <c r="AXJ5" s="1962"/>
      <c r="AXK5" s="1962"/>
      <c r="AXL5" s="1962"/>
      <c r="AXM5" s="1962"/>
      <c r="AXN5" s="1962"/>
      <c r="AXO5" s="1962"/>
      <c r="AXP5" s="1962"/>
      <c r="AXQ5" s="1962"/>
      <c r="AXR5" s="1962"/>
      <c r="AXS5" s="1962"/>
      <c r="AXT5" s="1962"/>
      <c r="AXU5" s="1962"/>
      <c r="AXV5" s="1962"/>
      <c r="AXW5" s="1962"/>
      <c r="AXX5" s="1962"/>
      <c r="AXY5" s="1962"/>
      <c r="AXZ5" s="1962"/>
      <c r="AYA5" s="1962"/>
      <c r="AYB5" s="1962"/>
      <c r="AYC5" s="1962"/>
      <c r="AYD5" s="1962"/>
      <c r="AYE5" s="1962"/>
      <c r="AYF5" s="1962"/>
      <c r="AYG5" s="1962"/>
      <c r="AYH5" s="1962"/>
      <c r="AYI5" s="1962"/>
      <c r="AYJ5" s="1962"/>
      <c r="AYK5" s="1962"/>
      <c r="AYL5" s="1962"/>
      <c r="AYM5" s="1962"/>
      <c r="AYN5" s="1962"/>
      <c r="AYO5" s="1962"/>
      <c r="AYP5" s="1962"/>
      <c r="AYQ5" s="1962"/>
      <c r="AYR5" s="1962"/>
      <c r="AYS5" s="1962"/>
      <c r="AYT5" s="1962"/>
      <c r="AYU5" s="1962"/>
      <c r="AYV5" s="1962"/>
      <c r="AYW5" s="1962"/>
      <c r="AYX5" s="1962"/>
      <c r="AYY5" s="1962"/>
      <c r="AYZ5" s="1962"/>
      <c r="AZA5" s="1962"/>
      <c r="AZB5" s="1962"/>
      <c r="AZC5" s="1962"/>
      <c r="AZD5" s="1962"/>
      <c r="AZE5" s="1962"/>
      <c r="AZF5" s="1962"/>
      <c r="AZG5" s="1962"/>
      <c r="AZH5" s="1962"/>
      <c r="AZI5" s="1962"/>
      <c r="AZJ5" s="1962"/>
      <c r="AZK5" s="1962"/>
      <c r="AZL5" s="1962"/>
      <c r="AZM5" s="1962"/>
      <c r="AZN5" s="1962"/>
      <c r="AZO5" s="1962"/>
      <c r="AZP5" s="1962"/>
      <c r="AZQ5" s="1962"/>
      <c r="AZR5" s="1962"/>
      <c r="AZS5" s="1962"/>
      <c r="AZT5" s="1962"/>
      <c r="AZU5" s="1962"/>
      <c r="AZV5" s="1962"/>
      <c r="AZW5" s="1962"/>
      <c r="AZX5" s="1962"/>
      <c r="AZY5" s="1962"/>
      <c r="AZZ5" s="1962"/>
      <c r="BAA5" s="1962"/>
      <c r="BAB5" s="1962"/>
      <c r="BAC5" s="1962"/>
      <c r="BAD5" s="1962"/>
      <c r="BAE5" s="1962"/>
      <c r="BAF5" s="1962"/>
      <c r="BAG5" s="1962"/>
      <c r="BAH5" s="1962"/>
      <c r="BAI5" s="1962"/>
      <c r="BAJ5" s="1962"/>
      <c r="BAK5" s="1962"/>
      <c r="BAL5" s="1962"/>
      <c r="BAM5" s="1962"/>
      <c r="BAN5" s="1962"/>
      <c r="BAO5" s="1962"/>
      <c r="BAP5" s="1962"/>
      <c r="BAQ5" s="1962"/>
      <c r="BAR5" s="1962"/>
      <c r="BAS5" s="1962"/>
      <c r="BAT5" s="1962"/>
      <c r="BAU5" s="1962"/>
      <c r="BAV5" s="1962"/>
      <c r="BAW5" s="1962"/>
      <c r="BAX5" s="1962"/>
      <c r="BAY5" s="1962"/>
      <c r="BAZ5" s="1962"/>
      <c r="BBA5" s="1962"/>
      <c r="BBB5" s="1962"/>
      <c r="BBC5" s="1962"/>
      <c r="BBD5" s="1962"/>
      <c r="BBE5" s="1962"/>
      <c r="BBF5" s="1962"/>
      <c r="BBG5" s="1962"/>
      <c r="BBH5" s="1962"/>
      <c r="BBI5" s="1962"/>
      <c r="BBJ5" s="1962"/>
      <c r="BBK5" s="1962"/>
      <c r="BBL5" s="1962"/>
      <c r="BBM5" s="1962"/>
      <c r="BBN5" s="1962"/>
      <c r="BBO5" s="1962"/>
      <c r="BBP5" s="1962"/>
      <c r="BBQ5" s="1962"/>
      <c r="BBR5" s="1962"/>
      <c r="BBS5" s="1962"/>
      <c r="BBT5" s="1962"/>
      <c r="BBU5" s="1962"/>
      <c r="BBV5" s="1962"/>
      <c r="BBW5" s="1962"/>
      <c r="BBX5" s="1962"/>
      <c r="BBY5" s="1962"/>
      <c r="BBZ5" s="1962"/>
      <c r="BCA5" s="1962"/>
      <c r="BCB5" s="1962"/>
      <c r="BCC5" s="1962"/>
      <c r="BCD5" s="1962"/>
      <c r="BCE5" s="1962"/>
      <c r="BCF5" s="1962"/>
      <c r="BCG5" s="1962"/>
      <c r="BCH5" s="1962"/>
      <c r="BCI5" s="1962"/>
      <c r="BCJ5" s="1962"/>
      <c r="BCK5" s="1962"/>
      <c r="BCL5" s="1962"/>
      <c r="BCM5" s="1962"/>
      <c r="BCN5" s="1962"/>
      <c r="BCO5" s="1962"/>
      <c r="BCP5" s="1962"/>
      <c r="BCQ5" s="1962"/>
      <c r="BCR5" s="1962"/>
      <c r="BCS5" s="1962"/>
      <c r="BCT5" s="1962"/>
      <c r="BCU5" s="1962"/>
      <c r="BCV5" s="1962"/>
      <c r="BCW5" s="1962"/>
      <c r="BCX5" s="1962"/>
      <c r="BCY5" s="1962"/>
      <c r="BCZ5" s="1962"/>
      <c r="BDA5" s="1962"/>
      <c r="BDB5" s="1962"/>
      <c r="BDC5" s="1962"/>
      <c r="BDD5" s="1962"/>
      <c r="BDE5" s="1962"/>
      <c r="BDF5" s="1962"/>
      <c r="BDG5" s="1962"/>
      <c r="BDH5" s="1962"/>
      <c r="BDI5" s="1962"/>
      <c r="BDJ5" s="1962"/>
      <c r="BDK5" s="1962"/>
      <c r="BDL5" s="1962"/>
      <c r="BDM5" s="1962"/>
      <c r="BDN5" s="1962"/>
      <c r="BDO5" s="1962"/>
      <c r="BDP5" s="1962"/>
      <c r="BDQ5" s="1962"/>
      <c r="BDR5" s="1962"/>
      <c r="BDS5" s="1962"/>
      <c r="BDT5" s="1962"/>
      <c r="BDU5" s="1962"/>
      <c r="BDV5" s="1962"/>
      <c r="BDW5" s="1962"/>
      <c r="BDX5" s="1962"/>
      <c r="BDY5" s="1962"/>
      <c r="BDZ5" s="1962"/>
      <c r="BEA5" s="1962"/>
      <c r="BEB5" s="1962"/>
      <c r="BEC5" s="1962"/>
      <c r="BED5" s="1962"/>
      <c r="BEE5" s="1962"/>
      <c r="BEF5" s="1962"/>
      <c r="BEG5" s="1962"/>
      <c r="BEH5" s="1962"/>
      <c r="BEI5" s="1962"/>
      <c r="BEJ5" s="1962"/>
      <c r="BEK5" s="1962"/>
      <c r="BEL5" s="1962"/>
      <c r="BEM5" s="1962"/>
      <c r="BEN5" s="1962"/>
      <c r="BEO5" s="1962"/>
      <c r="BEP5" s="1962"/>
      <c r="BEQ5" s="1962"/>
      <c r="BER5" s="1962"/>
      <c r="BES5" s="1962"/>
      <c r="BET5" s="1962"/>
      <c r="BEU5" s="1962"/>
      <c r="BEV5" s="1962"/>
      <c r="BEW5" s="1962"/>
      <c r="BEX5" s="1962"/>
      <c r="BEY5" s="1962"/>
      <c r="BEZ5" s="1962"/>
      <c r="BFA5" s="1962"/>
      <c r="BFB5" s="1962"/>
      <c r="BFC5" s="1962"/>
      <c r="BFD5" s="1962"/>
      <c r="BFE5" s="1962"/>
      <c r="BFF5" s="1962"/>
      <c r="BFG5" s="1962"/>
      <c r="BFH5" s="1962"/>
      <c r="BFI5" s="1962"/>
      <c r="BFJ5" s="1962"/>
      <c r="BFK5" s="1962"/>
      <c r="BFL5" s="1962"/>
      <c r="BFM5" s="1962"/>
      <c r="BFN5" s="1962"/>
      <c r="BFO5" s="1962"/>
      <c r="BFP5" s="1962"/>
      <c r="BFQ5" s="1962"/>
      <c r="BFR5" s="1962"/>
      <c r="BFS5" s="1962"/>
      <c r="BFT5" s="1962"/>
      <c r="BFU5" s="1962"/>
      <c r="BFV5" s="1962"/>
      <c r="BFW5" s="1962"/>
      <c r="BFX5" s="1962"/>
      <c r="BFY5" s="1962"/>
      <c r="BFZ5" s="1962"/>
      <c r="BGA5" s="1962"/>
      <c r="BGB5" s="1962"/>
      <c r="BGC5" s="1962"/>
      <c r="BGD5" s="1962"/>
      <c r="BGE5" s="1962"/>
      <c r="BGF5" s="1962"/>
      <c r="BGG5" s="1962"/>
      <c r="BGH5" s="1962"/>
      <c r="BGI5" s="1962"/>
      <c r="BGJ5" s="1962"/>
      <c r="BGK5" s="1962"/>
      <c r="BGL5" s="1962"/>
      <c r="BGM5" s="1962"/>
      <c r="BGN5" s="1962"/>
      <c r="BGO5" s="1962"/>
      <c r="BGP5" s="1962"/>
      <c r="BGQ5" s="1962"/>
      <c r="BGR5" s="1962"/>
      <c r="BGS5" s="1962"/>
      <c r="BGT5" s="1962"/>
      <c r="BGU5" s="1962"/>
      <c r="BGV5" s="1962"/>
      <c r="BGW5" s="1962"/>
      <c r="BGX5" s="1962"/>
      <c r="BGY5" s="1962"/>
      <c r="BGZ5" s="1962"/>
      <c r="BHA5" s="1962"/>
      <c r="BHB5" s="1962"/>
      <c r="BHC5" s="1962"/>
      <c r="BHD5" s="1962"/>
      <c r="BHE5" s="1962"/>
      <c r="BHF5" s="1962"/>
      <c r="BHG5" s="1962"/>
      <c r="BHH5" s="1962"/>
      <c r="BHI5" s="1962"/>
      <c r="BHJ5" s="1962"/>
      <c r="BHK5" s="1962"/>
      <c r="BHL5" s="1962"/>
      <c r="BHM5" s="1962"/>
      <c r="BHN5" s="1962"/>
      <c r="BHO5" s="1962"/>
      <c r="BHP5" s="1962"/>
      <c r="BHQ5" s="1962"/>
      <c r="BHR5" s="1962"/>
      <c r="BHS5" s="1962"/>
      <c r="BHT5" s="1962"/>
      <c r="BHU5" s="1962"/>
      <c r="BHV5" s="1962"/>
      <c r="BHW5" s="1962"/>
      <c r="BHX5" s="1962"/>
      <c r="BHY5" s="1962"/>
      <c r="BHZ5" s="1962"/>
      <c r="BIA5" s="1962"/>
      <c r="BIB5" s="1962"/>
      <c r="BIC5" s="1962"/>
      <c r="BID5" s="1962"/>
      <c r="BIE5" s="1962"/>
      <c r="BIF5" s="1962"/>
      <c r="BIG5" s="1962"/>
      <c r="BIH5" s="1962"/>
      <c r="BII5" s="1962"/>
      <c r="BIJ5" s="1962"/>
      <c r="BIK5" s="1962"/>
      <c r="BIL5" s="1962"/>
      <c r="BIM5" s="1962"/>
      <c r="BIN5" s="1962"/>
      <c r="BIO5" s="1962"/>
      <c r="BIP5" s="1962"/>
      <c r="BIQ5" s="1962"/>
      <c r="BIR5" s="1962"/>
      <c r="BIS5" s="1962"/>
      <c r="BIT5" s="1962"/>
      <c r="BIU5" s="1962"/>
      <c r="BIV5" s="1962"/>
      <c r="BIW5" s="1962"/>
      <c r="BIX5" s="1962"/>
      <c r="BIY5" s="1962"/>
      <c r="BIZ5" s="1962"/>
      <c r="BJA5" s="1962"/>
      <c r="BJB5" s="1962"/>
      <c r="BJC5" s="1962"/>
      <c r="BJD5" s="1962"/>
      <c r="BJE5" s="1962"/>
      <c r="BJF5" s="1962"/>
      <c r="BJG5" s="1962"/>
      <c r="BJH5" s="1962"/>
      <c r="BJI5" s="1962"/>
      <c r="BJJ5" s="1962"/>
      <c r="BJK5" s="1962"/>
      <c r="BJL5" s="1962"/>
      <c r="BJM5" s="1962"/>
      <c r="BJN5" s="1962"/>
      <c r="BJO5" s="1962"/>
      <c r="BJP5" s="1962"/>
      <c r="BJQ5" s="1962"/>
      <c r="BJR5" s="1962"/>
      <c r="BJS5" s="1962"/>
      <c r="BJT5" s="1962"/>
      <c r="BJU5" s="1962"/>
      <c r="BJV5" s="1962"/>
      <c r="BJW5" s="1962"/>
      <c r="BJX5" s="1962"/>
      <c r="BJY5" s="1962"/>
      <c r="BJZ5" s="1962"/>
      <c r="BKA5" s="1962"/>
      <c r="BKB5" s="1962"/>
      <c r="BKC5" s="1962"/>
      <c r="BKD5" s="1962"/>
      <c r="BKE5" s="1962"/>
      <c r="BKF5" s="1962"/>
      <c r="BKG5" s="1962"/>
      <c r="BKH5" s="1962"/>
      <c r="BKI5" s="1962"/>
      <c r="BKJ5" s="1962"/>
      <c r="BKK5" s="1962"/>
      <c r="BKL5" s="1962"/>
      <c r="BKM5" s="1962"/>
      <c r="BKN5" s="1962"/>
      <c r="BKO5" s="1962"/>
      <c r="BKP5" s="1962"/>
      <c r="BKQ5" s="1962"/>
      <c r="BKR5" s="1962"/>
      <c r="BKS5" s="1962"/>
      <c r="BKT5" s="1962"/>
      <c r="BKU5" s="1962"/>
      <c r="BKV5" s="1962"/>
      <c r="BKW5" s="1962"/>
      <c r="BKX5" s="1962"/>
      <c r="BKY5" s="1962"/>
      <c r="BKZ5" s="1962"/>
      <c r="BLA5" s="1962"/>
      <c r="BLB5" s="1962"/>
      <c r="BLC5" s="1962"/>
      <c r="BLD5" s="1962"/>
      <c r="BLE5" s="1962"/>
      <c r="BLF5" s="1962"/>
      <c r="BLG5" s="1962"/>
      <c r="BLH5" s="1962"/>
      <c r="BLI5" s="1962"/>
      <c r="BLJ5" s="1962"/>
      <c r="BLK5" s="1962"/>
      <c r="BLL5" s="1962"/>
      <c r="BLM5" s="1962"/>
      <c r="BLN5" s="1962"/>
      <c r="BLO5" s="1962"/>
      <c r="BLP5" s="1962"/>
      <c r="BLQ5" s="1962"/>
      <c r="BLR5" s="1962"/>
      <c r="BLS5" s="1962"/>
      <c r="BLT5" s="1962"/>
      <c r="BLU5" s="1962"/>
      <c r="BLV5" s="1962"/>
      <c r="BLW5" s="1962"/>
      <c r="BLX5" s="1962"/>
      <c r="BLY5" s="1962"/>
      <c r="BLZ5" s="1962"/>
      <c r="BMA5" s="1962"/>
      <c r="BMB5" s="1962"/>
      <c r="BMC5" s="1962"/>
      <c r="BMD5" s="1962"/>
      <c r="BME5" s="1962"/>
      <c r="BMF5" s="1962"/>
      <c r="BMG5" s="1962"/>
      <c r="BMH5" s="1962"/>
      <c r="BMI5" s="1962"/>
      <c r="BMJ5" s="1962"/>
      <c r="BMK5" s="1962"/>
      <c r="BML5" s="1962"/>
      <c r="BMM5" s="1962"/>
      <c r="BMN5" s="1962"/>
      <c r="BMO5" s="1962"/>
      <c r="BMP5" s="1962"/>
      <c r="BMQ5" s="1962"/>
      <c r="BMR5" s="1962"/>
      <c r="BMS5" s="1962"/>
      <c r="BMT5" s="1962"/>
      <c r="BMU5" s="1962"/>
      <c r="BMV5" s="1962"/>
      <c r="BMW5" s="1962"/>
      <c r="BMX5" s="1962"/>
      <c r="BMY5" s="1962"/>
      <c r="BMZ5" s="1962"/>
      <c r="BNA5" s="1962"/>
      <c r="BNB5" s="1962"/>
      <c r="BNC5" s="1962"/>
      <c r="BND5" s="1962"/>
      <c r="BNE5" s="1962"/>
      <c r="BNF5" s="1962"/>
      <c r="BNG5" s="1962"/>
      <c r="BNH5" s="1962"/>
      <c r="BNI5" s="1962"/>
      <c r="BNJ5" s="1962"/>
      <c r="BNK5" s="1962"/>
      <c r="BNL5" s="1962"/>
      <c r="BNM5" s="1962"/>
      <c r="BNN5" s="1962"/>
      <c r="BNO5" s="1962"/>
      <c r="BNP5" s="1962"/>
      <c r="BNQ5" s="1962"/>
      <c r="BNR5" s="1962"/>
      <c r="BNS5" s="1962"/>
      <c r="BNT5" s="1962"/>
      <c r="BNU5" s="1962"/>
      <c r="BNV5" s="1962"/>
      <c r="BNW5" s="1962"/>
      <c r="BNX5" s="1962"/>
      <c r="BNY5" s="1962"/>
      <c r="BNZ5" s="1962"/>
      <c r="BOA5" s="1962"/>
      <c r="BOB5" s="1962"/>
      <c r="BOC5" s="1962"/>
      <c r="BOD5" s="1962"/>
      <c r="BOE5" s="1962"/>
      <c r="BOF5" s="1962"/>
      <c r="BOG5" s="1962"/>
      <c r="BOH5" s="1962"/>
      <c r="BOI5" s="1962"/>
      <c r="BOJ5" s="1962"/>
      <c r="BOK5" s="1962"/>
      <c r="BOL5" s="1962"/>
      <c r="BOM5" s="1962"/>
      <c r="BON5" s="1962"/>
      <c r="BOO5" s="1962"/>
      <c r="BOP5" s="1962"/>
      <c r="BOQ5" s="1962"/>
      <c r="BOR5" s="1962"/>
      <c r="BOS5" s="1962"/>
      <c r="BOT5" s="1962"/>
      <c r="BOU5" s="1962"/>
      <c r="BOV5" s="1962"/>
      <c r="BOW5" s="1962"/>
      <c r="BOX5" s="1962"/>
      <c r="BOY5" s="1962"/>
      <c r="BOZ5" s="1962"/>
      <c r="BPA5" s="1962"/>
      <c r="BPB5" s="1962"/>
      <c r="BPC5" s="1962"/>
      <c r="BPD5" s="1962"/>
      <c r="BPE5" s="1962"/>
      <c r="BPF5" s="1962"/>
      <c r="BPG5" s="1962"/>
      <c r="BPH5" s="1962"/>
      <c r="BPI5" s="1962"/>
      <c r="BPJ5" s="1962"/>
      <c r="BPK5" s="1962"/>
      <c r="BPL5" s="1962"/>
      <c r="BPM5" s="1962"/>
      <c r="BPN5" s="1962"/>
      <c r="BPO5" s="1962"/>
      <c r="BPP5" s="1962"/>
      <c r="BPQ5" s="1962"/>
      <c r="BPR5" s="1962"/>
      <c r="BPS5" s="1962"/>
      <c r="BPT5" s="1962"/>
      <c r="BPU5" s="1962"/>
      <c r="BPV5" s="1962"/>
      <c r="BPW5" s="1962"/>
      <c r="BPX5" s="1962"/>
      <c r="BPY5" s="1962"/>
      <c r="BPZ5" s="1962"/>
      <c r="BQA5" s="1962"/>
      <c r="BQB5" s="1962"/>
      <c r="BQC5" s="1962"/>
      <c r="BQD5" s="1962"/>
      <c r="BQE5" s="1962"/>
      <c r="BQF5" s="1962"/>
      <c r="BQG5" s="1962"/>
      <c r="BQH5" s="1962"/>
      <c r="BQI5" s="1962"/>
      <c r="BQJ5" s="1962"/>
      <c r="BQK5" s="1962"/>
      <c r="BQL5" s="1962"/>
      <c r="BQM5" s="1962"/>
      <c r="BQN5" s="1962"/>
      <c r="BQO5" s="1962"/>
      <c r="BQP5" s="1962"/>
      <c r="BQQ5" s="1962"/>
      <c r="BQR5" s="1962"/>
      <c r="BQS5" s="1962"/>
      <c r="BQT5" s="1962"/>
      <c r="BQU5" s="1962"/>
      <c r="BQV5" s="1962"/>
      <c r="BQW5" s="1962"/>
      <c r="BQX5" s="1962"/>
      <c r="BQY5" s="1962"/>
      <c r="BQZ5" s="1962"/>
      <c r="BRA5" s="1962"/>
      <c r="BRB5" s="1962"/>
      <c r="BRC5" s="1962"/>
      <c r="BRD5" s="1962"/>
      <c r="BRE5" s="1962"/>
      <c r="BRF5" s="1962"/>
      <c r="BRG5" s="1962"/>
      <c r="BRH5" s="1962"/>
      <c r="BRI5" s="1962"/>
      <c r="BRJ5" s="1962"/>
      <c r="BRK5" s="1962"/>
      <c r="BRL5" s="1962"/>
      <c r="BRM5" s="1962"/>
      <c r="BRN5" s="1962"/>
      <c r="BRO5" s="1962"/>
      <c r="BRP5" s="1962"/>
      <c r="BRQ5" s="1962"/>
      <c r="BRR5" s="1962"/>
      <c r="BRS5" s="1962"/>
      <c r="BRT5" s="1962"/>
      <c r="BRU5" s="1962"/>
      <c r="BRV5" s="1962"/>
      <c r="BRW5" s="1962"/>
      <c r="BRX5" s="1962"/>
      <c r="BRY5" s="1962"/>
      <c r="BRZ5" s="1962"/>
      <c r="BSA5" s="1962"/>
      <c r="BSB5" s="1962"/>
      <c r="BSC5" s="1962"/>
      <c r="BSD5" s="1962"/>
      <c r="BSE5" s="1962"/>
      <c r="BSF5" s="1962"/>
      <c r="BSG5" s="1962"/>
      <c r="BSH5" s="1962"/>
      <c r="BSI5" s="1962"/>
      <c r="BSJ5" s="1962"/>
      <c r="BSK5" s="1962"/>
      <c r="BSL5" s="1962"/>
      <c r="BSM5" s="1962"/>
      <c r="BSN5" s="1962"/>
      <c r="BSO5" s="1962"/>
      <c r="BSP5" s="1962"/>
      <c r="BSQ5" s="1962"/>
      <c r="BSR5" s="1962"/>
      <c r="BSS5" s="1962"/>
      <c r="BST5" s="1962"/>
      <c r="BSU5" s="1962"/>
      <c r="BSV5" s="1962"/>
      <c r="BSW5" s="1962"/>
      <c r="BSX5" s="1962"/>
      <c r="BSY5" s="1962"/>
      <c r="BSZ5" s="1962"/>
      <c r="BTA5" s="1962"/>
      <c r="BTB5" s="1962"/>
      <c r="BTC5" s="1962"/>
      <c r="BTD5" s="1962"/>
      <c r="BTE5" s="1962"/>
      <c r="BTF5" s="1962"/>
      <c r="BTG5" s="1962"/>
      <c r="BTH5" s="1962"/>
      <c r="BTI5" s="1962"/>
      <c r="BTJ5" s="1962"/>
      <c r="BTK5" s="1962"/>
      <c r="BTL5" s="1962"/>
      <c r="BTM5" s="1962"/>
      <c r="BTN5" s="1962"/>
      <c r="BTO5" s="1962"/>
      <c r="BTP5" s="1962"/>
      <c r="BTQ5" s="1962"/>
      <c r="BTR5" s="1962"/>
      <c r="BTS5" s="1962"/>
      <c r="BTT5" s="1962"/>
      <c r="BTU5" s="1962"/>
      <c r="BTV5" s="1962"/>
      <c r="BTW5" s="1962"/>
      <c r="BTX5" s="1962"/>
      <c r="BTY5" s="1962"/>
      <c r="BTZ5" s="1962"/>
      <c r="BUA5" s="1962"/>
      <c r="BUB5" s="1962"/>
      <c r="BUC5" s="1962"/>
      <c r="BUD5" s="1962"/>
      <c r="BUE5" s="1962"/>
      <c r="BUF5" s="1962"/>
      <c r="BUG5" s="1962"/>
      <c r="BUH5" s="1962"/>
      <c r="BUI5" s="1962"/>
      <c r="BUJ5" s="1962"/>
      <c r="BUK5" s="1962"/>
      <c r="BUL5" s="1962"/>
      <c r="BUM5" s="1962"/>
      <c r="BUN5" s="1962"/>
      <c r="BUO5" s="1962"/>
      <c r="BUP5" s="1962"/>
      <c r="BUQ5" s="1962"/>
      <c r="BUR5" s="1962"/>
      <c r="BUS5" s="1962"/>
      <c r="BUT5" s="1962"/>
      <c r="BUU5" s="1962"/>
      <c r="BUV5" s="1962"/>
      <c r="BUW5" s="1962"/>
      <c r="BUX5" s="1962"/>
      <c r="BUY5" s="1962"/>
      <c r="BUZ5" s="1962"/>
      <c r="BVA5" s="1962"/>
      <c r="BVB5" s="1962"/>
      <c r="BVC5" s="1962"/>
      <c r="BVD5" s="1962"/>
      <c r="BVE5" s="1962"/>
      <c r="BVF5" s="1962"/>
      <c r="BVG5" s="1962"/>
      <c r="BVH5" s="1962"/>
      <c r="BVI5" s="1962"/>
      <c r="BVJ5" s="1962"/>
      <c r="BVK5" s="1962"/>
      <c r="BVL5" s="1962"/>
      <c r="BVM5" s="1962"/>
      <c r="BVN5" s="1962"/>
      <c r="BVO5" s="1962"/>
      <c r="BVP5" s="1962"/>
      <c r="BVQ5" s="1962"/>
      <c r="BVR5" s="1962"/>
      <c r="BVS5" s="1962"/>
      <c r="BVT5" s="1962"/>
      <c r="BVU5" s="1962"/>
      <c r="BVV5" s="1962"/>
      <c r="BVW5" s="1962"/>
      <c r="BVX5" s="1962"/>
      <c r="BVY5" s="1962"/>
      <c r="BVZ5" s="1962"/>
      <c r="BWA5" s="1962"/>
      <c r="BWB5" s="1962"/>
      <c r="BWC5" s="1962"/>
      <c r="BWD5" s="1962"/>
      <c r="BWE5" s="1962"/>
      <c r="BWF5" s="1962"/>
      <c r="BWG5" s="1962"/>
      <c r="BWH5" s="1962"/>
      <c r="BWI5" s="1962"/>
      <c r="BWJ5" s="1962"/>
      <c r="BWK5" s="1962"/>
      <c r="BWL5" s="1962"/>
      <c r="BWM5" s="1962"/>
      <c r="BWN5" s="1962"/>
      <c r="BWO5" s="1962"/>
      <c r="BWP5" s="1962"/>
      <c r="BWQ5" s="1962"/>
      <c r="BWR5" s="1962"/>
      <c r="BWS5" s="1962"/>
      <c r="BWT5" s="1962"/>
      <c r="BWU5" s="1962"/>
      <c r="BWV5" s="1962"/>
      <c r="BWW5" s="1962"/>
      <c r="BWX5" s="1962"/>
      <c r="BWY5" s="1962"/>
      <c r="BWZ5" s="1962"/>
      <c r="BXA5" s="1962"/>
      <c r="BXB5" s="1962"/>
      <c r="BXC5" s="1962"/>
      <c r="BXD5" s="1962"/>
      <c r="BXE5" s="1962"/>
      <c r="BXF5" s="1962"/>
      <c r="BXG5" s="1962"/>
      <c r="BXH5" s="1962"/>
      <c r="BXI5" s="1962"/>
      <c r="BXJ5" s="1962"/>
      <c r="BXK5" s="1962"/>
      <c r="BXL5" s="1962"/>
      <c r="BXM5" s="1962"/>
      <c r="BXN5" s="1962"/>
      <c r="BXO5" s="1962"/>
      <c r="BXP5" s="1962"/>
      <c r="BXQ5" s="1962"/>
      <c r="BXR5" s="1962"/>
      <c r="BXS5" s="1962"/>
      <c r="BXT5" s="1962"/>
      <c r="BXU5" s="1962"/>
      <c r="BXV5" s="1962"/>
      <c r="BXW5" s="1962"/>
      <c r="BXX5" s="1962"/>
      <c r="BXY5" s="1962"/>
      <c r="BXZ5" s="1962"/>
      <c r="BYA5" s="1962"/>
      <c r="BYB5" s="1962"/>
      <c r="BYC5" s="1962"/>
      <c r="BYD5" s="1962"/>
      <c r="BYE5" s="1962"/>
      <c r="BYF5" s="1962"/>
      <c r="BYG5" s="1962"/>
      <c r="BYH5" s="1962"/>
      <c r="BYI5" s="1962"/>
      <c r="BYJ5" s="1962"/>
      <c r="BYK5" s="1962"/>
      <c r="BYL5" s="1962"/>
      <c r="BYM5" s="1962"/>
      <c r="BYN5" s="1962"/>
      <c r="BYO5" s="1962"/>
      <c r="BYP5" s="1962"/>
      <c r="BYQ5" s="1962"/>
      <c r="BYR5" s="1962"/>
      <c r="BYS5" s="1962"/>
      <c r="BYT5" s="1962"/>
      <c r="BYU5" s="1962"/>
      <c r="BYV5" s="1962"/>
      <c r="BYW5" s="1962"/>
      <c r="BYX5" s="1962"/>
      <c r="BYY5" s="1962"/>
      <c r="BYZ5" s="1962"/>
      <c r="BZA5" s="1962"/>
      <c r="BZB5" s="1962"/>
      <c r="BZC5" s="1962"/>
      <c r="BZD5" s="1962"/>
      <c r="BZE5" s="1962"/>
      <c r="BZF5" s="1962"/>
      <c r="BZG5" s="1962"/>
      <c r="BZH5" s="1962"/>
      <c r="BZI5" s="1962"/>
      <c r="BZJ5" s="1962"/>
      <c r="BZK5" s="1962"/>
      <c r="BZL5" s="1962"/>
      <c r="BZM5" s="1962"/>
      <c r="BZN5" s="1962"/>
      <c r="BZO5" s="1962"/>
      <c r="BZP5" s="1962"/>
      <c r="BZQ5" s="1962"/>
      <c r="BZR5" s="1962"/>
      <c r="BZS5" s="1962"/>
      <c r="BZT5" s="1962"/>
      <c r="BZU5" s="1962"/>
      <c r="BZV5" s="1962"/>
      <c r="BZW5" s="1962"/>
      <c r="BZX5" s="1962"/>
      <c r="BZY5" s="1962"/>
      <c r="BZZ5" s="1962"/>
      <c r="CAA5" s="1962"/>
      <c r="CAB5" s="1962"/>
      <c r="CAC5" s="1962"/>
      <c r="CAD5" s="1962"/>
      <c r="CAE5" s="1962"/>
      <c r="CAF5" s="1962"/>
      <c r="CAG5" s="1962"/>
      <c r="CAH5" s="1962"/>
      <c r="CAI5" s="1962"/>
      <c r="CAJ5" s="1962"/>
      <c r="CAK5" s="1962"/>
      <c r="CAL5" s="1962"/>
      <c r="CAM5" s="1962"/>
      <c r="CAN5" s="1962"/>
      <c r="CAO5" s="1962"/>
      <c r="CAP5" s="1962"/>
      <c r="CAQ5" s="1962"/>
      <c r="CAR5" s="1962"/>
      <c r="CAS5" s="1962"/>
      <c r="CAT5" s="1962"/>
      <c r="CAU5" s="1962"/>
      <c r="CAV5" s="1962"/>
      <c r="CAW5" s="1962"/>
      <c r="CAX5" s="1962"/>
      <c r="CAY5" s="1962"/>
      <c r="CAZ5" s="1962"/>
      <c r="CBA5" s="1962"/>
      <c r="CBB5" s="1962"/>
      <c r="CBC5" s="1962"/>
      <c r="CBD5" s="1962"/>
      <c r="CBE5" s="1962"/>
      <c r="CBF5" s="1962"/>
      <c r="CBG5" s="1962"/>
      <c r="CBH5" s="1962"/>
      <c r="CBI5" s="1962"/>
      <c r="CBJ5" s="1962"/>
      <c r="CBK5" s="1962"/>
      <c r="CBL5" s="1962"/>
      <c r="CBM5" s="1962"/>
      <c r="CBN5" s="1962"/>
      <c r="CBO5" s="1962"/>
      <c r="CBP5" s="1962"/>
      <c r="CBQ5" s="1962"/>
      <c r="CBR5" s="1962"/>
      <c r="CBS5" s="1962"/>
      <c r="CBT5" s="1962"/>
      <c r="CBU5" s="1962"/>
      <c r="CBV5" s="1962"/>
      <c r="CBW5" s="1962"/>
      <c r="CBX5" s="1962"/>
      <c r="CBY5" s="1962"/>
      <c r="CBZ5" s="1962"/>
      <c r="CCA5" s="1962"/>
      <c r="CCB5" s="1962"/>
      <c r="CCC5" s="1962"/>
      <c r="CCD5" s="1962"/>
      <c r="CCE5" s="1962"/>
      <c r="CCF5" s="1962"/>
      <c r="CCG5" s="1962"/>
      <c r="CCH5" s="1962"/>
      <c r="CCI5" s="1962"/>
      <c r="CCJ5" s="1962"/>
      <c r="CCK5" s="1962"/>
      <c r="CCL5" s="1962"/>
      <c r="CCM5" s="1962"/>
      <c r="CCN5" s="1962"/>
      <c r="CCO5" s="1962"/>
      <c r="CCP5" s="1962"/>
      <c r="CCQ5" s="1962"/>
      <c r="CCR5" s="1962"/>
      <c r="CCS5" s="1962"/>
      <c r="CCT5" s="1962"/>
      <c r="CCU5" s="1962"/>
      <c r="CCV5" s="1962"/>
      <c r="CCW5" s="1962"/>
      <c r="CCX5" s="1962"/>
      <c r="CCY5" s="1962"/>
      <c r="CCZ5" s="1962"/>
      <c r="CDA5" s="1962"/>
      <c r="CDB5" s="1962"/>
      <c r="CDC5" s="1962"/>
      <c r="CDD5" s="1962"/>
      <c r="CDE5" s="1962"/>
      <c r="CDF5" s="1962"/>
      <c r="CDG5" s="1962"/>
      <c r="CDH5" s="1962"/>
      <c r="CDI5" s="1962"/>
      <c r="CDJ5" s="1962"/>
      <c r="CDK5" s="1962"/>
      <c r="CDL5" s="1962"/>
      <c r="CDM5" s="1962"/>
      <c r="CDN5" s="1962"/>
      <c r="CDO5" s="1962"/>
      <c r="CDP5" s="1962"/>
      <c r="CDQ5" s="1962"/>
      <c r="CDR5" s="1962"/>
      <c r="CDS5" s="1962"/>
      <c r="CDT5" s="1962"/>
      <c r="CDU5" s="1962"/>
      <c r="CDV5" s="1962"/>
      <c r="CDW5" s="1962"/>
      <c r="CDX5" s="1962"/>
      <c r="CDY5" s="1962"/>
      <c r="CDZ5" s="1962"/>
      <c r="CEA5" s="1962"/>
      <c r="CEB5" s="1962"/>
      <c r="CEC5" s="1962"/>
      <c r="CED5" s="1962"/>
      <c r="CEE5" s="1962"/>
      <c r="CEF5" s="1962"/>
      <c r="CEG5" s="1962"/>
      <c r="CEH5" s="1962"/>
      <c r="CEI5" s="1962"/>
      <c r="CEJ5" s="1962"/>
      <c r="CEK5" s="1962"/>
      <c r="CEL5" s="1962"/>
      <c r="CEM5" s="1962"/>
      <c r="CEN5" s="1962"/>
      <c r="CEO5" s="1962"/>
      <c r="CEP5" s="1962"/>
      <c r="CEQ5" s="1962"/>
      <c r="CER5" s="1962"/>
      <c r="CES5" s="1962"/>
      <c r="CET5" s="1962"/>
      <c r="CEU5" s="1962"/>
      <c r="CEV5" s="1962"/>
      <c r="CEW5" s="1962"/>
      <c r="CEX5" s="1962"/>
      <c r="CEY5" s="1962"/>
      <c r="CEZ5" s="1962"/>
      <c r="CFA5" s="1962"/>
      <c r="CFB5" s="1962"/>
      <c r="CFC5" s="1962"/>
      <c r="CFD5" s="1962"/>
      <c r="CFE5" s="1962"/>
      <c r="CFF5" s="1962"/>
      <c r="CFG5" s="1962"/>
      <c r="CFH5" s="1962"/>
      <c r="CFI5" s="1962"/>
      <c r="CFJ5" s="1962"/>
      <c r="CFK5" s="1962"/>
      <c r="CFL5" s="1962"/>
      <c r="CFM5" s="1962"/>
      <c r="CFN5" s="1962"/>
      <c r="CFO5" s="1962"/>
      <c r="CFP5" s="1962"/>
      <c r="CFQ5" s="1962"/>
      <c r="CFR5" s="1962"/>
      <c r="CFS5" s="1962"/>
      <c r="CFT5" s="1962"/>
      <c r="CFU5" s="1962"/>
      <c r="CFV5" s="1962"/>
      <c r="CFW5" s="1962"/>
      <c r="CFX5" s="1962"/>
      <c r="CFY5" s="1962"/>
      <c r="CFZ5" s="1962"/>
      <c r="CGA5" s="1962"/>
      <c r="CGB5" s="1962"/>
      <c r="CGC5" s="1962"/>
      <c r="CGD5" s="1962"/>
      <c r="CGE5" s="1962"/>
      <c r="CGF5" s="1962"/>
      <c r="CGG5" s="1962"/>
      <c r="CGH5" s="1962"/>
      <c r="CGI5" s="1962"/>
      <c r="CGJ5" s="1962"/>
      <c r="CGK5" s="1962"/>
      <c r="CGL5" s="1962"/>
      <c r="CGM5" s="1962"/>
      <c r="CGN5" s="1962"/>
      <c r="CGO5" s="1962"/>
      <c r="CGP5" s="1962"/>
      <c r="CGQ5" s="1962"/>
      <c r="CGR5" s="1962"/>
      <c r="CGS5" s="1962"/>
      <c r="CGT5" s="1962"/>
      <c r="CGU5" s="1962"/>
      <c r="CGV5" s="1962"/>
      <c r="CGW5" s="1962"/>
      <c r="CGX5" s="1962"/>
      <c r="CGY5" s="1962"/>
      <c r="CGZ5" s="1962"/>
      <c r="CHA5" s="1962"/>
      <c r="CHB5" s="1962"/>
      <c r="CHC5" s="1962"/>
      <c r="CHD5" s="1962"/>
      <c r="CHE5" s="1962"/>
      <c r="CHF5" s="1962"/>
      <c r="CHG5" s="1962"/>
      <c r="CHH5" s="1962"/>
      <c r="CHI5" s="1962"/>
      <c r="CHJ5" s="1962"/>
      <c r="CHK5" s="1962"/>
      <c r="CHL5" s="1962"/>
      <c r="CHM5" s="1962"/>
      <c r="CHN5" s="1962"/>
      <c r="CHO5" s="1962"/>
      <c r="CHP5" s="1962"/>
      <c r="CHQ5" s="1962"/>
      <c r="CHR5" s="1962"/>
      <c r="CHS5" s="1962"/>
      <c r="CHT5" s="1962"/>
      <c r="CHU5" s="1962"/>
      <c r="CHV5" s="1962"/>
      <c r="CHW5" s="1962"/>
      <c r="CHX5" s="1962"/>
      <c r="CHY5" s="1962"/>
      <c r="CHZ5" s="1962"/>
      <c r="CIA5" s="1962"/>
      <c r="CIB5" s="1962"/>
      <c r="CIC5" s="1962"/>
      <c r="CID5" s="1962"/>
      <c r="CIE5" s="1962"/>
      <c r="CIF5" s="1962"/>
      <c r="CIG5" s="1962"/>
      <c r="CIH5" s="1962"/>
      <c r="CII5" s="1962"/>
      <c r="CIJ5" s="1962"/>
      <c r="CIK5" s="1962"/>
      <c r="CIL5" s="1962"/>
      <c r="CIM5" s="1962"/>
      <c r="CIN5" s="1962"/>
      <c r="CIO5" s="1962"/>
      <c r="CIP5" s="1962"/>
      <c r="CIQ5" s="1962"/>
      <c r="CIR5" s="1962"/>
      <c r="CIS5" s="1962"/>
      <c r="CIT5" s="1962"/>
      <c r="CIU5" s="1962"/>
      <c r="CIV5" s="1962"/>
      <c r="CIW5" s="1962"/>
      <c r="CIX5" s="1962"/>
      <c r="CIY5" s="1962"/>
      <c r="CIZ5" s="1962"/>
      <c r="CJA5" s="1962"/>
      <c r="CJB5" s="1962"/>
      <c r="CJC5" s="1962"/>
      <c r="CJD5" s="1962"/>
      <c r="CJE5" s="1962"/>
      <c r="CJF5" s="1962"/>
      <c r="CJG5" s="1962"/>
      <c r="CJH5" s="1962"/>
      <c r="CJI5" s="1962"/>
      <c r="CJJ5" s="1962"/>
      <c r="CJK5" s="1962"/>
      <c r="CJL5" s="1962"/>
      <c r="CJM5" s="1962"/>
      <c r="CJN5" s="1962"/>
      <c r="CJO5" s="1962"/>
      <c r="CJP5" s="1962"/>
      <c r="CJQ5" s="1962"/>
      <c r="CJR5" s="1962"/>
      <c r="CJS5" s="1962"/>
      <c r="CJT5" s="1962"/>
      <c r="CJU5" s="1962"/>
      <c r="CJV5" s="1962"/>
      <c r="CJW5" s="1962"/>
      <c r="CJX5" s="1962"/>
      <c r="CJY5" s="1962"/>
      <c r="CJZ5" s="1962"/>
      <c r="CKA5" s="1962"/>
      <c r="CKB5" s="1962"/>
      <c r="CKC5" s="1962"/>
      <c r="CKD5" s="1962"/>
      <c r="CKE5" s="1962"/>
      <c r="CKF5" s="1962"/>
      <c r="CKG5" s="1962"/>
      <c r="CKH5" s="1962"/>
      <c r="CKI5" s="1962"/>
      <c r="CKJ5" s="1962"/>
      <c r="CKK5" s="1962"/>
      <c r="CKL5" s="1962"/>
      <c r="CKM5" s="1962"/>
      <c r="CKN5" s="1962"/>
      <c r="CKO5" s="1962"/>
      <c r="CKP5" s="1962"/>
      <c r="CKQ5" s="1962"/>
      <c r="CKR5" s="1962"/>
      <c r="CKS5" s="1962"/>
      <c r="CKT5" s="1962"/>
      <c r="CKU5" s="1962"/>
      <c r="CKV5" s="1962"/>
      <c r="CKW5" s="1962"/>
      <c r="CKX5" s="1962"/>
      <c r="CKY5" s="1962"/>
      <c r="CKZ5" s="1962"/>
      <c r="CLA5" s="1962"/>
      <c r="CLB5" s="1962"/>
      <c r="CLC5" s="1962"/>
      <c r="CLD5" s="1962"/>
      <c r="CLE5" s="1962"/>
      <c r="CLF5" s="1962"/>
      <c r="CLG5" s="1962"/>
      <c r="CLH5" s="1962"/>
      <c r="CLI5" s="1962"/>
      <c r="CLJ5" s="1962"/>
      <c r="CLK5" s="1962"/>
      <c r="CLL5" s="1962"/>
      <c r="CLM5" s="1962"/>
      <c r="CLN5" s="1962"/>
      <c r="CLO5" s="1962"/>
      <c r="CLP5" s="1962"/>
      <c r="CLQ5" s="1962"/>
      <c r="CLR5" s="1962"/>
      <c r="CLS5" s="1962"/>
      <c r="CLT5" s="1962"/>
      <c r="CLU5" s="1962"/>
      <c r="CLV5" s="1962"/>
      <c r="CLW5" s="1962"/>
      <c r="CLX5" s="1962"/>
      <c r="CLY5" s="1962"/>
      <c r="CLZ5" s="1962"/>
      <c r="CMA5" s="1962"/>
      <c r="CMB5" s="1962"/>
      <c r="CMC5" s="1962"/>
      <c r="CMD5" s="1962"/>
      <c r="CME5" s="1962"/>
      <c r="CMF5" s="1962"/>
      <c r="CMG5" s="1962"/>
      <c r="CMH5" s="1962"/>
      <c r="CMI5" s="1962"/>
      <c r="CMJ5" s="1962"/>
      <c r="CMK5" s="1962"/>
      <c r="CML5" s="1962"/>
      <c r="CMM5" s="1962"/>
      <c r="CMN5" s="1962"/>
      <c r="CMO5" s="1962"/>
      <c r="CMP5" s="1962"/>
      <c r="CMQ5" s="1962"/>
      <c r="CMR5" s="1962"/>
      <c r="CMS5" s="1962"/>
      <c r="CMT5" s="1962"/>
      <c r="CMU5" s="1962"/>
      <c r="CMV5" s="1962"/>
      <c r="CMW5" s="1962"/>
      <c r="CMX5" s="1962"/>
      <c r="CMY5" s="1962"/>
      <c r="CMZ5" s="1962"/>
      <c r="CNA5" s="1962"/>
      <c r="CNB5" s="1962"/>
      <c r="CNC5" s="1962"/>
      <c r="CND5" s="1962"/>
      <c r="CNE5" s="1962"/>
      <c r="CNF5" s="1962"/>
      <c r="CNG5" s="1962"/>
      <c r="CNH5" s="1962"/>
      <c r="CNI5" s="1962"/>
      <c r="CNJ5" s="1962"/>
      <c r="CNK5" s="1962"/>
      <c r="CNL5" s="1962"/>
      <c r="CNM5" s="1962"/>
      <c r="CNN5" s="1962"/>
      <c r="CNO5" s="1962"/>
      <c r="CNP5" s="1962"/>
      <c r="CNQ5" s="1962"/>
      <c r="CNR5" s="1962"/>
      <c r="CNS5" s="1962"/>
      <c r="CNT5" s="1962"/>
      <c r="CNU5" s="1962"/>
      <c r="CNV5" s="1962"/>
      <c r="CNW5" s="1962"/>
      <c r="CNX5" s="1962"/>
      <c r="CNY5" s="1962"/>
      <c r="CNZ5" s="1962"/>
      <c r="COA5" s="1962"/>
      <c r="COB5" s="1962"/>
      <c r="COC5" s="1962"/>
      <c r="COD5" s="1962"/>
      <c r="COE5" s="1962"/>
      <c r="COF5" s="1962"/>
      <c r="COG5" s="1962"/>
      <c r="COH5" s="1962"/>
      <c r="COI5" s="1962"/>
      <c r="COJ5" s="1962"/>
      <c r="COK5" s="1962"/>
      <c r="COL5" s="1962"/>
      <c r="COM5" s="1962"/>
      <c r="CON5" s="1962"/>
      <c r="COO5" s="1962"/>
      <c r="COP5" s="1962"/>
      <c r="COQ5" s="1962"/>
      <c r="COR5" s="1962"/>
      <c r="COS5" s="1962"/>
      <c r="COT5" s="1962"/>
      <c r="COU5" s="1962"/>
      <c r="COV5" s="1962"/>
      <c r="COW5" s="1962"/>
      <c r="COX5" s="1962"/>
      <c r="COY5" s="1962"/>
      <c r="COZ5" s="1962"/>
      <c r="CPA5" s="1962"/>
      <c r="CPB5" s="1962"/>
      <c r="CPC5" s="1962"/>
      <c r="CPD5" s="1962"/>
      <c r="CPE5" s="1962"/>
      <c r="CPF5" s="1962"/>
      <c r="CPG5" s="1962"/>
      <c r="CPH5" s="1962"/>
      <c r="CPI5" s="1962"/>
      <c r="CPJ5" s="1962"/>
      <c r="CPK5" s="1962"/>
      <c r="CPL5" s="1962"/>
      <c r="CPM5" s="1962"/>
      <c r="CPN5" s="1962"/>
      <c r="CPO5" s="1962"/>
      <c r="CPP5" s="1962"/>
      <c r="CPQ5" s="1962"/>
      <c r="CPR5" s="1962"/>
      <c r="CPS5" s="1962"/>
      <c r="CPT5" s="1962"/>
      <c r="CPU5" s="1962"/>
      <c r="CPV5" s="1962"/>
      <c r="CPW5" s="1962"/>
      <c r="CPX5" s="1962"/>
      <c r="CPY5" s="1962"/>
      <c r="CPZ5" s="1962"/>
      <c r="CQA5" s="1962"/>
      <c r="CQB5" s="1962"/>
      <c r="CQC5" s="1962"/>
      <c r="CQD5" s="1962"/>
      <c r="CQE5" s="1962"/>
      <c r="CQF5" s="1962"/>
      <c r="CQG5" s="1962"/>
      <c r="CQH5" s="1962"/>
      <c r="CQI5" s="1962"/>
      <c r="CQJ5" s="1962"/>
      <c r="CQK5" s="1962"/>
      <c r="CQL5" s="1962"/>
      <c r="CQM5" s="1962"/>
      <c r="CQN5" s="1962"/>
      <c r="CQO5" s="1962"/>
      <c r="CQP5" s="1962"/>
      <c r="CQQ5" s="1962"/>
      <c r="CQR5" s="1962"/>
      <c r="CQS5" s="1962"/>
      <c r="CQT5" s="1962"/>
      <c r="CQU5" s="1962"/>
      <c r="CQV5" s="1962"/>
      <c r="CQW5" s="1962"/>
      <c r="CQX5" s="1962"/>
      <c r="CQY5" s="1962"/>
      <c r="CQZ5" s="1962"/>
      <c r="CRA5" s="1962"/>
      <c r="CRB5" s="1962"/>
      <c r="CRC5" s="1962"/>
      <c r="CRD5" s="1962"/>
      <c r="CRE5" s="1962"/>
      <c r="CRF5" s="1962"/>
      <c r="CRG5" s="1962"/>
      <c r="CRH5" s="1962"/>
      <c r="CRI5" s="1962"/>
      <c r="CRJ5" s="1962"/>
      <c r="CRK5" s="1962"/>
      <c r="CRL5" s="1962"/>
      <c r="CRM5" s="1962"/>
      <c r="CRN5" s="1962"/>
      <c r="CRO5" s="1962"/>
      <c r="CRP5" s="1962"/>
      <c r="CRQ5" s="1962"/>
      <c r="CRR5" s="1962"/>
      <c r="CRS5" s="1962"/>
      <c r="CRT5" s="1962"/>
      <c r="CRU5" s="1962"/>
      <c r="CRV5" s="1962"/>
      <c r="CRW5" s="1962"/>
      <c r="CRX5" s="1962"/>
      <c r="CRY5" s="1962"/>
      <c r="CRZ5" s="1962"/>
      <c r="CSA5" s="1962"/>
      <c r="CSB5" s="1962"/>
      <c r="CSC5" s="1962"/>
      <c r="CSD5" s="1962"/>
      <c r="CSE5" s="1962"/>
      <c r="CSF5" s="1962"/>
      <c r="CSG5" s="1962"/>
      <c r="CSH5" s="1962"/>
      <c r="CSI5" s="1962"/>
      <c r="CSJ5" s="1962"/>
      <c r="CSK5" s="1962"/>
      <c r="CSL5" s="1962"/>
      <c r="CSM5" s="1962"/>
      <c r="CSN5" s="1962"/>
      <c r="CSO5" s="1962"/>
      <c r="CSP5" s="1962"/>
      <c r="CSQ5" s="1962"/>
      <c r="CSR5" s="1962"/>
      <c r="CSS5" s="1962"/>
      <c r="CST5" s="1962"/>
      <c r="CSU5" s="1962"/>
      <c r="CSV5" s="1962"/>
      <c r="CSW5" s="1962"/>
      <c r="CSX5" s="1962"/>
      <c r="CSY5" s="1962"/>
      <c r="CSZ5" s="1962"/>
      <c r="CTA5" s="1962"/>
      <c r="CTB5" s="1962"/>
      <c r="CTC5" s="1962"/>
      <c r="CTD5" s="1962"/>
      <c r="CTE5" s="1962"/>
      <c r="CTF5" s="1962"/>
      <c r="CTG5" s="1962"/>
      <c r="CTH5" s="1962"/>
      <c r="CTI5" s="1962"/>
      <c r="CTJ5" s="1962"/>
      <c r="CTK5" s="1962"/>
      <c r="CTL5" s="1962"/>
      <c r="CTM5" s="1962"/>
      <c r="CTN5" s="1962"/>
      <c r="CTO5" s="1962"/>
      <c r="CTP5" s="1962"/>
      <c r="CTQ5" s="1962"/>
      <c r="CTR5" s="1962"/>
      <c r="CTS5" s="1962"/>
      <c r="CTT5" s="1962"/>
      <c r="CTU5" s="1962"/>
      <c r="CTV5" s="1962"/>
      <c r="CTW5" s="1962"/>
      <c r="CTX5" s="1962"/>
      <c r="CTY5" s="1962"/>
      <c r="CTZ5" s="1962"/>
      <c r="CUA5" s="1962"/>
      <c r="CUB5" s="1962"/>
      <c r="CUC5" s="1962"/>
      <c r="CUD5" s="1962"/>
      <c r="CUE5" s="1962"/>
      <c r="CUF5" s="1962"/>
      <c r="CUG5" s="1962"/>
      <c r="CUH5" s="1962"/>
      <c r="CUI5" s="1962"/>
      <c r="CUJ5" s="1962"/>
      <c r="CUK5" s="1962"/>
      <c r="CUL5" s="1962"/>
      <c r="CUM5" s="1962"/>
      <c r="CUN5" s="1962"/>
      <c r="CUO5" s="1962"/>
      <c r="CUP5" s="1962"/>
      <c r="CUQ5" s="1962"/>
      <c r="CUR5" s="1962"/>
      <c r="CUS5" s="1962"/>
      <c r="CUT5" s="1962"/>
      <c r="CUU5" s="1962"/>
      <c r="CUV5" s="1962"/>
      <c r="CUW5" s="1962"/>
      <c r="CUX5" s="1962"/>
      <c r="CUY5" s="1962"/>
      <c r="CUZ5" s="1962"/>
      <c r="CVA5" s="1962"/>
      <c r="CVB5" s="1962"/>
      <c r="CVC5" s="1962"/>
      <c r="CVD5" s="1962"/>
      <c r="CVE5" s="1962"/>
      <c r="CVF5" s="1962"/>
      <c r="CVG5" s="1962"/>
      <c r="CVH5" s="1962"/>
      <c r="CVI5" s="1962"/>
      <c r="CVJ5" s="1962"/>
      <c r="CVK5" s="1962"/>
      <c r="CVL5" s="1962"/>
      <c r="CVM5" s="1962"/>
      <c r="CVN5" s="1962"/>
      <c r="CVO5" s="1962"/>
      <c r="CVP5" s="1962"/>
      <c r="CVQ5" s="1962"/>
      <c r="CVR5" s="1962"/>
      <c r="CVS5" s="1962"/>
      <c r="CVT5" s="1962"/>
      <c r="CVU5" s="1962"/>
      <c r="CVV5" s="1962"/>
      <c r="CVW5" s="1962"/>
      <c r="CVX5" s="1962"/>
      <c r="CVY5" s="1962"/>
      <c r="CVZ5" s="1962"/>
      <c r="CWA5" s="1962"/>
      <c r="CWB5" s="1962"/>
      <c r="CWC5" s="1962"/>
      <c r="CWD5" s="1962"/>
      <c r="CWE5" s="1962"/>
      <c r="CWF5" s="1962"/>
      <c r="CWG5" s="1962"/>
      <c r="CWH5" s="1962"/>
      <c r="CWI5" s="1962"/>
      <c r="CWJ5" s="1962"/>
      <c r="CWK5" s="1962"/>
      <c r="CWL5" s="1962"/>
      <c r="CWM5" s="1962"/>
      <c r="CWN5" s="1962"/>
      <c r="CWO5" s="1962"/>
      <c r="CWP5" s="1962"/>
      <c r="CWQ5" s="1962"/>
      <c r="CWR5" s="1962"/>
      <c r="CWS5" s="1962"/>
      <c r="CWT5" s="1962"/>
      <c r="CWU5" s="1962"/>
      <c r="CWV5" s="1962"/>
      <c r="CWW5" s="1962"/>
      <c r="CWX5" s="1962"/>
      <c r="CWY5" s="1962"/>
      <c r="CWZ5" s="1962"/>
      <c r="CXA5" s="1962"/>
      <c r="CXB5" s="1962"/>
      <c r="CXC5" s="1962"/>
      <c r="CXD5" s="1962"/>
      <c r="CXE5" s="1962"/>
      <c r="CXF5" s="1962"/>
      <c r="CXG5" s="1962"/>
      <c r="CXH5" s="1962"/>
      <c r="CXI5" s="1962"/>
      <c r="CXJ5" s="1962"/>
      <c r="CXK5" s="1962"/>
      <c r="CXL5" s="1962"/>
      <c r="CXM5" s="1962"/>
      <c r="CXN5" s="1962"/>
      <c r="CXO5" s="1962"/>
      <c r="CXP5" s="1962"/>
      <c r="CXQ5" s="1962"/>
      <c r="CXR5" s="1962"/>
      <c r="CXS5" s="1962"/>
      <c r="CXT5" s="1962"/>
      <c r="CXU5" s="1962"/>
      <c r="CXV5" s="1962"/>
      <c r="CXW5" s="1962"/>
      <c r="CXX5" s="1962"/>
      <c r="CXY5" s="1962"/>
      <c r="CXZ5" s="1962"/>
      <c r="CYA5" s="1962"/>
      <c r="CYB5" s="1962"/>
      <c r="CYC5" s="1962"/>
      <c r="CYD5" s="1962"/>
      <c r="CYE5" s="1962"/>
      <c r="CYF5" s="1962"/>
      <c r="CYG5" s="1962"/>
      <c r="CYH5" s="1962"/>
      <c r="CYI5" s="1962"/>
      <c r="CYJ5" s="1962"/>
      <c r="CYK5" s="1962"/>
      <c r="CYL5" s="1962"/>
      <c r="CYM5" s="1962"/>
      <c r="CYN5" s="1962"/>
      <c r="CYO5" s="1962"/>
      <c r="CYP5" s="1962"/>
      <c r="CYQ5" s="1962"/>
      <c r="CYR5" s="1962"/>
      <c r="CYS5" s="1962"/>
      <c r="CYT5" s="1962"/>
      <c r="CYU5" s="1962"/>
      <c r="CYV5" s="1962"/>
      <c r="CYW5" s="1962"/>
      <c r="CYX5" s="1962"/>
      <c r="CYY5" s="1962"/>
      <c r="CYZ5" s="1962"/>
      <c r="CZA5" s="1962"/>
      <c r="CZB5" s="1962"/>
      <c r="CZC5" s="1962"/>
      <c r="CZD5" s="1962"/>
      <c r="CZE5" s="1962"/>
      <c r="CZF5" s="1962"/>
      <c r="CZG5" s="1962"/>
      <c r="CZH5" s="1962"/>
      <c r="CZI5" s="1962"/>
      <c r="CZJ5" s="1962"/>
      <c r="CZK5" s="1962"/>
      <c r="CZL5" s="1962"/>
      <c r="CZM5" s="1962"/>
      <c r="CZN5" s="1962"/>
      <c r="CZO5" s="1962"/>
      <c r="CZP5" s="1962"/>
      <c r="CZQ5" s="1962"/>
      <c r="CZR5" s="1962"/>
      <c r="CZS5" s="1962"/>
      <c r="CZT5" s="1962"/>
      <c r="CZU5" s="1962"/>
      <c r="CZV5" s="1962"/>
      <c r="CZW5" s="1962"/>
      <c r="CZX5" s="1962"/>
      <c r="CZY5" s="1962"/>
      <c r="CZZ5" s="1962"/>
      <c r="DAA5" s="1962"/>
      <c r="DAB5" s="1962"/>
      <c r="DAC5" s="1962"/>
      <c r="DAD5" s="1962"/>
      <c r="DAE5" s="1962"/>
      <c r="DAF5" s="1962"/>
      <c r="DAG5" s="1962"/>
      <c r="DAH5" s="1962"/>
      <c r="DAI5" s="1962"/>
      <c r="DAJ5" s="1962"/>
      <c r="DAK5" s="1962"/>
      <c r="DAL5" s="1962"/>
      <c r="DAM5" s="1962"/>
      <c r="DAN5" s="1962"/>
      <c r="DAO5" s="1962"/>
      <c r="DAP5" s="1962"/>
      <c r="DAQ5" s="1962"/>
      <c r="DAR5" s="1962"/>
      <c r="DAS5" s="1962"/>
      <c r="DAT5" s="1962"/>
      <c r="DAU5" s="1962"/>
      <c r="DAV5" s="1962"/>
      <c r="DAW5" s="1962"/>
      <c r="DAX5" s="1962"/>
      <c r="DAY5" s="1962"/>
      <c r="DAZ5" s="1962"/>
      <c r="DBA5" s="1962"/>
      <c r="DBB5" s="1962"/>
      <c r="DBC5" s="1962"/>
      <c r="DBD5" s="1962"/>
      <c r="DBE5" s="1962"/>
      <c r="DBF5" s="1962"/>
      <c r="DBG5" s="1962"/>
      <c r="DBH5" s="1962"/>
      <c r="DBI5" s="1962"/>
      <c r="DBJ5" s="1962"/>
      <c r="DBK5" s="1962"/>
      <c r="DBL5" s="1962"/>
      <c r="DBM5" s="1962"/>
      <c r="DBN5" s="1962"/>
      <c r="DBO5" s="1962"/>
      <c r="DBP5" s="1962"/>
      <c r="DBQ5" s="1962"/>
      <c r="DBR5" s="1962"/>
      <c r="DBS5" s="1962"/>
      <c r="DBT5" s="1962"/>
      <c r="DBU5" s="1962"/>
      <c r="DBV5" s="1962"/>
      <c r="DBW5" s="1962"/>
      <c r="DBX5" s="1962"/>
      <c r="DBY5" s="1962"/>
      <c r="DBZ5" s="1962"/>
      <c r="DCA5" s="1962"/>
      <c r="DCB5" s="1962"/>
      <c r="DCC5" s="1962"/>
      <c r="DCD5" s="1962"/>
      <c r="DCE5" s="1962"/>
      <c r="DCF5" s="1962"/>
      <c r="DCG5" s="1962"/>
      <c r="DCH5" s="1962"/>
      <c r="DCI5" s="1962"/>
      <c r="DCJ5" s="1962"/>
      <c r="DCK5" s="1962"/>
      <c r="DCL5" s="1962"/>
      <c r="DCM5" s="1962"/>
      <c r="DCN5" s="1962"/>
      <c r="DCO5" s="1962"/>
      <c r="DCP5" s="1962"/>
      <c r="DCQ5" s="1962"/>
      <c r="DCR5" s="1962"/>
      <c r="DCS5" s="1962"/>
      <c r="DCT5" s="1962"/>
      <c r="DCU5" s="1962"/>
      <c r="DCV5" s="1962"/>
      <c r="DCW5" s="1962"/>
      <c r="DCX5" s="1962"/>
      <c r="DCY5" s="1962"/>
      <c r="DCZ5" s="1962"/>
      <c r="DDA5" s="1962"/>
      <c r="DDB5" s="1962"/>
      <c r="DDC5" s="1962"/>
      <c r="DDD5" s="1962"/>
      <c r="DDE5" s="1962"/>
      <c r="DDF5" s="1962"/>
      <c r="DDG5" s="1962"/>
      <c r="DDH5" s="1962"/>
      <c r="DDI5" s="1962"/>
      <c r="DDJ5" s="1962"/>
      <c r="DDK5" s="1962"/>
      <c r="DDL5" s="1962"/>
      <c r="DDM5" s="1962"/>
      <c r="DDN5" s="1962"/>
      <c r="DDO5" s="1962"/>
      <c r="DDP5" s="1962"/>
      <c r="DDQ5" s="1962"/>
      <c r="DDR5" s="1962"/>
      <c r="DDS5" s="1962"/>
      <c r="DDT5" s="1962"/>
      <c r="DDU5" s="1962"/>
      <c r="DDV5" s="1962"/>
      <c r="DDW5" s="1962"/>
      <c r="DDX5" s="1962"/>
      <c r="DDY5" s="1962"/>
      <c r="DDZ5" s="1962"/>
      <c r="DEA5" s="1962"/>
      <c r="DEB5" s="1962"/>
      <c r="DEC5" s="1962"/>
      <c r="DED5" s="1962"/>
      <c r="DEE5" s="1962"/>
      <c r="DEF5" s="1962"/>
      <c r="DEG5" s="1962"/>
      <c r="DEH5" s="1962"/>
      <c r="DEI5" s="1962"/>
      <c r="DEJ5" s="1962"/>
      <c r="DEK5" s="1962"/>
      <c r="DEL5" s="1962"/>
      <c r="DEM5" s="1962"/>
      <c r="DEN5" s="1962"/>
      <c r="DEO5" s="1962"/>
      <c r="DEP5" s="1962"/>
      <c r="DEQ5" s="1962"/>
      <c r="DER5" s="1962"/>
      <c r="DES5" s="1962"/>
      <c r="DET5" s="1962"/>
      <c r="DEU5" s="1962"/>
      <c r="DEV5" s="1962"/>
      <c r="DEW5" s="1962"/>
      <c r="DEX5" s="1962"/>
      <c r="DEY5" s="1962"/>
      <c r="DEZ5" s="1962"/>
      <c r="DFA5" s="1962"/>
      <c r="DFB5" s="1962"/>
      <c r="DFC5" s="1962"/>
      <c r="DFD5" s="1962"/>
      <c r="DFE5" s="1962"/>
      <c r="DFF5" s="1962"/>
      <c r="DFG5" s="1962"/>
      <c r="DFH5" s="1962"/>
      <c r="DFI5" s="1962"/>
      <c r="DFJ5" s="1962"/>
      <c r="DFK5" s="1962"/>
      <c r="DFL5" s="1962"/>
      <c r="DFM5" s="1962"/>
      <c r="DFN5" s="1962"/>
      <c r="DFO5" s="1962"/>
      <c r="DFP5" s="1962"/>
      <c r="DFQ5" s="1962"/>
      <c r="DFR5" s="1962"/>
      <c r="DFS5" s="1962"/>
      <c r="DFT5" s="1962"/>
      <c r="DFU5" s="1962"/>
      <c r="DFV5" s="1962"/>
      <c r="DFW5" s="1962"/>
      <c r="DFX5" s="1962"/>
      <c r="DFY5" s="1962"/>
      <c r="DFZ5" s="1962"/>
      <c r="DGA5" s="1962"/>
      <c r="DGB5" s="1962"/>
      <c r="DGC5" s="1962"/>
      <c r="DGD5" s="1962"/>
      <c r="DGE5" s="1962"/>
      <c r="DGF5" s="1962"/>
      <c r="DGG5" s="1962"/>
      <c r="DGH5" s="1962"/>
      <c r="DGI5" s="1962"/>
      <c r="DGJ5" s="1962"/>
      <c r="DGK5" s="1962"/>
      <c r="DGL5" s="1962"/>
      <c r="DGM5" s="1962"/>
      <c r="DGN5" s="1962"/>
      <c r="DGO5" s="1962"/>
      <c r="DGP5" s="1962"/>
      <c r="DGQ5" s="1962"/>
      <c r="DGR5" s="1962"/>
      <c r="DGS5" s="1962"/>
      <c r="DGT5" s="1962"/>
      <c r="DGU5" s="1962"/>
      <c r="DGV5" s="1962"/>
      <c r="DGW5" s="1962"/>
      <c r="DGX5" s="1962"/>
      <c r="DGY5" s="1962"/>
      <c r="DGZ5" s="1962"/>
      <c r="DHA5" s="1962"/>
      <c r="DHB5" s="1962"/>
      <c r="DHC5" s="1962"/>
      <c r="DHD5" s="1962"/>
      <c r="DHE5" s="1962"/>
      <c r="DHF5" s="1962"/>
      <c r="DHG5" s="1962"/>
      <c r="DHH5" s="1962"/>
      <c r="DHI5" s="1962"/>
      <c r="DHJ5" s="1962"/>
      <c r="DHK5" s="1962"/>
      <c r="DHL5" s="1962"/>
      <c r="DHM5" s="1962"/>
      <c r="DHN5" s="1962"/>
      <c r="DHO5" s="1962"/>
      <c r="DHP5" s="1962"/>
      <c r="DHQ5" s="1962"/>
      <c r="DHR5" s="1962"/>
      <c r="DHS5" s="1962"/>
      <c r="DHT5" s="1962"/>
      <c r="DHU5" s="1962"/>
      <c r="DHV5" s="1962"/>
      <c r="DHW5" s="1962"/>
      <c r="DHX5" s="1962"/>
      <c r="DHY5" s="1962"/>
      <c r="DHZ5" s="1962"/>
      <c r="DIA5" s="1962"/>
      <c r="DIB5" s="1962"/>
      <c r="DIC5" s="1962"/>
      <c r="DID5" s="1962"/>
      <c r="DIE5" s="1962"/>
      <c r="DIF5" s="1962"/>
      <c r="DIG5" s="1962"/>
      <c r="DIH5" s="1962"/>
      <c r="DII5" s="1962"/>
      <c r="DIJ5" s="1962"/>
      <c r="DIK5" s="1962"/>
      <c r="DIL5" s="1962"/>
      <c r="DIM5" s="1962"/>
      <c r="DIN5" s="1962"/>
      <c r="DIO5" s="1962"/>
      <c r="DIP5" s="1962"/>
      <c r="DIQ5" s="1962"/>
      <c r="DIR5" s="1962"/>
      <c r="DIS5" s="1962"/>
      <c r="DIT5" s="1962"/>
      <c r="DIU5" s="1962"/>
      <c r="DIV5" s="1962"/>
      <c r="DIW5" s="1962"/>
      <c r="DIX5" s="1962"/>
      <c r="DIY5" s="1962"/>
      <c r="DIZ5" s="1962"/>
      <c r="DJA5" s="1962"/>
      <c r="DJB5" s="1962"/>
      <c r="DJC5" s="1962"/>
      <c r="DJD5" s="1962"/>
      <c r="DJE5" s="1962"/>
      <c r="DJF5" s="1962"/>
      <c r="DJG5" s="1962"/>
      <c r="DJH5" s="1962"/>
      <c r="DJI5" s="1962"/>
      <c r="DJJ5" s="1962"/>
      <c r="DJK5" s="1962"/>
      <c r="DJL5" s="1962"/>
      <c r="DJM5" s="1962"/>
      <c r="DJN5" s="1962"/>
      <c r="DJO5" s="1962"/>
      <c r="DJP5" s="1962"/>
      <c r="DJQ5" s="1962"/>
      <c r="DJR5" s="1962"/>
      <c r="DJS5" s="1962"/>
      <c r="DJT5" s="1962"/>
      <c r="DJU5" s="1962"/>
      <c r="DJV5" s="1962"/>
      <c r="DJW5" s="1962"/>
      <c r="DJX5" s="1962"/>
      <c r="DJY5" s="1962"/>
      <c r="DJZ5" s="1962"/>
      <c r="DKA5" s="1962"/>
      <c r="DKB5" s="1962"/>
      <c r="DKC5" s="1962"/>
      <c r="DKD5" s="1962"/>
      <c r="DKE5" s="1962"/>
      <c r="DKF5" s="1962"/>
      <c r="DKG5" s="1962"/>
      <c r="DKH5" s="1962"/>
      <c r="DKI5" s="1962"/>
      <c r="DKJ5" s="1962"/>
      <c r="DKK5" s="1962"/>
      <c r="DKL5" s="1962"/>
      <c r="DKM5" s="1962"/>
      <c r="DKN5" s="1962"/>
      <c r="DKO5" s="1962"/>
      <c r="DKP5" s="1962"/>
      <c r="DKQ5" s="1962"/>
      <c r="DKR5" s="1962"/>
      <c r="DKS5" s="1962"/>
      <c r="DKT5" s="1962"/>
      <c r="DKU5" s="1962"/>
      <c r="DKV5" s="1962"/>
      <c r="DKW5" s="1962"/>
      <c r="DKX5" s="1962"/>
      <c r="DKY5" s="1962"/>
      <c r="DKZ5" s="1962"/>
      <c r="DLA5" s="1962"/>
      <c r="DLB5" s="1962"/>
      <c r="DLC5" s="1962"/>
      <c r="DLD5" s="1962"/>
      <c r="DLE5" s="1962"/>
      <c r="DLF5" s="1962"/>
      <c r="DLG5" s="1962"/>
      <c r="DLH5" s="1962"/>
      <c r="DLI5" s="1962"/>
      <c r="DLJ5" s="1962"/>
      <c r="DLK5" s="1962"/>
      <c r="DLL5" s="1962"/>
      <c r="DLM5" s="1962"/>
      <c r="DLN5" s="1962"/>
      <c r="DLO5" s="1962"/>
      <c r="DLP5" s="1962"/>
      <c r="DLQ5" s="1962"/>
      <c r="DLR5" s="1962"/>
      <c r="DLS5" s="1962"/>
      <c r="DLT5" s="1962"/>
      <c r="DLU5" s="1962"/>
      <c r="DLV5" s="1962"/>
      <c r="DLW5" s="1962"/>
      <c r="DLX5" s="1962"/>
      <c r="DLY5" s="1962"/>
      <c r="DLZ5" s="1962"/>
      <c r="DMA5" s="1962"/>
      <c r="DMB5" s="1962"/>
      <c r="DMC5" s="1962"/>
      <c r="DMD5" s="1962"/>
      <c r="DME5" s="1962"/>
      <c r="DMF5" s="1962"/>
      <c r="DMG5" s="1962"/>
      <c r="DMH5" s="1962"/>
      <c r="DMI5" s="1962"/>
      <c r="DMJ5" s="1962"/>
      <c r="DMK5" s="1962"/>
      <c r="DML5" s="1962"/>
      <c r="DMM5" s="1962"/>
      <c r="DMN5" s="1962"/>
      <c r="DMO5" s="1962"/>
      <c r="DMP5" s="1962"/>
      <c r="DMQ5" s="1962"/>
      <c r="DMR5" s="1962"/>
      <c r="DMS5" s="1962"/>
      <c r="DMT5" s="1962"/>
      <c r="DMU5" s="1962"/>
      <c r="DMV5" s="1962"/>
      <c r="DMW5" s="1962"/>
      <c r="DMX5" s="1962"/>
      <c r="DMY5" s="1962"/>
      <c r="DMZ5" s="1962"/>
      <c r="DNA5" s="1962"/>
      <c r="DNB5" s="1962"/>
      <c r="DNC5" s="1962"/>
      <c r="DND5" s="1962"/>
      <c r="DNE5" s="1962"/>
      <c r="DNF5" s="1962"/>
      <c r="DNG5" s="1962"/>
      <c r="DNH5" s="1962"/>
      <c r="DNI5" s="1962"/>
      <c r="DNJ5" s="1962"/>
      <c r="DNK5" s="1962"/>
      <c r="DNL5" s="1962"/>
      <c r="DNM5" s="1962"/>
      <c r="DNN5" s="1962"/>
      <c r="DNO5" s="1962"/>
      <c r="DNP5" s="1962"/>
      <c r="DNQ5" s="1962"/>
      <c r="DNR5" s="1962"/>
      <c r="DNS5" s="1962"/>
      <c r="DNT5" s="1962"/>
      <c r="DNU5" s="1962"/>
      <c r="DNV5" s="1962"/>
      <c r="DNW5" s="1962"/>
      <c r="DNX5" s="1962"/>
      <c r="DNY5" s="1962"/>
      <c r="DNZ5" s="1962"/>
      <c r="DOA5" s="1962"/>
      <c r="DOB5" s="1962"/>
      <c r="DOC5" s="1962"/>
      <c r="DOD5" s="1962"/>
      <c r="DOE5" s="1962"/>
      <c r="DOF5" s="1962"/>
      <c r="DOG5" s="1962"/>
      <c r="DOH5" s="1962"/>
      <c r="DOI5" s="1962"/>
      <c r="DOJ5" s="1962"/>
      <c r="DOK5" s="1962"/>
      <c r="DOL5" s="1962"/>
      <c r="DOM5" s="1962"/>
      <c r="DON5" s="1962"/>
      <c r="DOO5" s="1962"/>
      <c r="DOP5" s="1962"/>
      <c r="DOQ5" s="1962"/>
      <c r="DOR5" s="1962"/>
      <c r="DOS5" s="1962"/>
      <c r="DOT5" s="1962"/>
      <c r="DOU5" s="1962"/>
      <c r="DOV5" s="1962"/>
      <c r="DOW5" s="1962"/>
      <c r="DOX5" s="1962"/>
      <c r="DOY5" s="1962"/>
      <c r="DOZ5" s="1962"/>
      <c r="DPA5" s="1962"/>
      <c r="DPB5" s="1962"/>
      <c r="DPC5" s="1962"/>
      <c r="DPD5" s="1962"/>
      <c r="DPE5" s="1962"/>
      <c r="DPF5" s="1962"/>
      <c r="DPG5" s="1962"/>
      <c r="DPH5" s="1962"/>
      <c r="DPI5" s="1962"/>
      <c r="DPJ5" s="1962"/>
      <c r="DPK5" s="1962"/>
      <c r="DPL5" s="1962"/>
      <c r="DPM5" s="1962"/>
      <c r="DPN5" s="1962"/>
      <c r="DPO5" s="1962"/>
      <c r="DPP5" s="1962"/>
      <c r="DPQ5" s="1962"/>
      <c r="DPR5" s="1962"/>
      <c r="DPS5" s="1962"/>
      <c r="DPT5" s="1962"/>
      <c r="DPU5" s="1962"/>
      <c r="DPV5" s="1962"/>
      <c r="DPW5" s="1962"/>
      <c r="DPX5" s="1962"/>
      <c r="DPY5" s="1962"/>
      <c r="DPZ5" s="1962"/>
      <c r="DQA5" s="1962"/>
      <c r="DQB5" s="1962"/>
      <c r="DQC5" s="1962"/>
      <c r="DQD5" s="1962"/>
      <c r="DQE5" s="1962"/>
      <c r="DQF5" s="1962"/>
      <c r="DQG5" s="1962"/>
      <c r="DQH5" s="1962"/>
      <c r="DQI5" s="1962"/>
      <c r="DQJ5" s="1962"/>
      <c r="DQK5" s="1962"/>
      <c r="DQL5" s="1962"/>
      <c r="DQM5" s="1962"/>
      <c r="DQN5" s="1962"/>
      <c r="DQO5" s="1962"/>
      <c r="DQP5" s="1962"/>
      <c r="DQQ5" s="1962"/>
      <c r="DQR5" s="1962"/>
      <c r="DQS5" s="1962"/>
      <c r="DQT5" s="1962"/>
      <c r="DQU5" s="1962"/>
      <c r="DQV5" s="1962"/>
      <c r="DQW5" s="1962"/>
      <c r="DQX5" s="1962"/>
      <c r="DQY5" s="1962"/>
      <c r="DQZ5" s="1962"/>
      <c r="DRA5" s="1962"/>
      <c r="DRB5" s="1962"/>
      <c r="DRC5" s="1962"/>
      <c r="DRD5" s="1962"/>
      <c r="DRE5" s="1962"/>
      <c r="DRF5" s="1962"/>
      <c r="DRG5" s="1962"/>
      <c r="DRH5" s="1962"/>
      <c r="DRI5" s="1962"/>
      <c r="DRJ5" s="1962"/>
      <c r="DRK5" s="1962"/>
      <c r="DRL5" s="1962"/>
      <c r="DRM5" s="1962"/>
      <c r="DRN5" s="1962"/>
      <c r="DRO5" s="1962"/>
      <c r="DRP5" s="1962"/>
      <c r="DRQ5" s="1962"/>
      <c r="DRR5" s="1962"/>
      <c r="DRS5" s="1962"/>
      <c r="DRT5" s="1962"/>
      <c r="DRU5" s="1962"/>
      <c r="DRV5" s="1962"/>
      <c r="DRW5" s="1962"/>
      <c r="DRX5" s="1962"/>
      <c r="DRY5" s="1962"/>
      <c r="DRZ5" s="1962"/>
      <c r="DSA5" s="1962"/>
      <c r="DSB5" s="1962"/>
      <c r="DSC5" s="1962"/>
      <c r="DSD5" s="1962"/>
      <c r="DSE5" s="1962"/>
      <c r="DSF5" s="1962"/>
      <c r="DSG5" s="1962"/>
      <c r="DSH5" s="1962"/>
      <c r="DSI5" s="1962"/>
      <c r="DSJ5" s="1962"/>
      <c r="DSK5" s="1962"/>
      <c r="DSL5" s="1962"/>
      <c r="DSM5" s="1962"/>
      <c r="DSN5" s="1962"/>
      <c r="DSO5" s="1962"/>
      <c r="DSP5" s="1962"/>
      <c r="DSQ5" s="1962"/>
      <c r="DSR5" s="1962"/>
      <c r="DSS5" s="1962"/>
      <c r="DST5" s="1962"/>
      <c r="DSU5" s="1962"/>
      <c r="DSV5" s="1962"/>
      <c r="DSW5" s="1962"/>
      <c r="DSX5" s="1962"/>
      <c r="DSY5" s="1962"/>
      <c r="DSZ5" s="1962"/>
      <c r="DTA5" s="1962"/>
      <c r="DTB5" s="1962"/>
      <c r="DTC5" s="1962"/>
      <c r="DTD5" s="1962"/>
      <c r="DTE5" s="1962"/>
      <c r="DTF5" s="1962"/>
      <c r="DTG5" s="1962"/>
      <c r="DTH5" s="1962"/>
      <c r="DTI5" s="1962"/>
      <c r="DTJ5" s="1962"/>
      <c r="DTK5" s="1962"/>
      <c r="DTL5" s="1962"/>
      <c r="DTM5" s="1962"/>
      <c r="DTN5" s="1962"/>
      <c r="DTO5" s="1962"/>
      <c r="DTP5" s="1962"/>
      <c r="DTQ5" s="1962"/>
      <c r="DTR5" s="1962"/>
      <c r="DTS5" s="1962"/>
      <c r="DTT5" s="1962"/>
      <c r="DTU5" s="1962"/>
      <c r="DTV5" s="1962"/>
      <c r="DTW5" s="1962"/>
      <c r="DTX5" s="1962"/>
      <c r="DTY5" s="1962"/>
      <c r="DTZ5" s="1962"/>
      <c r="DUA5" s="1962"/>
      <c r="DUB5" s="1962"/>
      <c r="DUC5" s="1962"/>
      <c r="DUD5" s="1962"/>
      <c r="DUE5" s="1962"/>
      <c r="DUF5" s="1962"/>
      <c r="DUG5" s="1962"/>
      <c r="DUH5" s="1962"/>
      <c r="DUI5" s="1962"/>
      <c r="DUJ5" s="1962"/>
      <c r="DUK5" s="1962"/>
      <c r="DUL5" s="1962"/>
      <c r="DUM5" s="1962"/>
      <c r="DUN5" s="1962"/>
      <c r="DUO5" s="1962"/>
      <c r="DUP5" s="1962"/>
      <c r="DUQ5" s="1962"/>
      <c r="DUR5" s="1962"/>
      <c r="DUS5" s="1962"/>
      <c r="DUT5" s="1962"/>
      <c r="DUU5" s="1962"/>
      <c r="DUV5" s="1962"/>
      <c r="DUW5" s="1962"/>
      <c r="DUX5" s="1962"/>
      <c r="DUY5" s="1962"/>
      <c r="DUZ5" s="1962"/>
      <c r="DVA5" s="1962"/>
      <c r="DVB5" s="1962"/>
      <c r="DVC5" s="1962"/>
      <c r="DVD5" s="1962"/>
      <c r="DVE5" s="1962"/>
      <c r="DVF5" s="1962"/>
      <c r="DVG5" s="1962"/>
      <c r="DVH5" s="1962"/>
      <c r="DVI5" s="1962"/>
      <c r="DVJ5" s="1962"/>
      <c r="DVK5" s="1962"/>
      <c r="DVL5" s="1962"/>
      <c r="DVM5" s="1962"/>
      <c r="DVN5" s="1962"/>
      <c r="DVO5" s="1962"/>
      <c r="DVP5" s="1962"/>
      <c r="DVQ5" s="1962"/>
      <c r="DVR5" s="1962"/>
      <c r="DVS5" s="1962"/>
      <c r="DVT5" s="1962"/>
      <c r="DVU5" s="1962"/>
      <c r="DVV5" s="1962"/>
      <c r="DVW5" s="1962"/>
      <c r="DVX5" s="1962"/>
      <c r="DVY5" s="1962"/>
      <c r="DVZ5" s="1962"/>
      <c r="DWA5" s="1962"/>
      <c r="DWB5" s="1962"/>
      <c r="DWC5" s="1962"/>
      <c r="DWD5" s="1962"/>
      <c r="DWE5" s="1962"/>
      <c r="DWF5" s="1962"/>
      <c r="DWG5" s="1962"/>
      <c r="DWH5" s="1962"/>
      <c r="DWI5" s="1962"/>
      <c r="DWJ5" s="1962"/>
      <c r="DWK5" s="1962"/>
      <c r="DWL5" s="1962"/>
      <c r="DWM5" s="1962"/>
      <c r="DWN5" s="1962"/>
      <c r="DWO5" s="1962"/>
      <c r="DWP5" s="1962"/>
      <c r="DWQ5" s="1962"/>
      <c r="DWR5" s="1962"/>
      <c r="DWS5" s="1962"/>
      <c r="DWT5" s="1962"/>
      <c r="DWU5" s="1962"/>
      <c r="DWV5" s="1962"/>
      <c r="DWW5" s="1962"/>
      <c r="DWX5" s="1962"/>
      <c r="DWY5" s="1962"/>
      <c r="DWZ5" s="1962"/>
      <c r="DXA5" s="1962"/>
      <c r="DXB5" s="1962"/>
      <c r="DXC5" s="1962"/>
      <c r="DXD5" s="1962"/>
      <c r="DXE5" s="1962"/>
      <c r="DXF5" s="1962"/>
      <c r="DXG5" s="1962"/>
      <c r="DXH5" s="1962"/>
      <c r="DXI5" s="1962"/>
      <c r="DXJ5" s="1962"/>
      <c r="DXK5" s="1962"/>
      <c r="DXL5" s="1962"/>
      <c r="DXM5" s="1962"/>
      <c r="DXN5" s="1962"/>
      <c r="DXO5" s="1962"/>
      <c r="DXP5" s="1962"/>
      <c r="DXQ5" s="1962"/>
      <c r="DXR5" s="1962"/>
      <c r="DXS5" s="1962"/>
      <c r="DXT5" s="1962"/>
      <c r="DXU5" s="1962"/>
      <c r="DXV5" s="1962"/>
      <c r="DXW5" s="1962"/>
      <c r="DXX5" s="1962"/>
      <c r="DXY5" s="1962"/>
      <c r="DXZ5" s="1962"/>
      <c r="DYA5" s="1962"/>
      <c r="DYB5" s="1962"/>
      <c r="DYC5" s="1962"/>
      <c r="DYD5" s="1962"/>
      <c r="DYE5" s="1962"/>
      <c r="DYF5" s="1962"/>
      <c r="DYG5" s="1962"/>
      <c r="DYH5" s="1962"/>
      <c r="DYI5" s="1962"/>
      <c r="DYJ5" s="1962"/>
      <c r="DYK5" s="1962"/>
      <c r="DYL5" s="1962"/>
      <c r="DYM5" s="1962"/>
      <c r="DYN5" s="1962"/>
      <c r="DYO5" s="1962"/>
      <c r="DYP5" s="1962"/>
      <c r="DYQ5" s="1962"/>
      <c r="DYR5" s="1962"/>
      <c r="DYS5" s="1962"/>
      <c r="DYT5" s="1962"/>
      <c r="DYU5" s="1962"/>
      <c r="DYV5" s="1962"/>
      <c r="DYW5" s="1962"/>
      <c r="DYX5" s="1962"/>
      <c r="DYY5" s="1962"/>
      <c r="DYZ5" s="1962"/>
      <c r="DZA5" s="1962"/>
      <c r="DZB5" s="1962"/>
      <c r="DZC5" s="1962"/>
      <c r="DZD5" s="1962"/>
      <c r="DZE5" s="1962"/>
      <c r="DZF5" s="1962"/>
      <c r="DZG5" s="1962"/>
      <c r="DZH5" s="1962"/>
      <c r="DZI5" s="1962"/>
      <c r="DZJ5" s="1962"/>
      <c r="DZK5" s="1962"/>
      <c r="DZL5" s="1962"/>
      <c r="DZM5" s="1962"/>
      <c r="DZN5" s="1962"/>
      <c r="DZO5" s="1962"/>
      <c r="DZP5" s="1962"/>
      <c r="DZQ5" s="1962"/>
      <c r="DZR5" s="1962"/>
      <c r="DZS5" s="1962"/>
      <c r="DZT5" s="1962"/>
      <c r="DZU5" s="1962"/>
      <c r="DZV5" s="1962"/>
      <c r="DZW5" s="1962"/>
      <c r="DZX5" s="1962"/>
      <c r="DZY5" s="1962"/>
      <c r="DZZ5" s="1962"/>
      <c r="EAA5" s="1962"/>
      <c r="EAB5" s="1962"/>
      <c r="EAC5" s="1962"/>
      <c r="EAD5" s="1962"/>
      <c r="EAE5" s="1962"/>
      <c r="EAF5" s="1962"/>
      <c r="EAG5" s="1962"/>
      <c r="EAH5" s="1962"/>
      <c r="EAI5" s="1962"/>
      <c r="EAJ5" s="1962"/>
      <c r="EAK5" s="1962"/>
      <c r="EAL5" s="1962"/>
      <c r="EAM5" s="1962"/>
      <c r="EAN5" s="1962"/>
      <c r="EAO5" s="1962"/>
      <c r="EAP5" s="1962"/>
      <c r="EAQ5" s="1962"/>
      <c r="EAR5" s="1962"/>
      <c r="EAS5" s="1962"/>
      <c r="EAT5" s="1962"/>
      <c r="EAU5" s="1962"/>
      <c r="EAV5" s="1962"/>
      <c r="EAW5" s="1962"/>
      <c r="EAX5" s="1962"/>
      <c r="EAY5" s="1962"/>
      <c r="EAZ5" s="1962"/>
      <c r="EBA5" s="1962"/>
      <c r="EBB5" s="1962"/>
      <c r="EBC5" s="1962"/>
      <c r="EBD5" s="1962"/>
      <c r="EBE5" s="1962"/>
      <c r="EBF5" s="1962"/>
      <c r="EBG5" s="1962"/>
      <c r="EBH5" s="1962"/>
      <c r="EBI5" s="1962"/>
      <c r="EBJ5" s="1962"/>
      <c r="EBK5" s="1962"/>
      <c r="EBL5" s="1962"/>
      <c r="EBM5" s="1962"/>
      <c r="EBN5" s="1962"/>
      <c r="EBO5" s="1962"/>
      <c r="EBP5" s="1962"/>
      <c r="EBQ5" s="1962"/>
      <c r="EBR5" s="1962"/>
      <c r="EBS5" s="1962"/>
      <c r="EBT5" s="1962"/>
      <c r="EBU5" s="1962"/>
      <c r="EBV5" s="1962"/>
      <c r="EBW5" s="1962"/>
      <c r="EBX5" s="1962"/>
      <c r="EBY5" s="1962"/>
      <c r="EBZ5" s="1962"/>
      <c r="ECA5" s="1962"/>
      <c r="ECB5" s="1962"/>
      <c r="ECC5" s="1962"/>
      <c r="ECD5" s="1962"/>
      <c r="ECE5" s="1962"/>
      <c r="ECF5" s="1962"/>
      <c r="ECG5" s="1962"/>
      <c r="ECH5" s="1962"/>
      <c r="ECI5" s="1962"/>
      <c r="ECJ5" s="1962"/>
      <c r="ECK5" s="1962"/>
      <c r="ECL5" s="1962"/>
      <c r="ECM5" s="1962"/>
      <c r="ECN5" s="1962"/>
      <c r="ECO5" s="1962"/>
      <c r="ECP5" s="1962"/>
      <c r="ECQ5" s="1962"/>
      <c r="ECR5" s="1962"/>
      <c r="ECS5" s="1962"/>
      <c r="ECT5" s="1962"/>
      <c r="ECU5" s="1962"/>
      <c r="ECV5" s="1962"/>
      <c r="ECW5" s="1962"/>
      <c r="ECX5" s="1962"/>
      <c r="ECY5" s="1962"/>
      <c r="ECZ5" s="1962"/>
      <c r="EDA5" s="1962"/>
      <c r="EDB5" s="1962"/>
      <c r="EDC5" s="1962"/>
      <c r="EDD5" s="1962"/>
      <c r="EDE5" s="1962"/>
      <c r="EDF5" s="1962"/>
      <c r="EDG5" s="1962"/>
      <c r="EDH5" s="1962"/>
      <c r="EDI5" s="1962"/>
      <c r="EDJ5" s="1962"/>
      <c r="EDK5" s="1962"/>
      <c r="EDL5" s="1962"/>
      <c r="EDM5" s="1962"/>
      <c r="EDN5" s="1962"/>
      <c r="EDO5" s="1962"/>
      <c r="EDP5" s="1962"/>
      <c r="EDQ5" s="1962"/>
      <c r="EDR5" s="1962"/>
      <c r="EDS5" s="1962"/>
      <c r="EDT5" s="1962"/>
      <c r="EDU5" s="1962"/>
      <c r="EDV5" s="1962"/>
      <c r="EDW5" s="1962"/>
      <c r="EDX5" s="1962"/>
      <c r="EDY5" s="1962"/>
      <c r="EDZ5" s="1962"/>
      <c r="EEA5" s="1962"/>
      <c r="EEB5" s="1962"/>
      <c r="EEC5" s="1962"/>
      <c r="EED5" s="1962"/>
      <c r="EEE5" s="1962"/>
      <c r="EEF5" s="1962"/>
      <c r="EEG5" s="1962"/>
      <c r="EEH5" s="1962"/>
      <c r="EEI5" s="1962"/>
      <c r="EEJ5" s="1962"/>
      <c r="EEK5" s="1962"/>
      <c r="EEL5" s="1962"/>
      <c r="EEM5" s="1962"/>
      <c r="EEN5" s="1962"/>
      <c r="EEO5" s="1962"/>
      <c r="EEP5" s="1962"/>
      <c r="EEQ5" s="1962"/>
      <c r="EER5" s="1962"/>
      <c r="EES5" s="1962"/>
      <c r="EET5" s="1962"/>
      <c r="EEU5" s="1962"/>
      <c r="EEV5" s="1962"/>
      <c r="EEW5" s="1962"/>
      <c r="EEX5" s="1962"/>
      <c r="EEY5" s="1962"/>
      <c r="EEZ5" s="1962"/>
      <c r="EFA5" s="1962"/>
      <c r="EFB5" s="1962"/>
      <c r="EFC5" s="1962"/>
      <c r="EFD5" s="1962"/>
      <c r="EFE5" s="1962"/>
      <c r="EFF5" s="1962"/>
      <c r="EFG5" s="1962"/>
      <c r="EFH5" s="1962"/>
      <c r="EFI5" s="1962"/>
      <c r="EFJ5" s="1962"/>
      <c r="EFK5" s="1962"/>
      <c r="EFL5" s="1962"/>
      <c r="EFM5" s="1962"/>
      <c r="EFN5" s="1962"/>
      <c r="EFO5" s="1962"/>
      <c r="EFP5" s="1962"/>
      <c r="EFQ5" s="1962"/>
      <c r="EFR5" s="1962"/>
      <c r="EFS5" s="1962"/>
      <c r="EFT5" s="1962"/>
      <c r="EFU5" s="1962"/>
      <c r="EFV5" s="1962"/>
      <c r="EFW5" s="1962"/>
      <c r="EFX5" s="1962"/>
      <c r="EFY5" s="1962"/>
      <c r="EFZ5" s="1962"/>
      <c r="EGA5" s="1962"/>
      <c r="EGB5" s="1962"/>
      <c r="EGC5" s="1962"/>
      <c r="EGD5" s="1962"/>
      <c r="EGE5" s="1962"/>
      <c r="EGF5" s="1962"/>
      <c r="EGG5" s="1962"/>
      <c r="EGH5" s="1962"/>
      <c r="EGI5" s="1962"/>
      <c r="EGJ5" s="1962"/>
      <c r="EGK5" s="1962"/>
      <c r="EGL5" s="1962"/>
      <c r="EGM5" s="1962"/>
      <c r="EGN5" s="1962"/>
      <c r="EGO5" s="1962"/>
      <c r="EGP5" s="1962"/>
      <c r="EGQ5" s="1962"/>
      <c r="EGR5" s="1962"/>
      <c r="EGS5" s="1962"/>
      <c r="EGT5" s="1962"/>
      <c r="EGU5" s="1962"/>
      <c r="EGV5" s="1962"/>
      <c r="EGW5" s="1962"/>
      <c r="EGX5" s="1962"/>
      <c r="EGY5" s="1962"/>
      <c r="EGZ5" s="1962"/>
      <c r="EHA5" s="1962"/>
      <c r="EHB5" s="1962"/>
      <c r="EHC5" s="1962"/>
      <c r="EHD5" s="1962"/>
      <c r="EHE5" s="1962"/>
      <c r="EHF5" s="1962"/>
      <c r="EHG5" s="1962"/>
      <c r="EHH5" s="1962"/>
      <c r="EHI5" s="1962"/>
      <c r="EHJ5" s="1962"/>
      <c r="EHK5" s="1962"/>
      <c r="EHL5" s="1962"/>
      <c r="EHM5" s="1962"/>
      <c r="EHN5" s="1962"/>
      <c r="EHO5" s="1962"/>
      <c r="EHP5" s="1962"/>
      <c r="EHQ5" s="1962"/>
      <c r="EHR5" s="1962"/>
      <c r="EHS5" s="1962"/>
      <c r="EHT5" s="1962"/>
      <c r="EHU5" s="1962"/>
      <c r="EHV5" s="1962"/>
      <c r="EHW5" s="1962"/>
      <c r="EHX5" s="1962"/>
      <c r="EHY5" s="1962"/>
      <c r="EHZ5" s="1962"/>
      <c r="EIA5" s="1962"/>
      <c r="EIB5" s="1962"/>
      <c r="EIC5" s="1962"/>
      <c r="EID5" s="1962"/>
      <c r="EIE5" s="1962"/>
      <c r="EIF5" s="1962"/>
      <c r="EIG5" s="1962"/>
      <c r="EIH5" s="1962"/>
      <c r="EII5" s="1962"/>
      <c r="EIJ5" s="1962"/>
      <c r="EIK5" s="1962"/>
      <c r="EIL5" s="1962"/>
      <c r="EIM5" s="1962"/>
      <c r="EIN5" s="1962"/>
      <c r="EIO5" s="1962"/>
      <c r="EIP5" s="1962"/>
      <c r="EIQ5" s="1962"/>
      <c r="EIR5" s="1962"/>
      <c r="EIS5" s="1962"/>
      <c r="EIT5" s="1962"/>
      <c r="EIU5" s="1962"/>
      <c r="EIV5" s="1962"/>
      <c r="EIW5" s="1962"/>
      <c r="EIX5" s="1962"/>
      <c r="EIY5" s="1962"/>
      <c r="EIZ5" s="1962"/>
      <c r="EJA5" s="1962"/>
      <c r="EJB5" s="1962"/>
      <c r="EJC5" s="1962"/>
      <c r="EJD5" s="1962"/>
      <c r="EJE5" s="1962"/>
      <c r="EJF5" s="1962"/>
      <c r="EJG5" s="1962"/>
      <c r="EJH5" s="1962"/>
      <c r="EJI5" s="1962"/>
      <c r="EJJ5" s="1962"/>
      <c r="EJK5" s="1962"/>
      <c r="EJL5" s="1962"/>
      <c r="EJM5" s="1962"/>
      <c r="EJN5" s="1962"/>
      <c r="EJO5" s="1962"/>
      <c r="EJP5" s="1962"/>
      <c r="EJQ5" s="1962"/>
      <c r="EJR5" s="1962"/>
      <c r="EJS5" s="1962"/>
      <c r="EJT5" s="1962"/>
      <c r="EJU5" s="1962"/>
      <c r="EJV5" s="1962"/>
      <c r="EJW5" s="1962"/>
      <c r="EJX5" s="1962"/>
      <c r="EJY5" s="1962"/>
      <c r="EJZ5" s="1962"/>
      <c r="EKA5" s="1962"/>
      <c r="EKB5" s="1962"/>
      <c r="EKC5" s="1962"/>
      <c r="EKD5" s="1962"/>
      <c r="EKE5" s="1962"/>
      <c r="EKF5" s="1962"/>
      <c r="EKG5" s="1962"/>
      <c r="EKH5" s="1962"/>
      <c r="EKI5" s="1962"/>
      <c r="EKJ5" s="1962"/>
      <c r="EKK5" s="1962"/>
      <c r="EKL5" s="1962"/>
      <c r="EKM5" s="1962"/>
      <c r="EKN5" s="1962"/>
      <c r="EKO5" s="1962"/>
      <c r="EKP5" s="1962"/>
      <c r="EKQ5" s="1962"/>
      <c r="EKR5" s="1962"/>
      <c r="EKS5" s="1962"/>
      <c r="EKT5" s="1962"/>
      <c r="EKU5" s="1962"/>
      <c r="EKV5" s="1962"/>
      <c r="EKW5" s="1962"/>
      <c r="EKX5" s="1962"/>
      <c r="EKY5" s="1962"/>
      <c r="EKZ5" s="1962"/>
      <c r="ELA5" s="1962"/>
      <c r="ELB5" s="1962"/>
      <c r="ELC5" s="1962"/>
      <c r="ELD5" s="1962"/>
      <c r="ELE5" s="1962"/>
      <c r="ELF5" s="1962"/>
      <c r="ELG5" s="1962"/>
      <c r="ELH5" s="1962"/>
      <c r="ELI5" s="1962"/>
      <c r="ELJ5" s="1962"/>
      <c r="ELK5" s="1962"/>
      <c r="ELL5" s="1962"/>
      <c r="ELM5" s="1962"/>
      <c r="ELN5" s="1962"/>
      <c r="ELO5" s="1962"/>
      <c r="ELP5" s="1962"/>
      <c r="ELQ5" s="1962"/>
      <c r="ELR5" s="1962"/>
      <c r="ELS5" s="1962"/>
      <c r="ELT5" s="1962"/>
      <c r="ELU5" s="1962"/>
      <c r="ELV5" s="1962"/>
      <c r="ELW5" s="1962"/>
      <c r="ELX5" s="1962"/>
      <c r="ELY5" s="1962"/>
      <c r="ELZ5" s="1962"/>
      <c r="EMA5" s="1962"/>
      <c r="EMB5" s="1962"/>
      <c r="EMC5" s="1962"/>
      <c r="EMD5" s="1962"/>
      <c r="EME5" s="1962"/>
      <c r="EMF5" s="1962"/>
      <c r="EMG5" s="1962"/>
      <c r="EMH5" s="1962"/>
      <c r="EMI5" s="1962"/>
      <c r="EMJ5" s="1962"/>
      <c r="EMK5" s="1962"/>
      <c r="EML5" s="1962"/>
      <c r="EMM5" s="1962"/>
      <c r="EMN5" s="1962"/>
      <c r="EMO5" s="1962"/>
      <c r="EMP5" s="1962"/>
      <c r="EMQ5" s="1962"/>
      <c r="EMR5" s="1962"/>
      <c r="EMS5" s="1962"/>
      <c r="EMT5" s="1962"/>
      <c r="EMU5" s="1962"/>
      <c r="EMV5" s="1962"/>
      <c r="EMW5" s="1962"/>
      <c r="EMX5" s="1962"/>
      <c r="EMY5" s="1962"/>
      <c r="EMZ5" s="1962"/>
      <c r="ENA5" s="1962"/>
      <c r="ENB5" s="1962"/>
      <c r="ENC5" s="1962"/>
      <c r="END5" s="1962"/>
      <c r="ENE5" s="1962"/>
      <c r="ENF5" s="1962"/>
      <c r="ENG5" s="1962"/>
      <c r="ENH5" s="1962"/>
      <c r="ENI5" s="1962"/>
      <c r="ENJ5" s="1962"/>
      <c r="ENK5" s="1962"/>
      <c r="ENL5" s="1962"/>
      <c r="ENM5" s="1962"/>
      <c r="ENN5" s="1962"/>
      <c r="ENO5" s="1962"/>
      <c r="ENP5" s="1962"/>
      <c r="ENQ5" s="1962"/>
      <c r="ENR5" s="1962"/>
      <c r="ENS5" s="1962"/>
      <c r="ENT5" s="1962"/>
      <c r="ENU5" s="1962"/>
      <c r="ENV5" s="1962"/>
      <c r="ENW5" s="1962"/>
      <c r="ENX5" s="1962"/>
      <c r="ENY5" s="1962"/>
      <c r="ENZ5" s="1962"/>
      <c r="EOA5" s="1962"/>
      <c r="EOB5" s="1962"/>
      <c r="EOC5" s="1962"/>
      <c r="EOD5" s="1962"/>
      <c r="EOE5" s="1962"/>
      <c r="EOF5" s="1962"/>
      <c r="EOG5" s="1962"/>
      <c r="EOH5" s="1962"/>
      <c r="EOI5" s="1962"/>
      <c r="EOJ5" s="1962"/>
      <c r="EOK5" s="1962"/>
      <c r="EOL5" s="1962"/>
      <c r="EOM5" s="1962"/>
      <c r="EON5" s="1962"/>
      <c r="EOO5" s="1962"/>
      <c r="EOP5" s="1962"/>
      <c r="EOQ5" s="1962"/>
      <c r="EOR5" s="1962"/>
      <c r="EOS5" s="1962"/>
      <c r="EOT5" s="1962"/>
      <c r="EOU5" s="1962"/>
      <c r="EOV5" s="1962"/>
      <c r="EOW5" s="1962"/>
      <c r="EOX5" s="1962"/>
      <c r="EOY5" s="1962"/>
      <c r="EOZ5" s="1962"/>
      <c r="EPA5" s="1962"/>
      <c r="EPB5" s="1962"/>
      <c r="EPC5" s="1962"/>
      <c r="EPD5" s="1962"/>
      <c r="EPE5" s="1962"/>
      <c r="EPF5" s="1962"/>
      <c r="EPG5" s="1962"/>
      <c r="EPH5" s="1962"/>
      <c r="EPI5" s="1962"/>
      <c r="EPJ5" s="1962"/>
      <c r="EPK5" s="1962"/>
      <c r="EPL5" s="1962"/>
      <c r="EPM5" s="1962"/>
      <c r="EPN5" s="1962"/>
      <c r="EPO5" s="1962"/>
      <c r="EPP5" s="1962"/>
      <c r="EPQ5" s="1962"/>
      <c r="EPR5" s="1962"/>
      <c r="EPS5" s="1962"/>
      <c r="EPT5" s="1962"/>
      <c r="EPU5" s="1962"/>
      <c r="EPV5" s="1962"/>
      <c r="EPW5" s="1962"/>
      <c r="EPX5" s="1962"/>
      <c r="EPY5" s="1962"/>
      <c r="EPZ5" s="1962"/>
      <c r="EQA5" s="1962"/>
      <c r="EQB5" s="1962"/>
      <c r="EQC5" s="1962"/>
      <c r="EQD5" s="1962"/>
      <c r="EQE5" s="1962"/>
      <c r="EQF5" s="1962"/>
      <c r="EQG5" s="1962"/>
      <c r="EQH5" s="1962"/>
      <c r="EQI5" s="1962"/>
      <c r="EQJ5" s="1962"/>
      <c r="EQK5" s="1962"/>
      <c r="EQL5" s="1962"/>
      <c r="EQM5" s="1962"/>
      <c r="EQN5" s="1962"/>
      <c r="EQO5" s="1962"/>
      <c r="EQP5" s="1962"/>
      <c r="EQQ5" s="1962"/>
      <c r="EQR5" s="1962"/>
      <c r="EQS5" s="1962"/>
      <c r="EQT5" s="1962"/>
      <c r="EQU5" s="1962"/>
      <c r="EQV5" s="1962"/>
      <c r="EQW5" s="1962"/>
      <c r="EQX5" s="1962"/>
      <c r="EQY5" s="1962"/>
      <c r="EQZ5" s="1962"/>
      <c r="ERA5" s="1962"/>
      <c r="ERB5" s="1962"/>
      <c r="ERC5" s="1962"/>
      <c r="ERD5" s="1962"/>
      <c r="ERE5" s="1962"/>
      <c r="ERF5" s="1962"/>
      <c r="ERG5" s="1962"/>
      <c r="ERH5" s="1962"/>
      <c r="ERI5" s="1962"/>
      <c r="ERJ5" s="1962"/>
      <c r="ERK5" s="1962"/>
      <c r="ERL5" s="1962"/>
      <c r="ERM5" s="1962"/>
      <c r="ERN5" s="1962"/>
      <c r="ERO5" s="1962"/>
      <c r="ERP5" s="1962"/>
      <c r="ERQ5" s="1962"/>
      <c r="ERR5" s="1962"/>
      <c r="ERS5" s="1962"/>
      <c r="ERT5" s="1962"/>
      <c r="ERU5" s="1962"/>
      <c r="ERV5" s="1962"/>
      <c r="ERW5" s="1962"/>
      <c r="ERX5" s="1962"/>
      <c r="ERY5" s="1962"/>
      <c r="ERZ5" s="1962"/>
      <c r="ESA5" s="1962"/>
      <c r="ESB5" s="1962"/>
      <c r="ESC5" s="1962"/>
      <c r="ESD5" s="1962"/>
      <c r="ESE5" s="1962"/>
      <c r="ESF5" s="1962"/>
      <c r="ESG5" s="1962"/>
      <c r="ESH5" s="1962"/>
      <c r="ESI5" s="1962"/>
      <c r="ESJ5" s="1962"/>
      <c r="ESK5" s="1962"/>
      <c r="ESL5" s="1962"/>
      <c r="ESM5" s="1962"/>
      <c r="ESN5" s="1962"/>
      <c r="ESO5" s="1962"/>
      <c r="ESP5" s="1962"/>
      <c r="ESQ5" s="1962"/>
      <c r="ESR5" s="1962"/>
      <c r="ESS5" s="1962"/>
      <c r="EST5" s="1962"/>
      <c r="ESU5" s="1962"/>
      <c r="ESV5" s="1962"/>
      <c r="ESW5" s="1962"/>
      <c r="ESX5" s="1962"/>
      <c r="ESY5" s="1962"/>
      <c r="ESZ5" s="1962"/>
      <c r="ETA5" s="1962"/>
      <c r="ETB5" s="1962"/>
      <c r="ETC5" s="1962"/>
      <c r="ETD5" s="1962"/>
      <c r="ETE5" s="1962"/>
      <c r="ETF5" s="1962"/>
      <c r="ETG5" s="1962"/>
      <c r="ETH5" s="1962"/>
      <c r="ETI5" s="1962"/>
      <c r="ETJ5" s="1962"/>
      <c r="ETK5" s="1962"/>
      <c r="ETL5" s="1962"/>
      <c r="ETM5" s="1962"/>
      <c r="ETN5" s="1962"/>
      <c r="ETO5" s="1962"/>
      <c r="ETP5" s="1962"/>
      <c r="ETQ5" s="1962"/>
      <c r="ETR5" s="1962"/>
      <c r="ETS5" s="1962"/>
      <c r="ETT5" s="1962"/>
      <c r="ETU5" s="1962"/>
      <c r="ETV5" s="1962"/>
      <c r="ETW5" s="1962"/>
      <c r="ETX5" s="1962"/>
      <c r="ETY5" s="1962"/>
      <c r="ETZ5" s="1962"/>
      <c r="EUA5" s="1962"/>
      <c r="EUB5" s="1962"/>
      <c r="EUC5" s="1962"/>
      <c r="EUD5" s="1962"/>
      <c r="EUE5" s="1962"/>
      <c r="EUF5" s="1962"/>
      <c r="EUG5" s="1962"/>
      <c r="EUH5" s="1962"/>
      <c r="EUI5" s="1962"/>
      <c r="EUJ5" s="1962"/>
      <c r="EUK5" s="1962"/>
      <c r="EUL5" s="1962"/>
      <c r="EUM5" s="1962"/>
      <c r="EUN5" s="1962"/>
      <c r="EUO5" s="1962"/>
      <c r="EUP5" s="1962"/>
      <c r="EUQ5" s="1962"/>
      <c r="EUR5" s="1962"/>
      <c r="EUS5" s="1962"/>
      <c r="EUT5" s="1962"/>
      <c r="EUU5" s="1962"/>
      <c r="EUV5" s="1962"/>
      <c r="EUW5" s="1962"/>
      <c r="EUX5" s="1962"/>
      <c r="EUY5" s="1962"/>
      <c r="EUZ5" s="1962"/>
      <c r="EVA5" s="1962"/>
      <c r="EVB5" s="1962"/>
      <c r="EVC5" s="1962"/>
      <c r="EVD5" s="1962"/>
      <c r="EVE5" s="1962"/>
      <c r="EVF5" s="1962"/>
      <c r="EVG5" s="1962"/>
      <c r="EVH5" s="1962"/>
      <c r="EVI5" s="1962"/>
      <c r="EVJ5" s="1962"/>
      <c r="EVK5" s="1962"/>
      <c r="EVL5" s="1962"/>
      <c r="EVM5" s="1962"/>
      <c r="EVN5" s="1962"/>
      <c r="EVO5" s="1962"/>
      <c r="EVP5" s="1962"/>
      <c r="EVQ5" s="1962"/>
      <c r="EVR5" s="1962"/>
      <c r="EVS5" s="1962"/>
      <c r="EVT5" s="1962"/>
      <c r="EVU5" s="1962"/>
      <c r="EVV5" s="1962"/>
      <c r="EVW5" s="1962"/>
      <c r="EVX5" s="1962"/>
      <c r="EVY5" s="1962"/>
      <c r="EVZ5" s="1962"/>
      <c r="EWA5" s="1962"/>
      <c r="EWB5" s="1962"/>
      <c r="EWC5" s="1962"/>
      <c r="EWD5" s="1962"/>
      <c r="EWE5" s="1962"/>
      <c r="EWF5" s="1962"/>
      <c r="EWG5" s="1962"/>
      <c r="EWH5" s="1962"/>
      <c r="EWI5" s="1962"/>
      <c r="EWJ5" s="1962"/>
      <c r="EWK5" s="1962"/>
      <c r="EWL5" s="1962"/>
      <c r="EWM5" s="1962"/>
      <c r="EWN5" s="1962"/>
      <c r="EWO5" s="1962"/>
      <c r="EWP5" s="1962"/>
      <c r="EWQ5" s="1962"/>
      <c r="EWR5" s="1962"/>
      <c r="EWS5" s="1962"/>
      <c r="EWT5" s="1962"/>
      <c r="EWU5" s="1962"/>
      <c r="EWV5" s="1962"/>
      <c r="EWW5" s="1962"/>
      <c r="EWX5" s="1962"/>
      <c r="EWY5" s="1962"/>
      <c r="EWZ5" s="1962"/>
      <c r="EXA5" s="1962"/>
      <c r="EXB5" s="1962"/>
      <c r="EXC5" s="1962"/>
      <c r="EXD5" s="1962"/>
      <c r="EXE5" s="1962"/>
      <c r="EXF5" s="1962"/>
      <c r="EXG5" s="1962"/>
      <c r="EXH5" s="1962"/>
      <c r="EXI5" s="1962"/>
      <c r="EXJ5" s="1962"/>
      <c r="EXK5" s="1962"/>
      <c r="EXL5" s="1962"/>
      <c r="EXM5" s="1962"/>
      <c r="EXN5" s="1962"/>
      <c r="EXO5" s="1962"/>
      <c r="EXP5" s="1962"/>
      <c r="EXQ5" s="1962"/>
      <c r="EXR5" s="1962"/>
      <c r="EXS5" s="1962"/>
      <c r="EXT5" s="1962"/>
      <c r="EXU5" s="1962"/>
      <c r="EXV5" s="1962"/>
      <c r="EXW5" s="1962"/>
      <c r="EXX5" s="1962"/>
      <c r="EXY5" s="1962"/>
      <c r="EXZ5" s="1962"/>
      <c r="EYA5" s="1962"/>
      <c r="EYB5" s="1962"/>
      <c r="EYC5" s="1962"/>
      <c r="EYD5" s="1962"/>
      <c r="EYE5" s="1962"/>
      <c r="EYF5" s="1962"/>
      <c r="EYG5" s="1962"/>
      <c r="EYH5" s="1962"/>
      <c r="EYI5" s="1962"/>
      <c r="EYJ5" s="1962"/>
      <c r="EYK5" s="1962"/>
      <c r="EYL5" s="1962"/>
      <c r="EYM5" s="1962"/>
      <c r="EYN5" s="1962"/>
      <c r="EYO5" s="1962"/>
      <c r="EYP5" s="1962"/>
      <c r="EYQ5" s="1962"/>
      <c r="EYR5" s="1962"/>
      <c r="EYS5" s="1962"/>
      <c r="EYT5" s="1962"/>
      <c r="EYU5" s="1962"/>
      <c r="EYV5" s="1962"/>
      <c r="EYW5" s="1962"/>
      <c r="EYX5" s="1962"/>
      <c r="EYY5" s="1962"/>
      <c r="EYZ5" s="1962"/>
      <c r="EZA5" s="1962"/>
      <c r="EZB5" s="1962"/>
      <c r="EZC5" s="1962"/>
      <c r="EZD5" s="1962"/>
      <c r="EZE5" s="1962"/>
      <c r="EZF5" s="1962"/>
      <c r="EZG5" s="1962"/>
      <c r="EZH5" s="1962"/>
      <c r="EZI5" s="1962"/>
      <c r="EZJ5" s="1962"/>
      <c r="EZK5" s="1962"/>
      <c r="EZL5" s="1962"/>
      <c r="EZM5" s="1962"/>
      <c r="EZN5" s="1962"/>
      <c r="EZO5" s="1962"/>
      <c r="EZP5" s="1962"/>
      <c r="EZQ5" s="1962"/>
      <c r="EZR5" s="1962"/>
      <c r="EZS5" s="1962"/>
      <c r="EZT5" s="1962"/>
      <c r="EZU5" s="1962"/>
      <c r="EZV5" s="1962"/>
      <c r="EZW5" s="1962"/>
      <c r="EZX5" s="1962"/>
      <c r="EZY5" s="1962"/>
      <c r="EZZ5" s="1962"/>
      <c r="FAA5" s="1962"/>
      <c r="FAB5" s="1962"/>
      <c r="FAC5" s="1962"/>
      <c r="FAD5" s="1962"/>
      <c r="FAE5" s="1962"/>
      <c r="FAF5" s="1962"/>
      <c r="FAG5" s="1962"/>
      <c r="FAH5" s="1962"/>
      <c r="FAI5" s="1962"/>
      <c r="FAJ5" s="1962"/>
      <c r="FAK5" s="1962"/>
      <c r="FAL5" s="1962"/>
      <c r="FAM5" s="1962"/>
      <c r="FAN5" s="1962"/>
      <c r="FAO5" s="1962"/>
      <c r="FAP5" s="1962"/>
      <c r="FAQ5" s="1962"/>
      <c r="FAR5" s="1962"/>
      <c r="FAS5" s="1962"/>
      <c r="FAT5" s="1962"/>
      <c r="FAU5" s="1962"/>
      <c r="FAV5" s="1962"/>
      <c r="FAW5" s="1962"/>
      <c r="FAX5" s="1962"/>
      <c r="FAY5" s="1962"/>
      <c r="FAZ5" s="1962"/>
      <c r="FBA5" s="1962"/>
      <c r="FBB5" s="1962"/>
      <c r="FBC5" s="1962"/>
      <c r="FBD5" s="1962"/>
      <c r="FBE5" s="1962"/>
      <c r="FBF5" s="1962"/>
      <c r="FBG5" s="1962"/>
      <c r="FBH5" s="1962"/>
      <c r="FBI5" s="1962"/>
      <c r="FBJ5" s="1962"/>
      <c r="FBK5" s="1962"/>
      <c r="FBL5" s="1962"/>
      <c r="FBM5" s="1962"/>
      <c r="FBN5" s="1962"/>
      <c r="FBO5" s="1962"/>
      <c r="FBP5" s="1962"/>
      <c r="FBQ5" s="1962"/>
      <c r="FBR5" s="1962"/>
      <c r="FBS5" s="1962"/>
      <c r="FBT5" s="1962"/>
      <c r="FBU5" s="1962"/>
      <c r="FBV5" s="1962"/>
      <c r="FBW5" s="1962"/>
      <c r="FBX5" s="1962"/>
      <c r="FBY5" s="1962"/>
      <c r="FBZ5" s="1962"/>
      <c r="FCA5" s="1962"/>
      <c r="FCB5" s="1962"/>
      <c r="FCC5" s="1962"/>
      <c r="FCD5" s="1962"/>
      <c r="FCE5" s="1962"/>
      <c r="FCF5" s="1962"/>
      <c r="FCG5" s="1962"/>
      <c r="FCH5" s="1962"/>
      <c r="FCI5" s="1962"/>
      <c r="FCJ5" s="1962"/>
      <c r="FCK5" s="1962"/>
      <c r="FCL5" s="1962"/>
      <c r="FCM5" s="1962"/>
      <c r="FCN5" s="1962"/>
      <c r="FCO5" s="1962"/>
      <c r="FCP5" s="1962"/>
      <c r="FCQ5" s="1962"/>
      <c r="FCR5" s="1962"/>
      <c r="FCS5" s="1962"/>
      <c r="FCT5" s="1962"/>
      <c r="FCU5" s="1962"/>
      <c r="FCV5" s="1962"/>
      <c r="FCW5" s="1962"/>
      <c r="FCX5" s="1962"/>
      <c r="FCY5" s="1962"/>
      <c r="FCZ5" s="1962"/>
      <c r="FDA5" s="1962"/>
      <c r="FDB5" s="1962"/>
      <c r="FDC5" s="1962"/>
      <c r="FDD5" s="1962"/>
      <c r="FDE5" s="1962"/>
      <c r="FDF5" s="1962"/>
      <c r="FDG5" s="1962"/>
      <c r="FDH5" s="1962"/>
      <c r="FDI5" s="1962"/>
      <c r="FDJ5" s="1962"/>
      <c r="FDK5" s="1962"/>
      <c r="FDL5" s="1962"/>
      <c r="FDM5" s="1962"/>
      <c r="FDN5" s="1962"/>
      <c r="FDO5" s="1962"/>
      <c r="FDP5" s="1962"/>
      <c r="FDQ5" s="1962"/>
      <c r="FDR5" s="1962"/>
      <c r="FDS5" s="1962"/>
      <c r="FDT5" s="1962"/>
      <c r="FDU5" s="1962"/>
      <c r="FDV5" s="1962"/>
      <c r="FDW5" s="1962"/>
      <c r="FDX5" s="1962"/>
      <c r="FDY5" s="1962"/>
      <c r="FDZ5" s="1962"/>
      <c r="FEA5" s="1962"/>
      <c r="FEB5" s="1962"/>
      <c r="FEC5" s="1962"/>
      <c r="FED5" s="1962"/>
      <c r="FEE5" s="1962"/>
      <c r="FEF5" s="1962"/>
      <c r="FEG5" s="1962"/>
      <c r="FEH5" s="1962"/>
      <c r="FEI5" s="1962"/>
      <c r="FEJ5" s="1962"/>
      <c r="FEK5" s="1962"/>
      <c r="FEL5" s="1962"/>
      <c r="FEM5" s="1962"/>
      <c r="FEN5" s="1962"/>
      <c r="FEO5" s="1962"/>
      <c r="FEP5" s="1962"/>
      <c r="FEQ5" s="1962"/>
      <c r="FER5" s="1962"/>
      <c r="FES5" s="1962"/>
      <c r="FET5" s="1962"/>
      <c r="FEU5" s="1962"/>
      <c r="FEV5" s="1962"/>
      <c r="FEW5" s="1962"/>
      <c r="FEX5" s="1962"/>
      <c r="FEY5" s="1962"/>
      <c r="FEZ5" s="1962"/>
      <c r="FFA5" s="1962"/>
      <c r="FFB5" s="1962"/>
      <c r="FFC5" s="1962"/>
      <c r="FFD5" s="1962"/>
      <c r="FFE5" s="1962"/>
      <c r="FFF5" s="1962"/>
      <c r="FFG5" s="1962"/>
      <c r="FFH5" s="1962"/>
      <c r="FFI5" s="1962"/>
      <c r="FFJ5" s="1962"/>
      <c r="FFK5" s="1962"/>
      <c r="FFL5" s="1962"/>
      <c r="FFM5" s="1962"/>
      <c r="FFN5" s="1962"/>
      <c r="FFO5" s="1962"/>
      <c r="FFP5" s="1962"/>
      <c r="FFQ5" s="1962"/>
      <c r="FFR5" s="1962"/>
      <c r="FFS5" s="1962"/>
      <c r="FFT5" s="1962"/>
      <c r="FFU5" s="1962"/>
      <c r="FFV5" s="1962"/>
      <c r="FFW5" s="1962"/>
      <c r="FFX5" s="1962"/>
      <c r="FFY5" s="1962"/>
      <c r="FFZ5" s="1962"/>
      <c r="FGA5" s="1962"/>
      <c r="FGB5" s="1962"/>
      <c r="FGC5" s="1962"/>
      <c r="FGD5" s="1962"/>
      <c r="FGE5" s="1962"/>
      <c r="FGF5" s="1962"/>
      <c r="FGG5" s="1962"/>
      <c r="FGH5" s="1962"/>
      <c r="FGI5" s="1962"/>
      <c r="FGJ5" s="1962"/>
      <c r="FGK5" s="1962"/>
      <c r="FGL5" s="1962"/>
      <c r="FGM5" s="1962"/>
      <c r="FGN5" s="1962"/>
      <c r="FGO5" s="1962"/>
      <c r="FGP5" s="1962"/>
      <c r="FGQ5" s="1962"/>
      <c r="FGR5" s="1962"/>
      <c r="FGS5" s="1962"/>
      <c r="FGT5" s="1962"/>
      <c r="FGU5" s="1962"/>
      <c r="FGV5" s="1962"/>
      <c r="FGW5" s="1962"/>
      <c r="FGX5" s="1962"/>
      <c r="FGY5" s="1962"/>
      <c r="FGZ5" s="1962"/>
      <c r="FHA5" s="1962"/>
      <c r="FHB5" s="1962"/>
      <c r="FHC5" s="1962"/>
      <c r="FHD5" s="1962"/>
      <c r="FHE5" s="1962"/>
      <c r="FHF5" s="1962"/>
      <c r="FHG5" s="1962"/>
      <c r="FHH5" s="1962"/>
      <c r="FHI5" s="1962"/>
      <c r="FHJ5" s="1962"/>
      <c r="FHK5" s="1962"/>
      <c r="FHL5" s="1962"/>
      <c r="FHM5" s="1962"/>
      <c r="FHN5" s="1962"/>
      <c r="FHO5" s="1962"/>
      <c r="FHP5" s="1962"/>
      <c r="FHQ5" s="1962"/>
      <c r="FHR5" s="1962"/>
      <c r="FHS5" s="1962"/>
      <c r="FHT5" s="1962"/>
      <c r="FHU5" s="1962"/>
      <c r="FHV5" s="1962"/>
      <c r="FHW5" s="1962"/>
      <c r="FHX5" s="1962"/>
      <c r="FHY5" s="1962"/>
      <c r="FHZ5" s="1962"/>
      <c r="FIA5" s="1962"/>
      <c r="FIB5" s="1962"/>
      <c r="FIC5" s="1962"/>
      <c r="FID5" s="1962"/>
      <c r="FIE5" s="1962"/>
      <c r="FIF5" s="1962"/>
      <c r="FIG5" s="1962"/>
      <c r="FIH5" s="1962"/>
      <c r="FII5" s="1962"/>
      <c r="FIJ5" s="1962"/>
      <c r="FIK5" s="1962"/>
      <c r="FIL5" s="1962"/>
      <c r="FIM5" s="1962"/>
      <c r="FIN5" s="1962"/>
      <c r="FIO5" s="1962"/>
      <c r="FIP5" s="1962"/>
      <c r="FIQ5" s="1962"/>
      <c r="FIR5" s="1962"/>
      <c r="FIS5" s="1962"/>
      <c r="FIT5" s="1962"/>
      <c r="FIU5" s="1962"/>
      <c r="FIV5" s="1962"/>
      <c r="FIW5" s="1962"/>
      <c r="FIX5" s="1962"/>
      <c r="FIY5" s="1962"/>
      <c r="FIZ5" s="1962"/>
      <c r="FJA5" s="1962"/>
      <c r="FJB5" s="1962"/>
      <c r="FJC5" s="1962"/>
      <c r="FJD5" s="1962"/>
      <c r="FJE5" s="1962"/>
      <c r="FJF5" s="1962"/>
      <c r="FJG5" s="1962"/>
      <c r="FJH5" s="1962"/>
      <c r="FJI5" s="1962"/>
      <c r="FJJ5" s="1962"/>
      <c r="FJK5" s="1962"/>
      <c r="FJL5" s="1962"/>
      <c r="FJM5" s="1962"/>
      <c r="FJN5" s="1962"/>
      <c r="FJO5" s="1962"/>
      <c r="FJP5" s="1962"/>
      <c r="FJQ5" s="1962"/>
      <c r="FJR5" s="1962"/>
      <c r="FJS5" s="1962"/>
      <c r="FJT5" s="1962"/>
      <c r="FJU5" s="1962"/>
      <c r="FJV5" s="1962"/>
      <c r="FJW5" s="1962"/>
      <c r="FJX5" s="1962"/>
      <c r="FJY5" s="1962"/>
      <c r="FJZ5" s="1962"/>
      <c r="FKA5" s="1962"/>
      <c r="FKB5" s="1962"/>
      <c r="FKC5" s="1962"/>
      <c r="FKD5" s="1962"/>
      <c r="FKE5" s="1962"/>
      <c r="FKF5" s="1962"/>
      <c r="FKG5" s="1962"/>
      <c r="FKH5" s="1962"/>
      <c r="FKI5" s="1962"/>
      <c r="FKJ5" s="1962"/>
      <c r="FKK5" s="1962"/>
      <c r="FKL5" s="1962"/>
      <c r="FKM5" s="1962"/>
      <c r="FKN5" s="1962"/>
      <c r="FKO5" s="1962"/>
      <c r="FKP5" s="1962"/>
      <c r="FKQ5" s="1962"/>
      <c r="FKR5" s="1962"/>
      <c r="FKS5" s="1962"/>
      <c r="FKT5" s="1962"/>
      <c r="FKU5" s="1962"/>
      <c r="FKV5" s="1962"/>
      <c r="FKW5" s="1962"/>
      <c r="FKX5" s="1962"/>
      <c r="FKY5" s="1962"/>
      <c r="FKZ5" s="1962"/>
      <c r="FLA5" s="1962"/>
      <c r="FLB5" s="1962"/>
      <c r="FLC5" s="1962"/>
      <c r="FLD5" s="1962"/>
      <c r="FLE5" s="1962"/>
      <c r="FLF5" s="1962"/>
      <c r="FLG5" s="1962"/>
      <c r="FLH5" s="1962"/>
      <c r="FLI5" s="1962"/>
      <c r="FLJ5" s="1962"/>
      <c r="FLK5" s="1962"/>
      <c r="FLL5" s="1962"/>
      <c r="FLM5" s="1962"/>
      <c r="FLN5" s="1962"/>
      <c r="FLO5" s="1962"/>
      <c r="FLP5" s="1962"/>
      <c r="FLQ5" s="1962"/>
      <c r="FLR5" s="1962"/>
      <c r="FLS5" s="1962"/>
      <c r="FLT5" s="1962"/>
      <c r="FLU5" s="1962"/>
      <c r="FLV5" s="1962"/>
      <c r="FLW5" s="1962"/>
      <c r="FLX5" s="1962"/>
      <c r="FLY5" s="1962"/>
      <c r="FLZ5" s="1962"/>
      <c r="FMA5" s="1962"/>
      <c r="FMB5" s="1962"/>
      <c r="FMC5" s="1962"/>
      <c r="FMD5" s="1962"/>
      <c r="FME5" s="1962"/>
      <c r="FMF5" s="1962"/>
      <c r="FMG5" s="1962"/>
      <c r="FMH5" s="1962"/>
      <c r="FMI5" s="1962"/>
      <c r="FMJ5" s="1962"/>
      <c r="FMK5" s="1962"/>
      <c r="FML5" s="1962"/>
      <c r="FMM5" s="1962"/>
      <c r="FMN5" s="1962"/>
      <c r="FMO5" s="1962"/>
      <c r="FMP5" s="1962"/>
      <c r="FMQ5" s="1962"/>
      <c r="FMR5" s="1962"/>
      <c r="FMS5" s="1962"/>
      <c r="FMT5" s="1962"/>
      <c r="FMU5" s="1962"/>
      <c r="FMV5" s="1962"/>
      <c r="FMW5" s="1962"/>
      <c r="FMX5" s="1962"/>
      <c r="FMY5" s="1962"/>
      <c r="FMZ5" s="1962"/>
      <c r="FNA5" s="1962"/>
      <c r="FNB5" s="1962"/>
      <c r="FNC5" s="1962"/>
      <c r="FND5" s="1962"/>
      <c r="FNE5" s="1962"/>
      <c r="FNF5" s="1962"/>
      <c r="FNG5" s="1962"/>
      <c r="FNH5" s="1962"/>
      <c r="FNI5" s="1962"/>
      <c r="FNJ5" s="1962"/>
      <c r="FNK5" s="1962"/>
      <c r="FNL5" s="1962"/>
      <c r="FNM5" s="1962"/>
      <c r="FNN5" s="1962"/>
      <c r="FNO5" s="1962"/>
      <c r="FNP5" s="1962"/>
      <c r="FNQ5" s="1962"/>
      <c r="FNR5" s="1962"/>
      <c r="FNS5" s="1962"/>
      <c r="FNT5" s="1962"/>
      <c r="FNU5" s="1962"/>
      <c r="FNV5" s="1962"/>
      <c r="FNW5" s="1962"/>
      <c r="FNX5" s="1962"/>
      <c r="FNY5" s="1962"/>
      <c r="FNZ5" s="1962"/>
      <c r="FOA5" s="1962"/>
      <c r="FOB5" s="1962"/>
      <c r="FOC5" s="1962"/>
      <c r="FOD5" s="1962"/>
      <c r="FOE5" s="1962"/>
      <c r="FOF5" s="1962"/>
      <c r="FOG5" s="1962"/>
      <c r="FOH5" s="1962"/>
      <c r="FOI5" s="1962"/>
      <c r="FOJ5" s="1962"/>
      <c r="FOK5" s="1962"/>
      <c r="FOL5" s="1962"/>
      <c r="FOM5" s="1962"/>
      <c r="FON5" s="1962"/>
      <c r="FOO5" s="1962"/>
      <c r="FOP5" s="1962"/>
      <c r="FOQ5" s="1962"/>
      <c r="FOR5" s="1962"/>
      <c r="FOS5" s="1962"/>
      <c r="FOT5" s="1962"/>
      <c r="FOU5" s="1962"/>
      <c r="FOV5" s="1962"/>
      <c r="FOW5" s="1962"/>
      <c r="FOX5" s="1962"/>
      <c r="FOY5" s="1962"/>
      <c r="FOZ5" s="1962"/>
      <c r="FPA5" s="1962"/>
      <c r="FPB5" s="1962"/>
      <c r="FPC5" s="1962"/>
      <c r="FPD5" s="1962"/>
      <c r="FPE5" s="1962"/>
      <c r="FPF5" s="1962"/>
      <c r="FPG5" s="1962"/>
      <c r="FPH5" s="1962"/>
      <c r="FPI5" s="1962"/>
      <c r="FPJ5" s="1962"/>
      <c r="FPK5" s="1962"/>
      <c r="FPL5" s="1962"/>
      <c r="FPM5" s="1962"/>
      <c r="FPN5" s="1962"/>
      <c r="FPO5" s="1962"/>
      <c r="FPP5" s="1962"/>
      <c r="FPQ5" s="1962"/>
      <c r="FPR5" s="1962"/>
      <c r="FPS5" s="1962"/>
      <c r="FPT5" s="1962"/>
      <c r="FPU5" s="1962"/>
      <c r="FPV5" s="1962"/>
      <c r="FPW5" s="1962"/>
      <c r="FPX5" s="1962"/>
      <c r="FPY5" s="1962"/>
      <c r="FPZ5" s="1962"/>
      <c r="FQA5" s="1962"/>
      <c r="FQB5" s="1962"/>
      <c r="FQC5" s="1962"/>
      <c r="FQD5" s="1962"/>
      <c r="FQE5" s="1962"/>
      <c r="FQF5" s="1962"/>
      <c r="FQG5" s="1962"/>
      <c r="FQH5" s="1962"/>
      <c r="FQI5" s="1962"/>
      <c r="FQJ5" s="1962"/>
      <c r="FQK5" s="1962"/>
      <c r="FQL5" s="1962"/>
      <c r="FQM5" s="1962"/>
      <c r="FQN5" s="1962"/>
      <c r="FQO5" s="1962"/>
      <c r="FQP5" s="1962"/>
      <c r="FQQ5" s="1962"/>
      <c r="FQR5" s="1962"/>
      <c r="FQS5" s="1962"/>
      <c r="FQT5" s="1962"/>
      <c r="FQU5" s="1962"/>
      <c r="FQV5" s="1962"/>
      <c r="FQW5" s="1962"/>
      <c r="FQX5" s="1962"/>
      <c r="FQY5" s="1962"/>
      <c r="FQZ5" s="1962"/>
      <c r="FRA5" s="1962"/>
      <c r="FRB5" s="1962"/>
      <c r="FRC5" s="1962"/>
      <c r="FRD5" s="1962"/>
      <c r="FRE5" s="1962"/>
      <c r="FRF5" s="1962"/>
      <c r="FRG5" s="1962"/>
      <c r="FRH5" s="1962"/>
      <c r="FRI5" s="1962"/>
      <c r="FRJ5" s="1962"/>
      <c r="FRK5" s="1962"/>
      <c r="FRL5" s="1962"/>
      <c r="FRM5" s="1962"/>
      <c r="FRN5" s="1962"/>
      <c r="FRO5" s="1962"/>
      <c r="FRP5" s="1962"/>
      <c r="FRQ5" s="1962"/>
      <c r="FRR5" s="1962"/>
      <c r="FRS5" s="1962"/>
      <c r="FRT5" s="1962"/>
      <c r="FRU5" s="1962"/>
      <c r="FRV5" s="1962"/>
      <c r="FRW5" s="1962"/>
      <c r="FRX5" s="1962"/>
      <c r="FRY5" s="1962"/>
      <c r="FRZ5" s="1962"/>
      <c r="FSA5" s="1962"/>
      <c r="FSB5" s="1962"/>
      <c r="FSC5" s="1962"/>
      <c r="FSD5" s="1962"/>
      <c r="FSE5" s="1962"/>
      <c r="FSF5" s="1962"/>
      <c r="FSG5" s="1962"/>
      <c r="FSH5" s="1962"/>
      <c r="FSI5" s="1962"/>
      <c r="FSJ5" s="1962"/>
      <c r="FSK5" s="1962"/>
      <c r="FSL5" s="1962"/>
      <c r="FSM5" s="1962"/>
      <c r="FSN5" s="1962"/>
      <c r="FSO5" s="1962"/>
      <c r="FSP5" s="1962"/>
      <c r="FSQ5" s="1962"/>
      <c r="FSR5" s="1962"/>
      <c r="FSS5" s="1962"/>
      <c r="FST5" s="1962"/>
      <c r="FSU5" s="1962"/>
      <c r="FSV5" s="1962"/>
      <c r="FSW5" s="1962"/>
      <c r="FSX5" s="1962"/>
      <c r="FSY5" s="1962"/>
      <c r="FSZ5" s="1962"/>
      <c r="FTA5" s="1962"/>
      <c r="FTB5" s="1962"/>
      <c r="FTC5" s="1962"/>
      <c r="FTD5" s="1962"/>
      <c r="FTE5" s="1962"/>
      <c r="FTF5" s="1962"/>
      <c r="FTG5" s="1962"/>
      <c r="FTH5" s="1962"/>
      <c r="FTI5" s="1962"/>
      <c r="FTJ5" s="1962"/>
      <c r="FTK5" s="1962"/>
      <c r="FTL5" s="1962"/>
      <c r="FTM5" s="1962"/>
      <c r="FTN5" s="1962"/>
      <c r="FTO5" s="1962"/>
      <c r="FTP5" s="1962"/>
      <c r="FTQ5" s="1962"/>
      <c r="FTR5" s="1962"/>
      <c r="FTS5" s="1962"/>
      <c r="FTT5" s="1962"/>
      <c r="FTU5" s="1962"/>
      <c r="FTV5" s="1962"/>
      <c r="FTW5" s="1962"/>
      <c r="FTX5" s="1962"/>
      <c r="FTY5" s="1962"/>
      <c r="FTZ5" s="1962"/>
      <c r="FUA5" s="1962"/>
      <c r="FUB5" s="1962"/>
      <c r="FUC5" s="1962"/>
      <c r="FUD5" s="1962"/>
      <c r="FUE5" s="1962"/>
      <c r="FUF5" s="1962"/>
      <c r="FUG5" s="1962"/>
      <c r="FUH5" s="1962"/>
      <c r="FUI5" s="1962"/>
      <c r="FUJ5" s="1962"/>
      <c r="FUK5" s="1962"/>
      <c r="FUL5" s="1962"/>
      <c r="FUM5" s="1962"/>
      <c r="FUN5" s="1962"/>
      <c r="FUO5" s="1962"/>
      <c r="FUP5" s="1962"/>
      <c r="FUQ5" s="1962"/>
      <c r="FUR5" s="1962"/>
      <c r="FUS5" s="1962"/>
      <c r="FUT5" s="1962"/>
      <c r="FUU5" s="1962"/>
      <c r="FUV5" s="1962"/>
      <c r="FUW5" s="1962"/>
      <c r="FUX5" s="1962"/>
      <c r="FUY5" s="1962"/>
      <c r="FUZ5" s="1962"/>
      <c r="FVA5" s="1962"/>
      <c r="FVB5" s="1962"/>
      <c r="FVC5" s="1962"/>
      <c r="FVD5" s="1962"/>
      <c r="FVE5" s="1962"/>
      <c r="FVF5" s="1962"/>
      <c r="FVG5" s="1962"/>
      <c r="FVH5" s="1962"/>
      <c r="FVI5" s="1962"/>
      <c r="FVJ5" s="1962"/>
      <c r="FVK5" s="1962"/>
      <c r="FVL5" s="1962"/>
      <c r="FVM5" s="1962"/>
      <c r="FVN5" s="1962"/>
      <c r="FVO5" s="1962"/>
      <c r="FVP5" s="1962"/>
      <c r="FVQ5" s="1962"/>
      <c r="FVR5" s="1962"/>
      <c r="FVS5" s="1962"/>
      <c r="FVT5" s="1962"/>
      <c r="FVU5" s="1962"/>
      <c r="FVV5" s="1962"/>
      <c r="FVW5" s="1962"/>
      <c r="FVX5" s="1962"/>
      <c r="FVY5" s="1962"/>
      <c r="FVZ5" s="1962"/>
      <c r="FWA5" s="1962"/>
      <c r="FWB5" s="1962"/>
      <c r="FWC5" s="1962"/>
      <c r="FWD5" s="1962"/>
      <c r="FWE5" s="1962"/>
      <c r="FWF5" s="1962"/>
      <c r="FWG5" s="1962"/>
      <c r="FWH5" s="1962"/>
      <c r="FWI5" s="1962"/>
      <c r="FWJ5" s="1962"/>
      <c r="FWK5" s="1962"/>
      <c r="FWL5" s="1962"/>
      <c r="FWM5" s="1962"/>
      <c r="FWN5" s="1962"/>
      <c r="FWO5" s="1962"/>
      <c r="FWP5" s="1962"/>
      <c r="FWQ5" s="1962"/>
      <c r="FWR5" s="1962"/>
      <c r="FWS5" s="1962"/>
      <c r="FWT5" s="1962"/>
      <c r="FWU5" s="1962"/>
      <c r="FWV5" s="1962"/>
      <c r="FWW5" s="1962"/>
      <c r="FWX5" s="1962"/>
      <c r="FWY5" s="1962"/>
      <c r="FWZ5" s="1962"/>
      <c r="FXA5" s="1962"/>
      <c r="FXB5" s="1962"/>
      <c r="FXC5" s="1962"/>
      <c r="FXD5" s="1962"/>
      <c r="FXE5" s="1962"/>
      <c r="FXF5" s="1962"/>
      <c r="FXG5" s="1962"/>
      <c r="FXH5" s="1962"/>
      <c r="FXI5" s="1962"/>
      <c r="FXJ5" s="1962"/>
      <c r="FXK5" s="1962"/>
      <c r="FXL5" s="1962"/>
      <c r="FXM5" s="1962"/>
      <c r="FXN5" s="1962"/>
      <c r="FXO5" s="1962"/>
      <c r="FXP5" s="1962"/>
      <c r="FXQ5" s="1962"/>
      <c r="FXR5" s="1962"/>
      <c r="FXS5" s="1962"/>
      <c r="FXT5" s="1962"/>
      <c r="FXU5" s="1962"/>
      <c r="FXV5" s="1962"/>
      <c r="FXW5" s="1962"/>
      <c r="FXX5" s="1962"/>
      <c r="FXY5" s="1962"/>
      <c r="FXZ5" s="1962"/>
      <c r="FYA5" s="1962"/>
      <c r="FYB5" s="1962"/>
      <c r="FYC5" s="1962"/>
      <c r="FYD5" s="1962"/>
      <c r="FYE5" s="1962"/>
      <c r="FYF5" s="1962"/>
      <c r="FYG5" s="1962"/>
      <c r="FYH5" s="1962"/>
      <c r="FYI5" s="1962"/>
      <c r="FYJ5" s="1962"/>
      <c r="FYK5" s="1962"/>
      <c r="FYL5" s="1962"/>
      <c r="FYM5" s="1962"/>
      <c r="FYN5" s="1962"/>
      <c r="FYO5" s="1962"/>
      <c r="FYP5" s="1962"/>
      <c r="FYQ5" s="1962"/>
      <c r="FYR5" s="1962"/>
      <c r="FYS5" s="1962"/>
      <c r="FYT5" s="1962"/>
      <c r="FYU5" s="1962"/>
      <c r="FYV5" s="1962"/>
      <c r="FYW5" s="1962"/>
      <c r="FYX5" s="1962"/>
      <c r="FYY5" s="1962"/>
      <c r="FYZ5" s="1962"/>
      <c r="FZA5" s="1962"/>
      <c r="FZB5" s="1962"/>
      <c r="FZC5" s="1962"/>
      <c r="FZD5" s="1962"/>
      <c r="FZE5" s="1962"/>
      <c r="FZF5" s="1962"/>
      <c r="FZG5" s="1962"/>
      <c r="FZH5" s="1962"/>
      <c r="FZI5" s="1962"/>
      <c r="FZJ5" s="1962"/>
      <c r="FZK5" s="1962"/>
      <c r="FZL5" s="1962"/>
      <c r="FZM5" s="1962"/>
      <c r="FZN5" s="1962"/>
      <c r="FZO5" s="1962"/>
      <c r="FZP5" s="1962"/>
      <c r="FZQ5" s="1962"/>
      <c r="FZR5" s="1962"/>
      <c r="FZS5" s="1962"/>
      <c r="FZT5" s="1962"/>
      <c r="FZU5" s="1962"/>
      <c r="FZV5" s="1962"/>
      <c r="FZW5" s="1962"/>
      <c r="FZX5" s="1962"/>
      <c r="FZY5" s="1962"/>
      <c r="FZZ5" s="1962"/>
      <c r="GAA5" s="1962"/>
      <c r="GAB5" s="1962"/>
      <c r="GAC5" s="1962"/>
      <c r="GAD5" s="1962"/>
      <c r="GAE5" s="1962"/>
      <c r="GAF5" s="1962"/>
      <c r="GAG5" s="1962"/>
      <c r="GAH5" s="1962"/>
      <c r="GAI5" s="1962"/>
      <c r="GAJ5" s="1962"/>
      <c r="GAK5" s="1962"/>
      <c r="GAL5" s="1962"/>
      <c r="GAM5" s="1962"/>
      <c r="GAN5" s="1962"/>
      <c r="GAO5" s="1962"/>
      <c r="GAP5" s="1962"/>
      <c r="GAQ5" s="1962"/>
      <c r="GAR5" s="1962"/>
      <c r="GAS5" s="1962"/>
      <c r="GAT5" s="1962"/>
      <c r="GAU5" s="1962"/>
      <c r="GAV5" s="1962"/>
      <c r="GAW5" s="1962"/>
      <c r="GAX5" s="1962"/>
      <c r="GAY5" s="1962"/>
      <c r="GAZ5" s="1962"/>
      <c r="GBA5" s="1962"/>
      <c r="GBB5" s="1962"/>
      <c r="GBC5" s="1962"/>
      <c r="GBD5" s="1962"/>
      <c r="GBE5" s="1962"/>
      <c r="GBF5" s="1962"/>
      <c r="GBG5" s="1962"/>
      <c r="GBH5" s="1962"/>
      <c r="GBI5" s="1962"/>
      <c r="GBJ5" s="1962"/>
      <c r="GBK5" s="1962"/>
      <c r="GBL5" s="1962"/>
      <c r="GBM5" s="1962"/>
      <c r="GBN5" s="1962"/>
      <c r="GBO5" s="1962"/>
      <c r="GBP5" s="1962"/>
      <c r="GBQ5" s="1962"/>
      <c r="GBR5" s="1962"/>
      <c r="GBS5" s="1962"/>
      <c r="GBT5" s="1962"/>
      <c r="GBU5" s="1962"/>
      <c r="GBV5" s="1962"/>
      <c r="GBW5" s="1962"/>
      <c r="GBX5" s="1962"/>
      <c r="GBY5" s="1962"/>
      <c r="GBZ5" s="1962"/>
      <c r="GCA5" s="1962"/>
      <c r="GCB5" s="1962"/>
      <c r="GCC5" s="1962"/>
      <c r="GCD5" s="1962"/>
      <c r="GCE5" s="1962"/>
      <c r="GCF5" s="1962"/>
      <c r="GCG5" s="1962"/>
      <c r="GCH5" s="1962"/>
      <c r="GCI5" s="1962"/>
      <c r="GCJ5" s="1962"/>
      <c r="GCK5" s="1962"/>
      <c r="GCL5" s="1962"/>
      <c r="GCM5" s="1962"/>
      <c r="GCN5" s="1962"/>
      <c r="GCO5" s="1962"/>
      <c r="GCP5" s="1962"/>
      <c r="GCQ5" s="1962"/>
      <c r="GCR5" s="1962"/>
      <c r="GCS5" s="1962"/>
      <c r="GCT5" s="1962"/>
      <c r="GCU5" s="1962"/>
      <c r="GCV5" s="1962"/>
      <c r="GCW5" s="1962"/>
      <c r="GCX5" s="1962"/>
      <c r="GCY5" s="1962"/>
      <c r="GCZ5" s="1962"/>
      <c r="GDA5" s="1962"/>
      <c r="GDB5" s="1962"/>
      <c r="GDC5" s="1962"/>
      <c r="GDD5" s="1962"/>
      <c r="GDE5" s="1962"/>
      <c r="GDF5" s="1962"/>
      <c r="GDG5" s="1962"/>
      <c r="GDH5" s="1962"/>
      <c r="GDI5" s="1962"/>
      <c r="GDJ5" s="1962"/>
      <c r="GDK5" s="1962"/>
      <c r="GDL5" s="1962"/>
      <c r="GDM5" s="1962"/>
      <c r="GDN5" s="1962"/>
      <c r="GDO5" s="1962"/>
      <c r="GDP5" s="1962"/>
      <c r="GDQ5" s="1962"/>
      <c r="GDR5" s="1962"/>
      <c r="GDS5" s="1962"/>
      <c r="GDT5" s="1962"/>
      <c r="GDU5" s="1962"/>
      <c r="GDV5" s="1962"/>
      <c r="GDW5" s="1962"/>
      <c r="GDX5" s="1962"/>
      <c r="GDY5" s="1962"/>
      <c r="GDZ5" s="1962"/>
      <c r="GEA5" s="1962"/>
      <c r="GEB5" s="1962"/>
      <c r="GEC5" s="1962"/>
      <c r="GED5" s="1962"/>
      <c r="GEE5" s="1962"/>
      <c r="GEF5" s="1962"/>
      <c r="GEG5" s="1962"/>
      <c r="GEH5" s="1962"/>
      <c r="GEI5" s="1962"/>
      <c r="GEJ5" s="1962"/>
      <c r="GEK5" s="1962"/>
      <c r="GEL5" s="1962"/>
      <c r="GEM5" s="1962"/>
      <c r="GEN5" s="1962"/>
      <c r="GEO5" s="1962"/>
      <c r="GEP5" s="1962"/>
      <c r="GEQ5" s="1962"/>
      <c r="GER5" s="1962"/>
      <c r="GES5" s="1962"/>
      <c r="GET5" s="1962"/>
      <c r="GEU5" s="1962"/>
      <c r="GEV5" s="1962"/>
      <c r="GEW5" s="1962"/>
      <c r="GEX5" s="1962"/>
      <c r="GEY5" s="1962"/>
      <c r="GEZ5" s="1962"/>
      <c r="GFA5" s="1962"/>
      <c r="GFB5" s="1962"/>
      <c r="GFC5" s="1962"/>
      <c r="GFD5" s="1962"/>
      <c r="GFE5" s="1962"/>
      <c r="GFF5" s="1962"/>
      <c r="GFG5" s="1962"/>
      <c r="GFH5" s="1962"/>
      <c r="GFI5" s="1962"/>
      <c r="GFJ5" s="1962"/>
      <c r="GFK5" s="1962"/>
      <c r="GFL5" s="1962"/>
      <c r="GFM5" s="1962"/>
      <c r="GFN5" s="1962"/>
      <c r="GFO5" s="1962"/>
      <c r="GFP5" s="1962"/>
      <c r="GFQ5" s="1962"/>
      <c r="GFR5" s="1962"/>
      <c r="GFS5" s="1962"/>
      <c r="GFT5" s="1962"/>
      <c r="GFU5" s="1962"/>
      <c r="GFV5" s="1962"/>
      <c r="GFW5" s="1962"/>
      <c r="GFX5" s="1962"/>
      <c r="GFY5" s="1962"/>
      <c r="GFZ5" s="1962"/>
      <c r="GGA5" s="1962"/>
      <c r="GGB5" s="1962"/>
      <c r="GGC5" s="1962"/>
      <c r="GGD5" s="1962"/>
      <c r="GGE5" s="1962"/>
      <c r="GGF5" s="1962"/>
      <c r="GGG5" s="1962"/>
      <c r="GGH5" s="1962"/>
      <c r="GGI5" s="1962"/>
      <c r="GGJ5" s="1962"/>
      <c r="GGK5" s="1962"/>
      <c r="GGL5" s="1962"/>
      <c r="GGM5" s="1962"/>
      <c r="GGN5" s="1962"/>
      <c r="GGO5" s="1962"/>
      <c r="GGP5" s="1962"/>
      <c r="GGQ5" s="1962"/>
      <c r="GGR5" s="1962"/>
      <c r="GGS5" s="1962"/>
      <c r="GGT5" s="1962"/>
      <c r="GGU5" s="1962"/>
      <c r="GGV5" s="1962"/>
      <c r="GGW5" s="1962"/>
      <c r="GGX5" s="1962"/>
      <c r="GGY5" s="1962"/>
      <c r="GGZ5" s="1962"/>
      <c r="GHA5" s="1962"/>
      <c r="GHB5" s="1962"/>
      <c r="GHC5" s="1962"/>
      <c r="GHD5" s="1962"/>
      <c r="GHE5" s="1962"/>
      <c r="GHF5" s="1962"/>
      <c r="GHG5" s="1962"/>
      <c r="GHH5" s="1962"/>
      <c r="GHI5" s="1962"/>
      <c r="GHJ5" s="1962"/>
      <c r="GHK5" s="1962"/>
      <c r="GHL5" s="1962"/>
      <c r="GHM5" s="1962"/>
      <c r="GHN5" s="1962"/>
      <c r="GHO5" s="1962"/>
      <c r="GHP5" s="1962"/>
      <c r="GHQ5" s="1962"/>
      <c r="GHR5" s="1962"/>
      <c r="GHS5" s="1962"/>
      <c r="GHT5" s="1962"/>
      <c r="GHU5" s="1962"/>
      <c r="GHV5" s="1962"/>
      <c r="GHW5" s="1962"/>
      <c r="GHX5" s="1962"/>
      <c r="GHY5" s="1962"/>
      <c r="GHZ5" s="1962"/>
      <c r="GIA5" s="1962"/>
      <c r="GIB5" s="1962"/>
      <c r="GIC5" s="1962"/>
      <c r="GID5" s="1962"/>
      <c r="GIE5" s="1962"/>
      <c r="GIF5" s="1962"/>
      <c r="GIG5" s="1962"/>
      <c r="GIH5" s="1962"/>
      <c r="GII5" s="1962"/>
      <c r="GIJ5" s="1962"/>
      <c r="GIK5" s="1962"/>
      <c r="GIL5" s="1962"/>
      <c r="GIM5" s="1962"/>
      <c r="GIN5" s="1962"/>
      <c r="GIO5" s="1962"/>
      <c r="GIP5" s="1962"/>
      <c r="GIQ5" s="1962"/>
      <c r="GIR5" s="1962"/>
      <c r="GIS5" s="1962"/>
      <c r="GIT5" s="1962"/>
      <c r="GIU5" s="1962"/>
      <c r="GIV5" s="1962"/>
      <c r="GIW5" s="1962"/>
      <c r="GIX5" s="1962"/>
      <c r="GIY5" s="1962"/>
      <c r="GIZ5" s="1962"/>
      <c r="GJA5" s="1962"/>
      <c r="GJB5" s="1962"/>
      <c r="GJC5" s="1962"/>
      <c r="GJD5" s="1962"/>
      <c r="GJE5" s="1962"/>
      <c r="GJF5" s="1962"/>
      <c r="GJG5" s="1962"/>
      <c r="GJH5" s="1962"/>
      <c r="GJI5" s="1962"/>
      <c r="GJJ5" s="1962"/>
      <c r="GJK5" s="1962"/>
      <c r="GJL5" s="1962"/>
      <c r="GJM5" s="1962"/>
      <c r="GJN5" s="1962"/>
      <c r="GJO5" s="1962"/>
      <c r="GJP5" s="1962"/>
      <c r="GJQ5" s="1962"/>
      <c r="GJR5" s="1962"/>
      <c r="GJS5" s="1962"/>
      <c r="GJT5" s="1962"/>
      <c r="GJU5" s="1962"/>
      <c r="GJV5" s="1962"/>
      <c r="GJW5" s="1962"/>
      <c r="GJX5" s="1962"/>
      <c r="GJY5" s="1962"/>
      <c r="GJZ5" s="1962"/>
      <c r="GKA5" s="1962"/>
      <c r="GKB5" s="1962"/>
      <c r="GKC5" s="1962"/>
      <c r="GKD5" s="1962"/>
      <c r="GKE5" s="1962"/>
      <c r="GKF5" s="1962"/>
      <c r="GKG5" s="1962"/>
      <c r="GKH5" s="1962"/>
      <c r="GKI5" s="1962"/>
      <c r="GKJ5" s="1962"/>
      <c r="GKK5" s="1962"/>
      <c r="GKL5" s="1962"/>
      <c r="GKM5" s="1962"/>
      <c r="GKN5" s="1962"/>
      <c r="GKO5" s="1962"/>
      <c r="GKP5" s="1962"/>
      <c r="GKQ5" s="1962"/>
      <c r="GKR5" s="1962"/>
      <c r="GKS5" s="1962"/>
      <c r="GKT5" s="1962"/>
      <c r="GKU5" s="1962"/>
      <c r="GKV5" s="1962"/>
      <c r="GKW5" s="1962"/>
      <c r="GKX5" s="1962"/>
      <c r="GKY5" s="1962"/>
      <c r="GKZ5" s="1962"/>
      <c r="GLA5" s="1962"/>
      <c r="GLB5" s="1962"/>
      <c r="GLC5" s="1962"/>
      <c r="GLD5" s="1962"/>
      <c r="GLE5" s="1962"/>
      <c r="GLF5" s="1962"/>
      <c r="GLG5" s="1962"/>
      <c r="GLH5" s="1962"/>
      <c r="GLI5" s="1962"/>
      <c r="GLJ5" s="1962"/>
      <c r="GLK5" s="1962"/>
      <c r="GLL5" s="1962"/>
      <c r="GLM5" s="1962"/>
      <c r="GLN5" s="1962"/>
      <c r="GLO5" s="1962"/>
      <c r="GLP5" s="1962"/>
      <c r="GLQ5" s="1962"/>
      <c r="GLR5" s="1962"/>
      <c r="GLS5" s="1962"/>
      <c r="GLT5" s="1962"/>
      <c r="GLU5" s="1962"/>
      <c r="GLV5" s="1962"/>
      <c r="GLW5" s="1962"/>
      <c r="GLX5" s="1962"/>
      <c r="GLY5" s="1962"/>
      <c r="GLZ5" s="1962"/>
      <c r="GMA5" s="1962"/>
      <c r="GMB5" s="1962"/>
      <c r="GMC5" s="1962"/>
      <c r="GMD5" s="1962"/>
      <c r="GME5" s="1962"/>
      <c r="GMF5" s="1962"/>
      <c r="GMG5" s="1962"/>
      <c r="GMH5" s="1962"/>
      <c r="GMI5" s="1962"/>
      <c r="GMJ5" s="1962"/>
      <c r="GMK5" s="1962"/>
      <c r="GML5" s="1962"/>
      <c r="GMM5" s="1962"/>
      <c r="GMN5" s="1962"/>
      <c r="GMO5" s="1962"/>
      <c r="GMP5" s="1962"/>
      <c r="GMQ5" s="1962"/>
      <c r="GMR5" s="1962"/>
      <c r="GMS5" s="1962"/>
      <c r="GMT5" s="1962"/>
      <c r="GMU5" s="1962"/>
      <c r="GMV5" s="1962"/>
      <c r="GMW5" s="1962"/>
      <c r="GMX5" s="1962"/>
      <c r="GMY5" s="1962"/>
      <c r="GMZ5" s="1962"/>
      <c r="GNA5" s="1962"/>
      <c r="GNB5" s="1962"/>
      <c r="GNC5" s="1962"/>
      <c r="GND5" s="1962"/>
      <c r="GNE5" s="1962"/>
      <c r="GNF5" s="1962"/>
      <c r="GNG5" s="1962"/>
      <c r="GNH5" s="1962"/>
      <c r="GNI5" s="1962"/>
      <c r="GNJ5" s="1962"/>
      <c r="GNK5" s="1962"/>
      <c r="GNL5" s="1962"/>
      <c r="GNM5" s="1962"/>
      <c r="GNN5" s="1962"/>
      <c r="GNO5" s="1962"/>
      <c r="GNP5" s="1962"/>
      <c r="GNQ5" s="1962"/>
      <c r="GNR5" s="1962"/>
      <c r="GNS5" s="1962"/>
      <c r="GNT5" s="1962"/>
      <c r="GNU5" s="1962"/>
      <c r="GNV5" s="1962"/>
      <c r="GNW5" s="1962"/>
      <c r="GNX5" s="1962"/>
      <c r="GNY5" s="1962"/>
      <c r="GNZ5" s="1962"/>
      <c r="GOA5" s="1962"/>
      <c r="GOB5" s="1962"/>
      <c r="GOC5" s="1962"/>
      <c r="GOD5" s="1962"/>
      <c r="GOE5" s="1962"/>
      <c r="GOF5" s="1962"/>
      <c r="GOG5" s="1962"/>
      <c r="GOH5" s="1962"/>
      <c r="GOI5" s="1962"/>
      <c r="GOJ5" s="1962"/>
      <c r="GOK5" s="1962"/>
      <c r="GOL5" s="1962"/>
      <c r="GOM5" s="1962"/>
      <c r="GON5" s="1962"/>
      <c r="GOO5" s="1962"/>
      <c r="GOP5" s="1962"/>
      <c r="GOQ5" s="1962"/>
      <c r="GOR5" s="1962"/>
      <c r="GOS5" s="1962"/>
      <c r="GOT5" s="1962"/>
      <c r="GOU5" s="1962"/>
      <c r="GOV5" s="1962"/>
      <c r="GOW5" s="1962"/>
      <c r="GOX5" s="1962"/>
      <c r="GOY5" s="1962"/>
      <c r="GOZ5" s="1962"/>
      <c r="GPA5" s="1962"/>
      <c r="GPB5" s="1962"/>
      <c r="GPC5" s="1962"/>
      <c r="GPD5" s="1962"/>
      <c r="GPE5" s="1962"/>
      <c r="GPF5" s="1962"/>
      <c r="GPG5" s="1962"/>
      <c r="GPH5" s="1962"/>
      <c r="GPI5" s="1962"/>
      <c r="GPJ5" s="1962"/>
      <c r="GPK5" s="1962"/>
      <c r="GPL5" s="1962"/>
      <c r="GPM5" s="1962"/>
      <c r="GPN5" s="1962"/>
      <c r="GPO5" s="1962"/>
      <c r="GPP5" s="1962"/>
      <c r="GPQ5" s="1962"/>
      <c r="GPR5" s="1962"/>
      <c r="GPS5" s="1962"/>
      <c r="GPT5" s="1962"/>
      <c r="GPU5" s="1962"/>
      <c r="GPV5" s="1962"/>
      <c r="GPW5" s="1962"/>
      <c r="GPX5" s="1962"/>
      <c r="GPY5" s="1962"/>
      <c r="GPZ5" s="1962"/>
      <c r="GQA5" s="1962"/>
      <c r="GQB5" s="1962"/>
      <c r="GQC5" s="1962"/>
      <c r="GQD5" s="1962"/>
      <c r="GQE5" s="1962"/>
      <c r="GQF5" s="1962"/>
      <c r="GQG5" s="1962"/>
      <c r="GQH5" s="1962"/>
      <c r="GQI5" s="1962"/>
      <c r="GQJ5" s="1962"/>
      <c r="GQK5" s="1962"/>
      <c r="GQL5" s="1962"/>
      <c r="GQM5" s="1962"/>
      <c r="GQN5" s="1962"/>
      <c r="GQO5" s="1962"/>
      <c r="GQP5" s="1962"/>
      <c r="GQQ5" s="1962"/>
      <c r="GQR5" s="1962"/>
      <c r="GQS5" s="1962"/>
      <c r="GQT5" s="1962"/>
      <c r="GQU5" s="1962"/>
      <c r="GQV5" s="1962"/>
      <c r="GQW5" s="1962"/>
      <c r="GQX5" s="1962"/>
      <c r="GQY5" s="1962"/>
      <c r="GQZ5" s="1962"/>
      <c r="GRA5" s="1962"/>
      <c r="GRB5" s="1962"/>
      <c r="GRC5" s="1962"/>
      <c r="GRD5" s="1962"/>
      <c r="GRE5" s="1962"/>
      <c r="GRF5" s="1962"/>
      <c r="GRG5" s="1962"/>
      <c r="GRH5" s="1962"/>
      <c r="GRI5" s="1962"/>
      <c r="GRJ5" s="1962"/>
      <c r="GRK5" s="1962"/>
      <c r="GRL5" s="1962"/>
      <c r="GRM5" s="1962"/>
      <c r="GRN5" s="1962"/>
      <c r="GRO5" s="1962"/>
      <c r="GRP5" s="1962"/>
      <c r="GRQ5" s="1962"/>
      <c r="GRR5" s="1962"/>
      <c r="GRS5" s="1962"/>
      <c r="GRT5" s="1962"/>
      <c r="GRU5" s="1962"/>
      <c r="GRV5" s="1962"/>
      <c r="GRW5" s="1962"/>
      <c r="GRX5" s="1962"/>
      <c r="GRY5" s="1962"/>
      <c r="GRZ5" s="1962"/>
      <c r="GSA5" s="1962"/>
      <c r="GSB5" s="1962"/>
      <c r="GSC5" s="1962"/>
      <c r="GSD5" s="1962"/>
      <c r="GSE5" s="1962"/>
      <c r="GSF5" s="1962"/>
      <c r="GSG5" s="1962"/>
      <c r="GSH5" s="1962"/>
      <c r="GSI5" s="1962"/>
      <c r="GSJ5" s="1962"/>
      <c r="GSK5" s="1962"/>
      <c r="GSL5" s="1962"/>
      <c r="GSM5" s="1962"/>
      <c r="GSN5" s="1962"/>
      <c r="GSO5" s="1962"/>
      <c r="GSP5" s="1962"/>
      <c r="GSQ5" s="1962"/>
      <c r="GSR5" s="1962"/>
      <c r="GSS5" s="1962"/>
      <c r="GST5" s="1962"/>
      <c r="GSU5" s="1962"/>
      <c r="GSV5" s="1962"/>
      <c r="GSW5" s="1962"/>
      <c r="GSX5" s="1962"/>
      <c r="GSY5" s="1962"/>
      <c r="GSZ5" s="1962"/>
      <c r="GTA5" s="1962"/>
      <c r="GTB5" s="1962"/>
      <c r="GTC5" s="1962"/>
      <c r="GTD5" s="1962"/>
      <c r="GTE5" s="1962"/>
      <c r="GTF5" s="1962"/>
      <c r="GTG5" s="1962"/>
      <c r="GTH5" s="1962"/>
      <c r="GTI5" s="1962"/>
      <c r="GTJ5" s="1962"/>
      <c r="GTK5" s="1962"/>
      <c r="GTL5" s="1962"/>
      <c r="GTM5" s="1962"/>
      <c r="GTN5" s="1962"/>
      <c r="GTO5" s="1962"/>
      <c r="GTP5" s="1962"/>
      <c r="GTQ5" s="1962"/>
      <c r="GTR5" s="1962"/>
      <c r="GTS5" s="1962"/>
      <c r="GTT5" s="1962"/>
      <c r="GTU5" s="1962"/>
      <c r="GTV5" s="1962"/>
      <c r="GTW5" s="1962"/>
      <c r="GTX5" s="1962"/>
      <c r="GTY5" s="1962"/>
      <c r="GTZ5" s="1962"/>
      <c r="GUA5" s="1962"/>
      <c r="GUB5" s="1962"/>
      <c r="GUC5" s="1962"/>
      <c r="GUD5" s="1962"/>
      <c r="GUE5" s="1962"/>
      <c r="GUF5" s="1962"/>
      <c r="GUG5" s="1962"/>
      <c r="GUH5" s="1962"/>
      <c r="GUI5" s="1962"/>
      <c r="GUJ5" s="1962"/>
      <c r="GUK5" s="1962"/>
      <c r="GUL5" s="1962"/>
      <c r="GUM5" s="1962"/>
      <c r="GUN5" s="1962"/>
      <c r="GUO5" s="1962"/>
      <c r="GUP5" s="1962"/>
      <c r="GUQ5" s="1962"/>
      <c r="GUR5" s="1962"/>
      <c r="GUS5" s="1962"/>
      <c r="GUT5" s="1962"/>
      <c r="GUU5" s="1962"/>
      <c r="GUV5" s="1962"/>
      <c r="GUW5" s="1962"/>
      <c r="GUX5" s="1962"/>
      <c r="GUY5" s="1962"/>
      <c r="GUZ5" s="1962"/>
      <c r="GVA5" s="1962"/>
      <c r="GVB5" s="1962"/>
      <c r="GVC5" s="1962"/>
      <c r="GVD5" s="1962"/>
      <c r="GVE5" s="1962"/>
      <c r="GVF5" s="1962"/>
      <c r="GVG5" s="1962"/>
      <c r="GVH5" s="1962"/>
      <c r="GVI5" s="1962"/>
      <c r="GVJ5" s="1962"/>
      <c r="GVK5" s="1962"/>
      <c r="GVL5" s="1962"/>
      <c r="GVM5" s="1962"/>
      <c r="GVN5" s="1962"/>
      <c r="GVO5" s="1962"/>
      <c r="GVP5" s="1962"/>
      <c r="GVQ5" s="1962"/>
      <c r="GVR5" s="1962"/>
      <c r="GVS5" s="1962"/>
      <c r="GVT5" s="1962"/>
      <c r="GVU5" s="1962"/>
      <c r="GVV5" s="1962"/>
      <c r="GVW5" s="1962"/>
      <c r="GVX5" s="1962"/>
      <c r="GVY5" s="1962"/>
      <c r="GVZ5" s="1962"/>
      <c r="GWA5" s="1962"/>
      <c r="GWB5" s="1962"/>
      <c r="GWC5" s="1962"/>
      <c r="GWD5" s="1962"/>
      <c r="GWE5" s="1962"/>
      <c r="GWF5" s="1962"/>
      <c r="GWG5" s="1962"/>
      <c r="GWH5" s="1962"/>
      <c r="GWI5" s="1962"/>
      <c r="GWJ5" s="1962"/>
      <c r="GWK5" s="1962"/>
      <c r="GWL5" s="1962"/>
      <c r="GWM5" s="1962"/>
      <c r="GWN5" s="1962"/>
      <c r="GWO5" s="1962"/>
      <c r="GWP5" s="1962"/>
      <c r="GWQ5" s="1962"/>
      <c r="GWR5" s="1962"/>
      <c r="GWS5" s="1962"/>
      <c r="GWT5" s="1962"/>
      <c r="GWU5" s="1962"/>
      <c r="GWV5" s="1962"/>
      <c r="GWW5" s="1962"/>
      <c r="GWX5" s="1962"/>
      <c r="GWY5" s="1962"/>
      <c r="GWZ5" s="1962"/>
      <c r="GXA5" s="1962"/>
      <c r="GXB5" s="1962"/>
      <c r="GXC5" s="1962"/>
      <c r="GXD5" s="1962"/>
      <c r="GXE5" s="1962"/>
      <c r="GXF5" s="1962"/>
      <c r="GXG5" s="1962"/>
      <c r="GXH5" s="1962"/>
      <c r="GXI5" s="1962"/>
      <c r="GXJ5" s="1962"/>
      <c r="GXK5" s="1962"/>
      <c r="GXL5" s="1962"/>
      <c r="GXM5" s="1962"/>
      <c r="GXN5" s="1962"/>
      <c r="GXO5" s="1962"/>
      <c r="GXP5" s="1962"/>
      <c r="GXQ5" s="1962"/>
      <c r="GXR5" s="1962"/>
      <c r="GXS5" s="1962"/>
      <c r="GXT5" s="1962"/>
      <c r="GXU5" s="1962"/>
      <c r="GXV5" s="1962"/>
      <c r="GXW5" s="1962"/>
      <c r="GXX5" s="1962"/>
      <c r="GXY5" s="1962"/>
      <c r="GXZ5" s="1962"/>
      <c r="GYA5" s="1962"/>
      <c r="GYB5" s="1962"/>
      <c r="GYC5" s="1962"/>
      <c r="GYD5" s="1962"/>
      <c r="GYE5" s="1962"/>
      <c r="GYF5" s="1962"/>
      <c r="GYG5" s="1962"/>
      <c r="GYH5" s="1962"/>
      <c r="GYI5" s="1962"/>
      <c r="GYJ5" s="1962"/>
      <c r="GYK5" s="1962"/>
      <c r="GYL5" s="1962"/>
      <c r="GYM5" s="1962"/>
      <c r="GYN5" s="1962"/>
      <c r="GYO5" s="1962"/>
      <c r="GYP5" s="1962"/>
      <c r="GYQ5" s="1962"/>
      <c r="GYR5" s="1962"/>
      <c r="GYS5" s="1962"/>
      <c r="GYT5" s="1962"/>
      <c r="GYU5" s="1962"/>
      <c r="GYV5" s="1962"/>
      <c r="GYW5" s="1962"/>
      <c r="GYX5" s="1962"/>
      <c r="GYY5" s="1962"/>
      <c r="GYZ5" s="1962"/>
      <c r="GZA5" s="1962"/>
      <c r="GZB5" s="1962"/>
      <c r="GZC5" s="1962"/>
      <c r="GZD5" s="1962"/>
      <c r="GZE5" s="1962"/>
      <c r="GZF5" s="1962"/>
      <c r="GZG5" s="1962"/>
      <c r="GZH5" s="1962"/>
      <c r="GZI5" s="1962"/>
      <c r="GZJ5" s="1962"/>
      <c r="GZK5" s="1962"/>
      <c r="GZL5" s="1962"/>
      <c r="GZM5" s="1962"/>
      <c r="GZN5" s="1962"/>
      <c r="GZO5" s="1962"/>
      <c r="GZP5" s="1962"/>
      <c r="GZQ5" s="1962"/>
      <c r="GZR5" s="1962"/>
      <c r="GZS5" s="1962"/>
      <c r="GZT5" s="1962"/>
      <c r="GZU5" s="1962"/>
      <c r="GZV5" s="1962"/>
      <c r="GZW5" s="1962"/>
      <c r="GZX5" s="1962"/>
      <c r="GZY5" s="1962"/>
      <c r="GZZ5" s="1962"/>
      <c r="HAA5" s="1962"/>
      <c r="HAB5" s="1962"/>
      <c r="HAC5" s="1962"/>
      <c r="HAD5" s="1962"/>
      <c r="HAE5" s="1962"/>
      <c r="HAF5" s="1962"/>
      <c r="HAG5" s="1962"/>
      <c r="HAH5" s="1962"/>
      <c r="HAI5" s="1962"/>
      <c r="HAJ5" s="1962"/>
      <c r="HAK5" s="1962"/>
      <c r="HAL5" s="1962"/>
      <c r="HAM5" s="1962"/>
      <c r="HAN5" s="1962"/>
      <c r="HAO5" s="1962"/>
      <c r="HAP5" s="1962"/>
      <c r="HAQ5" s="1962"/>
      <c r="HAR5" s="1962"/>
      <c r="HAS5" s="1962"/>
      <c r="HAT5" s="1962"/>
      <c r="HAU5" s="1962"/>
      <c r="HAV5" s="1962"/>
      <c r="HAW5" s="1962"/>
      <c r="HAX5" s="1962"/>
      <c r="HAY5" s="1962"/>
      <c r="HAZ5" s="1962"/>
      <c r="HBA5" s="1962"/>
      <c r="HBB5" s="1962"/>
      <c r="HBC5" s="1962"/>
      <c r="HBD5" s="1962"/>
      <c r="HBE5" s="1962"/>
      <c r="HBF5" s="1962"/>
      <c r="HBG5" s="1962"/>
      <c r="HBH5" s="1962"/>
      <c r="HBI5" s="1962"/>
      <c r="HBJ5" s="1962"/>
      <c r="HBK5" s="1962"/>
      <c r="HBL5" s="1962"/>
      <c r="HBM5" s="1962"/>
      <c r="HBN5" s="1962"/>
      <c r="HBO5" s="1962"/>
      <c r="HBP5" s="1962"/>
      <c r="HBQ5" s="1962"/>
      <c r="HBR5" s="1962"/>
      <c r="HBS5" s="1962"/>
      <c r="HBT5" s="1962"/>
      <c r="HBU5" s="1962"/>
      <c r="HBV5" s="1962"/>
      <c r="HBW5" s="1962"/>
      <c r="HBX5" s="1962"/>
      <c r="HBY5" s="1962"/>
      <c r="HBZ5" s="1962"/>
      <c r="HCA5" s="1962"/>
      <c r="HCB5" s="1962"/>
      <c r="HCC5" s="1962"/>
      <c r="HCD5" s="1962"/>
      <c r="HCE5" s="1962"/>
      <c r="HCF5" s="1962"/>
      <c r="HCG5" s="1962"/>
      <c r="HCH5" s="1962"/>
      <c r="HCI5" s="1962"/>
      <c r="HCJ5" s="1962"/>
      <c r="HCK5" s="1962"/>
      <c r="HCL5" s="1962"/>
      <c r="HCM5" s="1962"/>
      <c r="HCN5" s="1962"/>
      <c r="HCO5" s="1962"/>
      <c r="HCP5" s="1962"/>
      <c r="HCQ5" s="1962"/>
      <c r="HCR5" s="1962"/>
      <c r="HCS5" s="1962"/>
      <c r="HCT5" s="1962"/>
      <c r="HCU5" s="1962"/>
      <c r="HCV5" s="1962"/>
      <c r="HCW5" s="1962"/>
      <c r="HCX5" s="1962"/>
      <c r="HCY5" s="1962"/>
      <c r="HCZ5" s="1962"/>
      <c r="HDA5" s="1962"/>
      <c r="HDB5" s="1962"/>
      <c r="HDC5" s="1962"/>
      <c r="HDD5" s="1962"/>
      <c r="HDE5" s="1962"/>
      <c r="HDF5" s="1962"/>
      <c r="HDG5" s="1962"/>
      <c r="HDH5" s="1962"/>
      <c r="HDI5" s="1962"/>
      <c r="HDJ5" s="1962"/>
      <c r="HDK5" s="1962"/>
      <c r="HDL5" s="1962"/>
      <c r="HDM5" s="1962"/>
      <c r="HDN5" s="1962"/>
      <c r="HDO5" s="1962"/>
      <c r="HDP5" s="1962"/>
      <c r="HDQ5" s="1962"/>
      <c r="HDR5" s="1962"/>
      <c r="HDS5" s="1962"/>
      <c r="HDT5" s="1962"/>
      <c r="HDU5" s="1962"/>
      <c r="HDV5" s="1962"/>
      <c r="HDW5" s="1962"/>
      <c r="HDX5" s="1962"/>
      <c r="HDY5" s="1962"/>
      <c r="HDZ5" s="1962"/>
      <c r="HEA5" s="1962"/>
      <c r="HEB5" s="1962"/>
      <c r="HEC5" s="1962"/>
      <c r="HED5" s="1962"/>
      <c r="HEE5" s="1962"/>
      <c r="HEF5" s="1962"/>
      <c r="HEG5" s="1962"/>
      <c r="HEH5" s="1962"/>
      <c r="HEI5" s="1962"/>
      <c r="HEJ5" s="1962"/>
      <c r="HEK5" s="1962"/>
      <c r="HEL5" s="1962"/>
      <c r="HEM5" s="1962"/>
      <c r="HEN5" s="1962"/>
      <c r="HEO5" s="1962"/>
      <c r="HEP5" s="1962"/>
      <c r="HEQ5" s="1962"/>
      <c r="HER5" s="1962"/>
      <c r="HES5" s="1962"/>
      <c r="HET5" s="1962"/>
      <c r="HEU5" s="1962"/>
      <c r="HEV5" s="1962"/>
      <c r="HEW5" s="1962"/>
      <c r="HEX5" s="1962"/>
      <c r="HEY5" s="1962"/>
      <c r="HEZ5" s="1962"/>
      <c r="HFA5" s="1962"/>
      <c r="HFB5" s="1962"/>
      <c r="HFC5" s="1962"/>
      <c r="HFD5" s="1962"/>
      <c r="HFE5" s="1962"/>
      <c r="HFF5" s="1962"/>
      <c r="HFG5" s="1962"/>
      <c r="HFH5" s="1962"/>
      <c r="HFI5" s="1962"/>
      <c r="HFJ5" s="1962"/>
      <c r="HFK5" s="1962"/>
      <c r="HFL5" s="1962"/>
      <c r="HFM5" s="1962"/>
      <c r="HFN5" s="1962"/>
      <c r="HFO5" s="1962"/>
      <c r="HFP5" s="1962"/>
      <c r="HFQ5" s="1962"/>
      <c r="HFR5" s="1962"/>
      <c r="HFS5" s="1962"/>
      <c r="HFT5" s="1962"/>
      <c r="HFU5" s="1962"/>
      <c r="HFV5" s="1962"/>
      <c r="HFW5" s="1962"/>
      <c r="HFX5" s="1962"/>
      <c r="HFY5" s="1962"/>
      <c r="HFZ5" s="1962"/>
      <c r="HGA5" s="1962"/>
      <c r="HGB5" s="1962"/>
      <c r="HGC5" s="1962"/>
      <c r="HGD5" s="1962"/>
      <c r="HGE5" s="1962"/>
      <c r="HGF5" s="1962"/>
      <c r="HGG5" s="1962"/>
      <c r="HGH5" s="1962"/>
      <c r="HGI5" s="1962"/>
      <c r="HGJ5" s="1962"/>
      <c r="HGK5" s="1962"/>
      <c r="HGL5" s="1962"/>
      <c r="HGM5" s="1962"/>
      <c r="HGN5" s="1962"/>
      <c r="HGO5" s="1962"/>
      <c r="HGP5" s="1962"/>
      <c r="HGQ5" s="1962"/>
      <c r="HGR5" s="1962"/>
      <c r="HGS5" s="1962"/>
      <c r="HGT5" s="1962"/>
      <c r="HGU5" s="1962"/>
      <c r="HGV5" s="1962"/>
      <c r="HGW5" s="1962"/>
      <c r="HGX5" s="1962"/>
      <c r="HGY5" s="1962"/>
      <c r="HGZ5" s="1962"/>
      <c r="HHA5" s="1962"/>
      <c r="HHB5" s="1962"/>
      <c r="HHC5" s="1962"/>
      <c r="HHD5" s="1962"/>
      <c r="HHE5" s="1962"/>
      <c r="HHF5" s="1962"/>
      <c r="HHG5" s="1962"/>
      <c r="HHH5" s="1962"/>
      <c r="HHI5" s="1962"/>
      <c r="HHJ5" s="1962"/>
      <c r="HHK5" s="1962"/>
      <c r="HHL5" s="1962"/>
      <c r="HHM5" s="1962"/>
      <c r="HHN5" s="1962"/>
      <c r="HHO5" s="1962"/>
      <c r="HHP5" s="1962"/>
      <c r="HHQ5" s="1962"/>
      <c r="HHR5" s="1962"/>
      <c r="HHS5" s="1962"/>
      <c r="HHT5" s="1962"/>
      <c r="HHU5" s="1962"/>
      <c r="HHV5" s="1962"/>
      <c r="HHW5" s="1962"/>
      <c r="HHX5" s="1962"/>
      <c r="HHY5" s="1962"/>
      <c r="HHZ5" s="1962"/>
      <c r="HIA5" s="1962"/>
      <c r="HIB5" s="1962"/>
      <c r="HIC5" s="1962"/>
      <c r="HID5" s="1962"/>
      <c r="HIE5" s="1962"/>
      <c r="HIF5" s="1962"/>
      <c r="HIG5" s="1962"/>
      <c r="HIH5" s="1962"/>
      <c r="HII5" s="1962"/>
      <c r="HIJ5" s="1962"/>
      <c r="HIK5" s="1962"/>
      <c r="HIL5" s="1962"/>
      <c r="HIM5" s="1962"/>
      <c r="HIN5" s="1962"/>
      <c r="HIO5" s="1962"/>
      <c r="HIP5" s="1962"/>
      <c r="HIQ5" s="1962"/>
      <c r="HIR5" s="1962"/>
      <c r="HIS5" s="1962"/>
      <c r="HIT5" s="1962"/>
      <c r="HIU5" s="1962"/>
      <c r="HIV5" s="1962"/>
      <c r="HIW5" s="1962"/>
      <c r="HIX5" s="1962"/>
      <c r="HIY5" s="1962"/>
      <c r="HIZ5" s="1962"/>
      <c r="HJA5" s="1962"/>
      <c r="HJB5" s="1962"/>
      <c r="HJC5" s="1962"/>
      <c r="HJD5" s="1962"/>
      <c r="HJE5" s="1962"/>
      <c r="HJF5" s="1962"/>
      <c r="HJG5" s="1962"/>
      <c r="HJH5" s="1962"/>
      <c r="HJI5" s="1962"/>
      <c r="HJJ5" s="1962"/>
      <c r="HJK5" s="1962"/>
      <c r="HJL5" s="1962"/>
      <c r="HJM5" s="1962"/>
      <c r="HJN5" s="1962"/>
      <c r="HJO5" s="1962"/>
      <c r="HJP5" s="1962"/>
      <c r="HJQ5" s="1962"/>
      <c r="HJR5" s="1962"/>
      <c r="HJS5" s="1962"/>
      <c r="HJT5" s="1962"/>
      <c r="HJU5" s="1962"/>
      <c r="HJV5" s="1962"/>
      <c r="HJW5" s="1962"/>
      <c r="HJX5" s="1962"/>
      <c r="HJY5" s="1962"/>
      <c r="HJZ5" s="1962"/>
      <c r="HKA5" s="1962"/>
      <c r="HKB5" s="1962"/>
      <c r="HKC5" s="1962"/>
      <c r="HKD5" s="1962"/>
      <c r="HKE5" s="1962"/>
      <c r="HKF5" s="1962"/>
      <c r="HKG5" s="1962"/>
      <c r="HKH5" s="1962"/>
      <c r="HKI5" s="1962"/>
      <c r="HKJ5" s="1962"/>
      <c r="HKK5" s="1962"/>
      <c r="HKL5" s="1962"/>
      <c r="HKM5" s="1962"/>
      <c r="HKN5" s="1962"/>
      <c r="HKO5" s="1962"/>
      <c r="HKP5" s="1962"/>
      <c r="HKQ5" s="1962"/>
      <c r="HKR5" s="1962"/>
      <c r="HKS5" s="1962"/>
      <c r="HKT5" s="1962"/>
      <c r="HKU5" s="1962"/>
      <c r="HKV5" s="1962"/>
      <c r="HKW5" s="1962"/>
      <c r="HKX5" s="1962"/>
      <c r="HKY5" s="1962"/>
      <c r="HKZ5" s="1962"/>
      <c r="HLA5" s="1962"/>
      <c r="HLB5" s="1962"/>
      <c r="HLC5" s="1962"/>
      <c r="HLD5" s="1962"/>
      <c r="HLE5" s="1962"/>
      <c r="HLF5" s="1962"/>
      <c r="HLG5" s="1962"/>
      <c r="HLH5" s="1962"/>
      <c r="HLI5" s="1962"/>
      <c r="HLJ5" s="1962"/>
      <c r="HLK5" s="1962"/>
      <c r="HLL5" s="1962"/>
      <c r="HLM5" s="1962"/>
      <c r="HLN5" s="1962"/>
      <c r="HLO5" s="1962"/>
      <c r="HLP5" s="1962"/>
      <c r="HLQ5" s="1962"/>
      <c r="HLR5" s="1962"/>
      <c r="HLS5" s="1962"/>
      <c r="HLT5" s="1962"/>
      <c r="HLU5" s="1962"/>
      <c r="HLV5" s="1962"/>
      <c r="HLW5" s="1962"/>
      <c r="HLX5" s="1962"/>
      <c r="HLY5" s="1962"/>
      <c r="HLZ5" s="1962"/>
      <c r="HMA5" s="1962"/>
      <c r="HMB5" s="1962"/>
      <c r="HMC5" s="1962"/>
      <c r="HMD5" s="1962"/>
      <c r="HME5" s="1962"/>
      <c r="HMF5" s="1962"/>
      <c r="HMG5" s="1962"/>
      <c r="HMH5" s="1962"/>
      <c r="HMI5" s="1962"/>
      <c r="HMJ5" s="1962"/>
      <c r="HMK5" s="1962"/>
      <c r="HML5" s="1962"/>
      <c r="HMM5" s="1962"/>
      <c r="HMN5" s="1962"/>
      <c r="HMO5" s="1962"/>
      <c r="HMP5" s="1962"/>
      <c r="HMQ5" s="1962"/>
      <c r="HMR5" s="1962"/>
      <c r="HMS5" s="1962"/>
      <c r="HMT5" s="1962"/>
      <c r="HMU5" s="1962"/>
      <c r="HMV5" s="1962"/>
      <c r="HMW5" s="1962"/>
      <c r="HMX5" s="1962"/>
      <c r="HMY5" s="1962"/>
      <c r="HMZ5" s="1962"/>
      <c r="HNA5" s="1962"/>
      <c r="HNB5" s="1962"/>
      <c r="HNC5" s="1962"/>
      <c r="HND5" s="1962"/>
      <c r="HNE5" s="1962"/>
      <c r="HNF5" s="1962"/>
      <c r="HNG5" s="1962"/>
      <c r="HNH5" s="1962"/>
      <c r="HNI5" s="1962"/>
      <c r="HNJ5" s="1962"/>
      <c r="HNK5" s="1962"/>
      <c r="HNL5" s="1962"/>
      <c r="HNM5" s="1962"/>
      <c r="HNN5" s="1962"/>
      <c r="HNO5" s="1962"/>
      <c r="HNP5" s="1962"/>
      <c r="HNQ5" s="1962"/>
      <c r="HNR5" s="1962"/>
      <c r="HNS5" s="1962"/>
      <c r="HNT5" s="1962"/>
      <c r="HNU5" s="1962"/>
      <c r="HNV5" s="1962"/>
      <c r="HNW5" s="1962"/>
      <c r="HNX5" s="1962"/>
      <c r="HNY5" s="1962"/>
      <c r="HNZ5" s="1962"/>
      <c r="HOA5" s="1962"/>
      <c r="HOB5" s="1962"/>
      <c r="HOC5" s="1962"/>
      <c r="HOD5" s="1962"/>
      <c r="HOE5" s="1962"/>
      <c r="HOF5" s="1962"/>
      <c r="HOG5" s="1962"/>
      <c r="HOH5" s="1962"/>
      <c r="HOI5" s="1962"/>
      <c r="HOJ5" s="1962"/>
      <c r="HOK5" s="1962"/>
      <c r="HOL5" s="1962"/>
      <c r="HOM5" s="1962"/>
      <c r="HON5" s="1962"/>
      <c r="HOO5" s="1962"/>
      <c r="HOP5" s="1962"/>
      <c r="HOQ5" s="1962"/>
      <c r="HOR5" s="1962"/>
      <c r="HOS5" s="1962"/>
      <c r="HOT5" s="1962"/>
      <c r="HOU5" s="1962"/>
      <c r="HOV5" s="1962"/>
      <c r="HOW5" s="1962"/>
      <c r="HOX5" s="1962"/>
      <c r="HOY5" s="1962"/>
      <c r="HOZ5" s="1962"/>
      <c r="HPA5" s="1962"/>
      <c r="HPB5" s="1962"/>
      <c r="HPC5" s="1962"/>
      <c r="HPD5" s="1962"/>
      <c r="HPE5" s="1962"/>
      <c r="HPF5" s="1962"/>
      <c r="HPG5" s="1962"/>
      <c r="HPH5" s="1962"/>
      <c r="HPI5" s="1962"/>
      <c r="HPJ5" s="1962"/>
      <c r="HPK5" s="1962"/>
      <c r="HPL5" s="1962"/>
      <c r="HPM5" s="1962"/>
      <c r="HPN5" s="1962"/>
      <c r="HPO5" s="1962"/>
      <c r="HPP5" s="1962"/>
      <c r="HPQ5" s="1962"/>
      <c r="HPR5" s="1962"/>
      <c r="HPS5" s="1962"/>
      <c r="HPT5" s="1962"/>
      <c r="HPU5" s="1962"/>
      <c r="HPV5" s="1962"/>
      <c r="HPW5" s="1962"/>
      <c r="HPX5" s="1962"/>
      <c r="HPY5" s="1962"/>
      <c r="HPZ5" s="1962"/>
      <c r="HQA5" s="1962"/>
      <c r="HQB5" s="1962"/>
      <c r="HQC5" s="1962"/>
      <c r="HQD5" s="1962"/>
      <c r="HQE5" s="1962"/>
      <c r="HQF5" s="1962"/>
      <c r="HQG5" s="1962"/>
      <c r="HQH5" s="1962"/>
      <c r="HQI5" s="1962"/>
      <c r="HQJ5" s="1962"/>
      <c r="HQK5" s="1962"/>
      <c r="HQL5" s="1962"/>
      <c r="HQM5" s="1962"/>
      <c r="HQN5" s="1962"/>
      <c r="HQO5" s="1962"/>
      <c r="HQP5" s="1962"/>
      <c r="HQQ5" s="1962"/>
      <c r="HQR5" s="1962"/>
      <c r="HQS5" s="1962"/>
      <c r="HQT5" s="1962"/>
      <c r="HQU5" s="1962"/>
      <c r="HQV5" s="1962"/>
      <c r="HQW5" s="1962"/>
      <c r="HQX5" s="1962"/>
      <c r="HQY5" s="1962"/>
      <c r="HQZ5" s="1962"/>
      <c r="HRA5" s="1962"/>
      <c r="HRB5" s="1962"/>
      <c r="HRC5" s="1962"/>
      <c r="HRD5" s="1962"/>
      <c r="HRE5" s="1962"/>
      <c r="HRF5" s="1962"/>
      <c r="HRG5" s="1962"/>
      <c r="HRH5" s="1962"/>
      <c r="HRI5" s="1962"/>
      <c r="HRJ5" s="1962"/>
      <c r="HRK5" s="1962"/>
      <c r="HRL5" s="1962"/>
      <c r="HRM5" s="1962"/>
      <c r="HRN5" s="1962"/>
      <c r="HRO5" s="1962"/>
      <c r="HRP5" s="1962"/>
      <c r="HRQ5" s="1962"/>
      <c r="HRR5" s="1962"/>
      <c r="HRS5" s="1962"/>
      <c r="HRT5" s="1962"/>
      <c r="HRU5" s="1962"/>
      <c r="HRV5" s="1962"/>
      <c r="HRW5" s="1962"/>
      <c r="HRX5" s="1962"/>
      <c r="HRY5" s="1962"/>
      <c r="HRZ5" s="1962"/>
      <c r="HSA5" s="1962"/>
      <c r="HSB5" s="1962"/>
      <c r="HSC5" s="1962"/>
      <c r="HSD5" s="1962"/>
      <c r="HSE5" s="1962"/>
      <c r="HSF5" s="1962"/>
      <c r="HSG5" s="1962"/>
      <c r="HSH5" s="1962"/>
      <c r="HSI5" s="1962"/>
      <c r="HSJ5" s="1962"/>
      <c r="HSK5" s="1962"/>
      <c r="HSL5" s="1962"/>
      <c r="HSM5" s="1962"/>
      <c r="HSN5" s="1962"/>
      <c r="HSO5" s="1962"/>
      <c r="HSP5" s="1962"/>
      <c r="HSQ5" s="1962"/>
      <c r="HSR5" s="1962"/>
      <c r="HSS5" s="1962"/>
      <c r="HST5" s="1962"/>
      <c r="HSU5" s="1962"/>
      <c r="HSV5" s="1962"/>
      <c r="HSW5" s="1962"/>
      <c r="HSX5" s="1962"/>
      <c r="HSY5" s="1962"/>
      <c r="HSZ5" s="1962"/>
      <c r="HTA5" s="1962"/>
      <c r="HTB5" s="1962"/>
      <c r="HTC5" s="1962"/>
      <c r="HTD5" s="1962"/>
      <c r="HTE5" s="1962"/>
      <c r="HTF5" s="1962"/>
      <c r="HTG5" s="1962"/>
      <c r="HTH5" s="1962"/>
      <c r="HTI5" s="1962"/>
      <c r="HTJ5" s="1962"/>
      <c r="HTK5" s="1962"/>
      <c r="HTL5" s="1962"/>
      <c r="HTM5" s="1962"/>
      <c r="HTN5" s="1962"/>
      <c r="HTO5" s="1962"/>
      <c r="HTP5" s="1962"/>
      <c r="HTQ5" s="1962"/>
      <c r="HTR5" s="1962"/>
      <c r="HTS5" s="1962"/>
      <c r="HTT5" s="1962"/>
      <c r="HTU5" s="1962"/>
      <c r="HTV5" s="1962"/>
      <c r="HTW5" s="1962"/>
      <c r="HTX5" s="1962"/>
      <c r="HTY5" s="1962"/>
      <c r="HTZ5" s="1962"/>
      <c r="HUA5" s="1962"/>
      <c r="HUB5" s="1962"/>
      <c r="HUC5" s="1962"/>
      <c r="HUD5" s="1962"/>
      <c r="HUE5" s="1962"/>
      <c r="HUF5" s="1962"/>
      <c r="HUG5" s="1962"/>
      <c r="HUH5" s="1962"/>
      <c r="HUI5" s="1962"/>
      <c r="HUJ5" s="1962"/>
      <c r="HUK5" s="1962"/>
      <c r="HUL5" s="1962"/>
      <c r="HUM5" s="1962"/>
      <c r="HUN5" s="1962"/>
      <c r="HUO5" s="1962"/>
      <c r="HUP5" s="1962"/>
      <c r="HUQ5" s="1962"/>
      <c r="HUR5" s="1962"/>
      <c r="HUS5" s="1962"/>
      <c r="HUT5" s="1962"/>
      <c r="HUU5" s="1962"/>
      <c r="HUV5" s="1962"/>
      <c r="HUW5" s="1962"/>
      <c r="HUX5" s="1962"/>
      <c r="HUY5" s="1962"/>
      <c r="HUZ5" s="1962"/>
      <c r="HVA5" s="1962"/>
      <c r="HVB5" s="1962"/>
      <c r="HVC5" s="1962"/>
      <c r="HVD5" s="1962"/>
      <c r="HVE5" s="1962"/>
      <c r="HVF5" s="1962"/>
      <c r="HVG5" s="1962"/>
      <c r="HVH5" s="1962"/>
      <c r="HVI5" s="1962"/>
      <c r="HVJ5" s="1962"/>
      <c r="HVK5" s="1962"/>
      <c r="HVL5" s="1962"/>
      <c r="HVM5" s="1962"/>
      <c r="HVN5" s="1962"/>
      <c r="HVO5" s="1962"/>
      <c r="HVP5" s="1962"/>
      <c r="HVQ5" s="1962"/>
      <c r="HVR5" s="1962"/>
      <c r="HVS5" s="1962"/>
      <c r="HVT5" s="1962"/>
      <c r="HVU5" s="1962"/>
      <c r="HVV5" s="1962"/>
      <c r="HVW5" s="1962"/>
      <c r="HVX5" s="1962"/>
      <c r="HVY5" s="1962"/>
      <c r="HVZ5" s="1962"/>
      <c r="HWA5" s="1962"/>
      <c r="HWB5" s="1962"/>
      <c r="HWC5" s="1962"/>
      <c r="HWD5" s="1962"/>
      <c r="HWE5" s="1962"/>
      <c r="HWF5" s="1962"/>
      <c r="HWG5" s="1962"/>
      <c r="HWH5" s="1962"/>
      <c r="HWI5" s="1962"/>
      <c r="HWJ5" s="1962"/>
      <c r="HWK5" s="1962"/>
      <c r="HWL5" s="1962"/>
      <c r="HWM5" s="1962"/>
      <c r="HWN5" s="1962"/>
      <c r="HWO5" s="1962"/>
      <c r="HWP5" s="1962"/>
      <c r="HWQ5" s="1962"/>
      <c r="HWR5" s="1962"/>
      <c r="HWS5" s="1962"/>
      <c r="HWT5" s="1962"/>
      <c r="HWU5" s="1962"/>
      <c r="HWV5" s="1962"/>
      <c r="HWW5" s="1962"/>
      <c r="HWX5" s="1962"/>
      <c r="HWY5" s="1962"/>
      <c r="HWZ5" s="1962"/>
      <c r="HXA5" s="1962"/>
      <c r="HXB5" s="1962"/>
      <c r="HXC5" s="1962"/>
      <c r="HXD5" s="1962"/>
      <c r="HXE5" s="1962"/>
      <c r="HXF5" s="1962"/>
      <c r="HXG5" s="1962"/>
      <c r="HXH5" s="1962"/>
      <c r="HXI5" s="1962"/>
      <c r="HXJ5" s="1962"/>
      <c r="HXK5" s="1962"/>
      <c r="HXL5" s="1962"/>
      <c r="HXM5" s="1962"/>
      <c r="HXN5" s="1962"/>
      <c r="HXO5" s="1962"/>
      <c r="HXP5" s="1962"/>
      <c r="HXQ5" s="1962"/>
      <c r="HXR5" s="1962"/>
      <c r="HXS5" s="1962"/>
      <c r="HXT5" s="1962"/>
      <c r="HXU5" s="1962"/>
      <c r="HXV5" s="1962"/>
      <c r="HXW5" s="1962"/>
      <c r="HXX5" s="1962"/>
      <c r="HXY5" s="1962"/>
      <c r="HXZ5" s="1962"/>
      <c r="HYA5" s="1962"/>
      <c r="HYB5" s="1962"/>
      <c r="HYC5" s="1962"/>
      <c r="HYD5" s="1962"/>
      <c r="HYE5" s="1962"/>
      <c r="HYF5" s="1962"/>
      <c r="HYG5" s="1962"/>
      <c r="HYH5" s="1962"/>
      <c r="HYI5" s="1962"/>
      <c r="HYJ5" s="1962"/>
      <c r="HYK5" s="1962"/>
      <c r="HYL5" s="1962"/>
      <c r="HYM5" s="1962"/>
      <c r="HYN5" s="1962"/>
      <c r="HYO5" s="1962"/>
      <c r="HYP5" s="1962"/>
      <c r="HYQ5" s="1962"/>
      <c r="HYR5" s="1962"/>
      <c r="HYS5" s="1962"/>
      <c r="HYT5" s="1962"/>
      <c r="HYU5" s="1962"/>
      <c r="HYV5" s="1962"/>
      <c r="HYW5" s="1962"/>
      <c r="HYX5" s="1962"/>
      <c r="HYY5" s="1962"/>
      <c r="HYZ5" s="1962"/>
      <c r="HZA5" s="1962"/>
      <c r="HZB5" s="1962"/>
      <c r="HZC5" s="1962"/>
      <c r="HZD5" s="1962"/>
      <c r="HZE5" s="1962"/>
      <c r="HZF5" s="1962"/>
      <c r="HZG5" s="1962"/>
      <c r="HZH5" s="1962"/>
      <c r="HZI5" s="1962"/>
      <c r="HZJ5" s="1962"/>
      <c r="HZK5" s="1962"/>
      <c r="HZL5" s="1962"/>
      <c r="HZM5" s="1962"/>
      <c r="HZN5" s="1962"/>
      <c r="HZO5" s="1962"/>
      <c r="HZP5" s="1962"/>
      <c r="HZQ5" s="1962"/>
      <c r="HZR5" s="1962"/>
      <c r="HZS5" s="1962"/>
      <c r="HZT5" s="1962"/>
      <c r="HZU5" s="1962"/>
      <c r="HZV5" s="1962"/>
      <c r="HZW5" s="1962"/>
      <c r="HZX5" s="1962"/>
      <c r="HZY5" s="1962"/>
      <c r="HZZ5" s="1962"/>
      <c r="IAA5" s="1962"/>
      <c r="IAB5" s="1962"/>
      <c r="IAC5" s="1962"/>
      <c r="IAD5" s="1962"/>
      <c r="IAE5" s="1962"/>
      <c r="IAF5" s="1962"/>
      <c r="IAG5" s="1962"/>
      <c r="IAH5" s="1962"/>
      <c r="IAI5" s="1962"/>
      <c r="IAJ5" s="1962"/>
      <c r="IAK5" s="1962"/>
      <c r="IAL5" s="1962"/>
      <c r="IAM5" s="1962"/>
      <c r="IAN5" s="1962"/>
      <c r="IAO5" s="1962"/>
      <c r="IAP5" s="1962"/>
      <c r="IAQ5" s="1962"/>
      <c r="IAR5" s="1962"/>
      <c r="IAS5" s="1962"/>
      <c r="IAT5" s="1962"/>
      <c r="IAU5" s="1962"/>
      <c r="IAV5" s="1962"/>
      <c r="IAW5" s="1962"/>
      <c r="IAX5" s="1962"/>
      <c r="IAY5" s="1962"/>
      <c r="IAZ5" s="1962"/>
      <c r="IBA5" s="1962"/>
      <c r="IBB5" s="1962"/>
      <c r="IBC5" s="1962"/>
      <c r="IBD5" s="1962"/>
      <c r="IBE5" s="1962"/>
      <c r="IBF5" s="1962"/>
      <c r="IBG5" s="1962"/>
      <c r="IBH5" s="1962"/>
      <c r="IBI5" s="1962"/>
      <c r="IBJ5" s="1962"/>
      <c r="IBK5" s="1962"/>
      <c r="IBL5" s="1962"/>
      <c r="IBM5" s="1962"/>
      <c r="IBN5" s="1962"/>
      <c r="IBO5" s="1962"/>
      <c r="IBP5" s="1962"/>
      <c r="IBQ5" s="1962"/>
      <c r="IBR5" s="1962"/>
      <c r="IBS5" s="1962"/>
      <c r="IBT5" s="1962"/>
      <c r="IBU5" s="1962"/>
      <c r="IBV5" s="1962"/>
      <c r="IBW5" s="1962"/>
      <c r="IBX5" s="1962"/>
      <c r="IBY5" s="1962"/>
      <c r="IBZ5" s="1962"/>
      <c r="ICA5" s="1962"/>
      <c r="ICB5" s="1962"/>
      <c r="ICC5" s="1962"/>
      <c r="ICD5" s="1962"/>
      <c r="ICE5" s="1962"/>
      <c r="ICF5" s="1962"/>
      <c r="ICG5" s="1962"/>
      <c r="ICH5" s="1962"/>
      <c r="ICI5" s="1962"/>
      <c r="ICJ5" s="1962"/>
      <c r="ICK5" s="1962"/>
      <c r="ICL5" s="1962"/>
      <c r="ICM5" s="1962"/>
      <c r="ICN5" s="1962"/>
      <c r="ICO5" s="1962"/>
      <c r="ICP5" s="1962"/>
      <c r="ICQ5" s="1962"/>
      <c r="ICR5" s="1962"/>
      <c r="ICS5" s="1962"/>
      <c r="ICT5" s="1962"/>
      <c r="ICU5" s="1962"/>
      <c r="ICV5" s="1962"/>
      <c r="ICW5" s="1962"/>
      <c r="ICX5" s="1962"/>
      <c r="ICY5" s="1962"/>
      <c r="ICZ5" s="1962"/>
      <c r="IDA5" s="1962"/>
      <c r="IDB5" s="1962"/>
      <c r="IDC5" s="1962"/>
      <c r="IDD5" s="1962"/>
      <c r="IDE5" s="1962"/>
      <c r="IDF5" s="1962"/>
      <c r="IDG5" s="1962"/>
      <c r="IDH5" s="1962"/>
      <c r="IDI5" s="1962"/>
      <c r="IDJ5" s="1962"/>
      <c r="IDK5" s="1962"/>
      <c r="IDL5" s="1962"/>
      <c r="IDM5" s="1962"/>
      <c r="IDN5" s="1962"/>
      <c r="IDO5" s="1962"/>
      <c r="IDP5" s="1962"/>
      <c r="IDQ5" s="1962"/>
      <c r="IDR5" s="1962"/>
      <c r="IDS5" s="1962"/>
      <c r="IDT5" s="1962"/>
      <c r="IDU5" s="1962"/>
      <c r="IDV5" s="1962"/>
      <c r="IDW5" s="1962"/>
      <c r="IDX5" s="1962"/>
      <c r="IDY5" s="1962"/>
      <c r="IDZ5" s="1962"/>
      <c r="IEA5" s="1962"/>
      <c r="IEB5" s="1962"/>
      <c r="IEC5" s="1962"/>
      <c r="IED5" s="1962"/>
      <c r="IEE5" s="1962"/>
      <c r="IEF5" s="1962"/>
      <c r="IEG5" s="1962"/>
      <c r="IEH5" s="1962"/>
      <c r="IEI5" s="1962"/>
      <c r="IEJ5" s="1962"/>
      <c r="IEK5" s="1962"/>
      <c r="IEL5" s="1962"/>
      <c r="IEM5" s="1962"/>
      <c r="IEN5" s="1962"/>
      <c r="IEO5" s="1962"/>
      <c r="IEP5" s="1962"/>
      <c r="IEQ5" s="1962"/>
      <c r="IER5" s="1962"/>
      <c r="IES5" s="1962"/>
      <c r="IET5" s="1962"/>
      <c r="IEU5" s="1962"/>
      <c r="IEV5" s="1962"/>
      <c r="IEW5" s="1962"/>
      <c r="IEX5" s="1962"/>
      <c r="IEY5" s="1962"/>
      <c r="IEZ5" s="1962"/>
      <c r="IFA5" s="1962"/>
      <c r="IFB5" s="1962"/>
      <c r="IFC5" s="1962"/>
      <c r="IFD5" s="1962"/>
      <c r="IFE5" s="1962"/>
      <c r="IFF5" s="1962"/>
      <c r="IFG5" s="1962"/>
      <c r="IFH5" s="1962"/>
      <c r="IFI5" s="1962"/>
      <c r="IFJ5" s="1962"/>
      <c r="IFK5" s="1962"/>
      <c r="IFL5" s="1962"/>
      <c r="IFM5" s="1962"/>
      <c r="IFN5" s="1962"/>
      <c r="IFO5" s="1962"/>
      <c r="IFP5" s="1962"/>
      <c r="IFQ5" s="1962"/>
      <c r="IFR5" s="1962"/>
      <c r="IFS5" s="1962"/>
      <c r="IFT5" s="1962"/>
      <c r="IFU5" s="1962"/>
      <c r="IFV5" s="1962"/>
      <c r="IFW5" s="1962"/>
      <c r="IFX5" s="1962"/>
      <c r="IFY5" s="1962"/>
      <c r="IFZ5" s="1962"/>
      <c r="IGA5" s="1962"/>
      <c r="IGB5" s="1962"/>
      <c r="IGC5" s="1962"/>
      <c r="IGD5" s="1962"/>
      <c r="IGE5" s="1962"/>
      <c r="IGF5" s="1962"/>
      <c r="IGG5" s="1962"/>
      <c r="IGH5" s="1962"/>
      <c r="IGI5" s="1962"/>
      <c r="IGJ5" s="1962"/>
      <c r="IGK5" s="1962"/>
      <c r="IGL5" s="1962"/>
      <c r="IGM5" s="1962"/>
      <c r="IGN5" s="1962"/>
      <c r="IGO5" s="1962"/>
      <c r="IGP5" s="1962"/>
      <c r="IGQ5" s="1962"/>
      <c r="IGR5" s="1962"/>
      <c r="IGS5" s="1962"/>
      <c r="IGT5" s="1962"/>
      <c r="IGU5" s="1962"/>
      <c r="IGV5" s="1962"/>
      <c r="IGW5" s="1962"/>
      <c r="IGX5" s="1962"/>
      <c r="IGY5" s="1962"/>
      <c r="IGZ5" s="1962"/>
      <c r="IHA5" s="1962"/>
      <c r="IHB5" s="1962"/>
      <c r="IHC5" s="1962"/>
      <c r="IHD5" s="1962"/>
      <c r="IHE5" s="1962"/>
      <c r="IHF5" s="1962"/>
      <c r="IHG5" s="1962"/>
      <c r="IHH5" s="1962"/>
      <c r="IHI5" s="1962"/>
      <c r="IHJ5" s="1962"/>
      <c r="IHK5" s="1962"/>
      <c r="IHL5" s="1962"/>
      <c r="IHM5" s="1962"/>
      <c r="IHN5" s="1962"/>
      <c r="IHO5" s="1962"/>
      <c r="IHP5" s="1962"/>
      <c r="IHQ5" s="1962"/>
      <c r="IHR5" s="1962"/>
      <c r="IHS5" s="1962"/>
      <c r="IHT5" s="1962"/>
      <c r="IHU5" s="1962"/>
      <c r="IHV5" s="1962"/>
      <c r="IHW5" s="1962"/>
      <c r="IHX5" s="1962"/>
      <c r="IHY5" s="1962"/>
      <c r="IHZ5" s="1962"/>
      <c r="IIA5" s="1962"/>
      <c r="IIB5" s="1962"/>
      <c r="IIC5" s="1962"/>
      <c r="IID5" s="1962"/>
      <c r="IIE5" s="1962"/>
      <c r="IIF5" s="1962"/>
      <c r="IIG5" s="1962"/>
      <c r="IIH5" s="1962"/>
      <c r="III5" s="1962"/>
      <c r="IIJ5" s="1962"/>
      <c r="IIK5" s="1962"/>
      <c r="IIL5" s="1962"/>
      <c r="IIM5" s="1962"/>
      <c r="IIN5" s="1962"/>
      <c r="IIO5" s="1962"/>
      <c r="IIP5" s="1962"/>
      <c r="IIQ5" s="1962"/>
      <c r="IIR5" s="1962"/>
      <c r="IIS5" s="1962"/>
      <c r="IIT5" s="1962"/>
      <c r="IIU5" s="1962"/>
      <c r="IIV5" s="1962"/>
      <c r="IIW5" s="1962"/>
      <c r="IIX5" s="1962"/>
      <c r="IIY5" s="1962"/>
      <c r="IIZ5" s="1962"/>
      <c r="IJA5" s="1962"/>
      <c r="IJB5" s="1962"/>
      <c r="IJC5" s="1962"/>
      <c r="IJD5" s="1962"/>
      <c r="IJE5" s="1962"/>
      <c r="IJF5" s="1962"/>
      <c r="IJG5" s="1962"/>
      <c r="IJH5" s="1962"/>
      <c r="IJI5" s="1962"/>
      <c r="IJJ5" s="1962"/>
      <c r="IJK5" s="1962"/>
      <c r="IJL5" s="1962"/>
      <c r="IJM5" s="1962"/>
      <c r="IJN5" s="1962"/>
      <c r="IJO5" s="1962"/>
      <c r="IJP5" s="1962"/>
      <c r="IJQ5" s="1962"/>
      <c r="IJR5" s="1962"/>
      <c r="IJS5" s="1962"/>
      <c r="IJT5" s="1962"/>
      <c r="IJU5" s="1962"/>
      <c r="IJV5" s="1962"/>
      <c r="IJW5" s="1962"/>
      <c r="IJX5" s="1962"/>
      <c r="IJY5" s="1962"/>
      <c r="IJZ5" s="1962"/>
      <c r="IKA5" s="1962"/>
      <c r="IKB5" s="1962"/>
      <c r="IKC5" s="1962"/>
      <c r="IKD5" s="1962"/>
      <c r="IKE5" s="1962"/>
      <c r="IKF5" s="1962"/>
      <c r="IKG5" s="1962"/>
      <c r="IKH5" s="1962"/>
      <c r="IKI5" s="1962"/>
      <c r="IKJ5" s="1962"/>
      <c r="IKK5" s="1962"/>
      <c r="IKL5" s="1962"/>
      <c r="IKM5" s="1962"/>
      <c r="IKN5" s="1962"/>
      <c r="IKO5" s="1962"/>
      <c r="IKP5" s="1962"/>
      <c r="IKQ5" s="1962"/>
      <c r="IKR5" s="1962"/>
      <c r="IKS5" s="1962"/>
      <c r="IKT5" s="1962"/>
      <c r="IKU5" s="1962"/>
      <c r="IKV5" s="1962"/>
      <c r="IKW5" s="1962"/>
      <c r="IKX5" s="1962"/>
      <c r="IKY5" s="1962"/>
      <c r="IKZ5" s="1962"/>
      <c r="ILA5" s="1962"/>
      <c r="ILB5" s="1962"/>
      <c r="ILC5" s="1962"/>
      <c r="ILD5" s="1962"/>
      <c r="ILE5" s="1962"/>
      <c r="ILF5" s="1962"/>
      <c r="ILG5" s="1962"/>
      <c r="ILH5" s="1962"/>
      <c r="ILI5" s="1962"/>
      <c r="ILJ5" s="1962"/>
      <c r="ILK5" s="1962"/>
      <c r="ILL5" s="1962"/>
      <c r="ILM5" s="1962"/>
      <c r="ILN5" s="1962"/>
      <c r="ILO5" s="1962"/>
      <c r="ILP5" s="1962"/>
      <c r="ILQ5" s="1962"/>
      <c r="ILR5" s="1962"/>
      <c r="ILS5" s="1962"/>
      <c r="ILT5" s="1962"/>
      <c r="ILU5" s="1962"/>
      <c r="ILV5" s="1962"/>
      <c r="ILW5" s="1962"/>
      <c r="ILX5" s="1962"/>
      <c r="ILY5" s="1962"/>
      <c r="ILZ5" s="1962"/>
      <c r="IMA5" s="1962"/>
      <c r="IMB5" s="1962"/>
      <c r="IMC5" s="1962"/>
      <c r="IMD5" s="1962"/>
      <c r="IME5" s="1962"/>
      <c r="IMF5" s="1962"/>
      <c r="IMG5" s="1962"/>
      <c r="IMH5" s="1962"/>
      <c r="IMI5" s="1962"/>
      <c r="IMJ5" s="1962"/>
      <c r="IMK5" s="1962"/>
      <c r="IML5" s="1962"/>
      <c r="IMM5" s="1962"/>
      <c r="IMN5" s="1962"/>
      <c r="IMO5" s="1962"/>
      <c r="IMP5" s="1962"/>
      <c r="IMQ5" s="1962"/>
      <c r="IMR5" s="1962"/>
      <c r="IMS5" s="1962"/>
      <c r="IMT5" s="1962"/>
      <c r="IMU5" s="1962"/>
      <c r="IMV5" s="1962"/>
      <c r="IMW5" s="1962"/>
      <c r="IMX5" s="1962"/>
      <c r="IMY5" s="1962"/>
      <c r="IMZ5" s="1962"/>
      <c r="INA5" s="1962"/>
      <c r="INB5" s="1962"/>
      <c r="INC5" s="1962"/>
      <c r="IND5" s="1962"/>
      <c r="INE5" s="1962"/>
      <c r="INF5" s="1962"/>
      <c r="ING5" s="1962"/>
      <c r="INH5" s="1962"/>
      <c r="INI5" s="1962"/>
      <c r="INJ5" s="1962"/>
      <c r="INK5" s="1962"/>
      <c r="INL5" s="1962"/>
      <c r="INM5" s="1962"/>
      <c r="INN5" s="1962"/>
      <c r="INO5" s="1962"/>
      <c r="INP5" s="1962"/>
      <c r="INQ5" s="1962"/>
      <c r="INR5" s="1962"/>
      <c r="INS5" s="1962"/>
      <c r="INT5" s="1962"/>
      <c r="INU5" s="1962"/>
      <c r="INV5" s="1962"/>
      <c r="INW5" s="1962"/>
      <c r="INX5" s="1962"/>
      <c r="INY5" s="1962"/>
      <c r="INZ5" s="1962"/>
      <c r="IOA5" s="1962"/>
      <c r="IOB5" s="1962"/>
      <c r="IOC5" s="1962"/>
      <c r="IOD5" s="1962"/>
      <c r="IOE5" s="1962"/>
      <c r="IOF5" s="1962"/>
      <c r="IOG5" s="1962"/>
      <c r="IOH5" s="1962"/>
      <c r="IOI5" s="1962"/>
      <c r="IOJ5" s="1962"/>
      <c r="IOK5" s="1962"/>
      <c r="IOL5" s="1962"/>
      <c r="IOM5" s="1962"/>
      <c r="ION5" s="1962"/>
      <c r="IOO5" s="1962"/>
      <c r="IOP5" s="1962"/>
      <c r="IOQ5" s="1962"/>
      <c r="IOR5" s="1962"/>
      <c r="IOS5" s="1962"/>
      <c r="IOT5" s="1962"/>
      <c r="IOU5" s="1962"/>
      <c r="IOV5" s="1962"/>
      <c r="IOW5" s="1962"/>
      <c r="IOX5" s="1962"/>
      <c r="IOY5" s="1962"/>
      <c r="IOZ5" s="1962"/>
      <c r="IPA5" s="1962"/>
      <c r="IPB5" s="1962"/>
      <c r="IPC5" s="1962"/>
      <c r="IPD5" s="1962"/>
      <c r="IPE5" s="1962"/>
      <c r="IPF5" s="1962"/>
      <c r="IPG5" s="1962"/>
      <c r="IPH5" s="1962"/>
      <c r="IPI5" s="1962"/>
      <c r="IPJ5" s="1962"/>
      <c r="IPK5" s="1962"/>
      <c r="IPL5" s="1962"/>
      <c r="IPM5" s="1962"/>
      <c r="IPN5" s="1962"/>
      <c r="IPO5" s="1962"/>
      <c r="IPP5" s="1962"/>
      <c r="IPQ5" s="1962"/>
      <c r="IPR5" s="1962"/>
      <c r="IPS5" s="1962"/>
      <c r="IPT5" s="1962"/>
      <c r="IPU5" s="1962"/>
      <c r="IPV5" s="1962"/>
      <c r="IPW5" s="1962"/>
      <c r="IPX5" s="1962"/>
      <c r="IPY5" s="1962"/>
      <c r="IPZ5" s="1962"/>
      <c r="IQA5" s="1962"/>
      <c r="IQB5" s="1962"/>
      <c r="IQC5" s="1962"/>
      <c r="IQD5" s="1962"/>
      <c r="IQE5" s="1962"/>
      <c r="IQF5" s="1962"/>
      <c r="IQG5" s="1962"/>
      <c r="IQH5" s="1962"/>
      <c r="IQI5" s="1962"/>
      <c r="IQJ5" s="1962"/>
      <c r="IQK5" s="1962"/>
      <c r="IQL5" s="1962"/>
      <c r="IQM5" s="1962"/>
      <c r="IQN5" s="1962"/>
      <c r="IQO5" s="1962"/>
      <c r="IQP5" s="1962"/>
      <c r="IQQ5" s="1962"/>
      <c r="IQR5" s="1962"/>
      <c r="IQS5" s="1962"/>
      <c r="IQT5" s="1962"/>
      <c r="IQU5" s="1962"/>
      <c r="IQV5" s="1962"/>
      <c r="IQW5" s="1962"/>
      <c r="IQX5" s="1962"/>
      <c r="IQY5" s="1962"/>
      <c r="IQZ5" s="1962"/>
      <c r="IRA5" s="1962"/>
      <c r="IRB5" s="1962"/>
      <c r="IRC5" s="1962"/>
      <c r="IRD5" s="1962"/>
      <c r="IRE5" s="1962"/>
      <c r="IRF5" s="1962"/>
      <c r="IRG5" s="1962"/>
      <c r="IRH5" s="1962"/>
      <c r="IRI5" s="1962"/>
      <c r="IRJ5" s="1962"/>
      <c r="IRK5" s="1962"/>
      <c r="IRL5" s="1962"/>
      <c r="IRM5" s="1962"/>
      <c r="IRN5" s="1962"/>
      <c r="IRO5" s="1962"/>
      <c r="IRP5" s="1962"/>
      <c r="IRQ5" s="1962"/>
      <c r="IRR5" s="1962"/>
      <c r="IRS5" s="1962"/>
      <c r="IRT5" s="1962"/>
      <c r="IRU5" s="1962"/>
      <c r="IRV5" s="1962"/>
      <c r="IRW5" s="1962"/>
      <c r="IRX5" s="1962"/>
      <c r="IRY5" s="1962"/>
      <c r="IRZ5" s="1962"/>
      <c r="ISA5" s="1962"/>
      <c r="ISB5" s="1962"/>
      <c r="ISC5" s="1962"/>
      <c r="ISD5" s="1962"/>
      <c r="ISE5" s="1962"/>
      <c r="ISF5" s="1962"/>
      <c r="ISG5" s="1962"/>
      <c r="ISH5" s="1962"/>
      <c r="ISI5" s="1962"/>
      <c r="ISJ5" s="1962"/>
      <c r="ISK5" s="1962"/>
      <c r="ISL5" s="1962"/>
      <c r="ISM5" s="1962"/>
      <c r="ISN5" s="1962"/>
      <c r="ISO5" s="1962"/>
      <c r="ISP5" s="1962"/>
      <c r="ISQ5" s="1962"/>
      <c r="ISR5" s="1962"/>
      <c r="ISS5" s="1962"/>
      <c r="IST5" s="1962"/>
      <c r="ISU5" s="1962"/>
      <c r="ISV5" s="1962"/>
      <c r="ISW5" s="1962"/>
      <c r="ISX5" s="1962"/>
      <c r="ISY5" s="1962"/>
      <c r="ISZ5" s="1962"/>
      <c r="ITA5" s="1962"/>
      <c r="ITB5" s="1962"/>
      <c r="ITC5" s="1962"/>
      <c r="ITD5" s="1962"/>
      <c r="ITE5" s="1962"/>
      <c r="ITF5" s="1962"/>
      <c r="ITG5" s="1962"/>
      <c r="ITH5" s="1962"/>
      <c r="ITI5" s="1962"/>
      <c r="ITJ5" s="1962"/>
      <c r="ITK5" s="1962"/>
      <c r="ITL5" s="1962"/>
      <c r="ITM5" s="1962"/>
      <c r="ITN5" s="1962"/>
      <c r="ITO5" s="1962"/>
      <c r="ITP5" s="1962"/>
      <c r="ITQ5" s="1962"/>
      <c r="ITR5" s="1962"/>
      <c r="ITS5" s="1962"/>
      <c r="ITT5" s="1962"/>
      <c r="ITU5" s="1962"/>
      <c r="ITV5" s="1962"/>
      <c r="ITW5" s="1962"/>
      <c r="ITX5" s="1962"/>
      <c r="ITY5" s="1962"/>
      <c r="ITZ5" s="1962"/>
      <c r="IUA5" s="1962"/>
      <c r="IUB5" s="1962"/>
      <c r="IUC5" s="1962"/>
      <c r="IUD5" s="1962"/>
      <c r="IUE5" s="1962"/>
      <c r="IUF5" s="1962"/>
      <c r="IUG5" s="1962"/>
      <c r="IUH5" s="1962"/>
      <c r="IUI5" s="1962"/>
      <c r="IUJ5" s="1962"/>
      <c r="IUK5" s="1962"/>
      <c r="IUL5" s="1962"/>
      <c r="IUM5" s="1962"/>
      <c r="IUN5" s="1962"/>
      <c r="IUO5" s="1962"/>
      <c r="IUP5" s="1962"/>
      <c r="IUQ5" s="1962"/>
      <c r="IUR5" s="1962"/>
      <c r="IUS5" s="1962"/>
      <c r="IUT5" s="1962"/>
      <c r="IUU5" s="1962"/>
      <c r="IUV5" s="1962"/>
      <c r="IUW5" s="1962"/>
      <c r="IUX5" s="1962"/>
      <c r="IUY5" s="1962"/>
      <c r="IUZ5" s="1962"/>
      <c r="IVA5" s="1962"/>
      <c r="IVB5" s="1962"/>
      <c r="IVC5" s="1962"/>
      <c r="IVD5" s="1962"/>
      <c r="IVE5" s="1962"/>
      <c r="IVF5" s="1962"/>
      <c r="IVG5" s="1962"/>
      <c r="IVH5" s="1962"/>
      <c r="IVI5" s="1962"/>
      <c r="IVJ5" s="1962"/>
      <c r="IVK5" s="1962"/>
      <c r="IVL5" s="1962"/>
      <c r="IVM5" s="1962"/>
      <c r="IVN5" s="1962"/>
      <c r="IVO5" s="1962"/>
      <c r="IVP5" s="1962"/>
      <c r="IVQ5" s="1962"/>
      <c r="IVR5" s="1962"/>
      <c r="IVS5" s="1962"/>
      <c r="IVT5" s="1962"/>
      <c r="IVU5" s="1962"/>
      <c r="IVV5" s="1962"/>
      <c r="IVW5" s="1962"/>
      <c r="IVX5" s="1962"/>
      <c r="IVY5" s="1962"/>
      <c r="IVZ5" s="1962"/>
      <c r="IWA5" s="1962"/>
      <c r="IWB5" s="1962"/>
      <c r="IWC5" s="1962"/>
      <c r="IWD5" s="1962"/>
      <c r="IWE5" s="1962"/>
      <c r="IWF5" s="1962"/>
      <c r="IWG5" s="1962"/>
      <c r="IWH5" s="1962"/>
      <c r="IWI5" s="1962"/>
      <c r="IWJ5" s="1962"/>
      <c r="IWK5" s="1962"/>
      <c r="IWL5" s="1962"/>
      <c r="IWM5" s="1962"/>
      <c r="IWN5" s="1962"/>
      <c r="IWO5" s="1962"/>
      <c r="IWP5" s="1962"/>
      <c r="IWQ5" s="1962"/>
      <c r="IWR5" s="1962"/>
      <c r="IWS5" s="1962"/>
      <c r="IWT5" s="1962"/>
      <c r="IWU5" s="1962"/>
      <c r="IWV5" s="1962"/>
      <c r="IWW5" s="1962"/>
      <c r="IWX5" s="1962"/>
      <c r="IWY5" s="1962"/>
      <c r="IWZ5" s="1962"/>
      <c r="IXA5" s="1962"/>
      <c r="IXB5" s="1962"/>
      <c r="IXC5" s="1962"/>
      <c r="IXD5" s="1962"/>
      <c r="IXE5" s="1962"/>
      <c r="IXF5" s="1962"/>
      <c r="IXG5" s="1962"/>
      <c r="IXH5" s="1962"/>
      <c r="IXI5" s="1962"/>
      <c r="IXJ5" s="1962"/>
      <c r="IXK5" s="1962"/>
      <c r="IXL5" s="1962"/>
      <c r="IXM5" s="1962"/>
      <c r="IXN5" s="1962"/>
      <c r="IXO5" s="1962"/>
      <c r="IXP5" s="1962"/>
      <c r="IXQ5" s="1962"/>
      <c r="IXR5" s="1962"/>
      <c r="IXS5" s="1962"/>
      <c r="IXT5" s="1962"/>
      <c r="IXU5" s="1962"/>
      <c r="IXV5" s="1962"/>
      <c r="IXW5" s="1962"/>
      <c r="IXX5" s="1962"/>
      <c r="IXY5" s="1962"/>
      <c r="IXZ5" s="1962"/>
      <c r="IYA5" s="1962"/>
      <c r="IYB5" s="1962"/>
      <c r="IYC5" s="1962"/>
      <c r="IYD5" s="1962"/>
      <c r="IYE5" s="1962"/>
      <c r="IYF5" s="1962"/>
      <c r="IYG5" s="1962"/>
      <c r="IYH5" s="1962"/>
      <c r="IYI5" s="1962"/>
      <c r="IYJ5" s="1962"/>
      <c r="IYK5" s="1962"/>
      <c r="IYL5" s="1962"/>
      <c r="IYM5" s="1962"/>
      <c r="IYN5" s="1962"/>
      <c r="IYO5" s="1962"/>
      <c r="IYP5" s="1962"/>
      <c r="IYQ5" s="1962"/>
      <c r="IYR5" s="1962"/>
      <c r="IYS5" s="1962"/>
      <c r="IYT5" s="1962"/>
      <c r="IYU5" s="1962"/>
      <c r="IYV5" s="1962"/>
      <c r="IYW5" s="1962"/>
      <c r="IYX5" s="1962"/>
      <c r="IYY5" s="1962"/>
      <c r="IYZ5" s="1962"/>
      <c r="IZA5" s="1962"/>
      <c r="IZB5" s="1962"/>
      <c r="IZC5" s="1962"/>
      <c r="IZD5" s="1962"/>
      <c r="IZE5" s="1962"/>
      <c r="IZF5" s="1962"/>
      <c r="IZG5" s="1962"/>
      <c r="IZH5" s="1962"/>
      <c r="IZI5" s="1962"/>
      <c r="IZJ5" s="1962"/>
      <c r="IZK5" s="1962"/>
      <c r="IZL5" s="1962"/>
      <c r="IZM5" s="1962"/>
      <c r="IZN5" s="1962"/>
      <c r="IZO5" s="1962"/>
      <c r="IZP5" s="1962"/>
      <c r="IZQ5" s="1962"/>
      <c r="IZR5" s="1962"/>
      <c r="IZS5" s="1962"/>
      <c r="IZT5" s="1962"/>
      <c r="IZU5" s="1962"/>
      <c r="IZV5" s="1962"/>
      <c r="IZW5" s="1962"/>
      <c r="IZX5" s="1962"/>
      <c r="IZY5" s="1962"/>
      <c r="IZZ5" s="1962"/>
      <c r="JAA5" s="1962"/>
      <c r="JAB5" s="1962"/>
      <c r="JAC5" s="1962"/>
      <c r="JAD5" s="1962"/>
      <c r="JAE5" s="1962"/>
      <c r="JAF5" s="1962"/>
      <c r="JAG5" s="1962"/>
      <c r="JAH5" s="1962"/>
      <c r="JAI5" s="1962"/>
      <c r="JAJ5" s="1962"/>
      <c r="JAK5" s="1962"/>
      <c r="JAL5" s="1962"/>
      <c r="JAM5" s="1962"/>
      <c r="JAN5" s="1962"/>
      <c r="JAO5" s="1962"/>
      <c r="JAP5" s="1962"/>
      <c r="JAQ5" s="1962"/>
      <c r="JAR5" s="1962"/>
      <c r="JAS5" s="1962"/>
      <c r="JAT5" s="1962"/>
      <c r="JAU5" s="1962"/>
      <c r="JAV5" s="1962"/>
      <c r="JAW5" s="1962"/>
      <c r="JAX5" s="1962"/>
      <c r="JAY5" s="1962"/>
      <c r="JAZ5" s="1962"/>
      <c r="JBA5" s="1962"/>
      <c r="JBB5" s="1962"/>
      <c r="JBC5" s="1962"/>
      <c r="JBD5" s="1962"/>
      <c r="JBE5" s="1962"/>
      <c r="JBF5" s="1962"/>
      <c r="JBG5" s="1962"/>
      <c r="JBH5" s="1962"/>
      <c r="JBI5" s="1962"/>
      <c r="JBJ5" s="1962"/>
      <c r="JBK5" s="1962"/>
      <c r="JBL5" s="1962"/>
      <c r="JBM5" s="1962"/>
      <c r="JBN5" s="1962"/>
      <c r="JBO5" s="1962"/>
      <c r="JBP5" s="1962"/>
      <c r="JBQ5" s="1962"/>
      <c r="JBR5" s="1962"/>
      <c r="JBS5" s="1962"/>
      <c r="JBT5" s="1962"/>
      <c r="JBU5" s="1962"/>
      <c r="JBV5" s="1962"/>
      <c r="JBW5" s="1962"/>
      <c r="JBX5" s="1962"/>
      <c r="JBY5" s="1962"/>
      <c r="JBZ5" s="1962"/>
      <c r="JCA5" s="1962"/>
      <c r="JCB5" s="1962"/>
      <c r="JCC5" s="1962"/>
      <c r="JCD5" s="1962"/>
      <c r="JCE5" s="1962"/>
      <c r="JCF5" s="1962"/>
      <c r="JCG5" s="1962"/>
      <c r="JCH5" s="1962"/>
      <c r="JCI5" s="1962"/>
      <c r="JCJ5" s="1962"/>
      <c r="JCK5" s="1962"/>
      <c r="JCL5" s="1962"/>
      <c r="JCM5" s="1962"/>
      <c r="JCN5" s="1962"/>
      <c r="JCO5" s="1962"/>
      <c r="JCP5" s="1962"/>
      <c r="JCQ5" s="1962"/>
      <c r="JCR5" s="1962"/>
      <c r="JCS5" s="1962"/>
      <c r="JCT5" s="1962"/>
      <c r="JCU5" s="1962"/>
      <c r="JCV5" s="1962"/>
      <c r="JCW5" s="1962"/>
      <c r="JCX5" s="1962"/>
      <c r="JCY5" s="1962"/>
      <c r="JCZ5" s="1962"/>
      <c r="JDA5" s="1962"/>
      <c r="JDB5" s="1962"/>
      <c r="JDC5" s="1962"/>
      <c r="JDD5" s="1962"/>
      <c r="JDE5" s="1962"/>
      <c r="JDF5" s="1962"/>
      <c r="JDG5" s="1962"/>
      <c r="JDH5" s="1962"/>
      <c r="JDI5" s="1962"/>
      <c r="JDJ5" s="1962"/>
      <c r="JDK5" s="1962"/>
      <c r="JDL5" s="1962"/>
      <c r="JDM5" s="1962"/>
      <c r="JDN5" s="1962"/>
      <c r="JDO5" s="1962"/>
      <c r="JDP5" s="1962"/>
      <c r="JDQ5" s="1962"/>
      <c r="JDR5" s="1962"/>
      <c r="JDS5" s="1962"/>
      <c r="JDT5" s="1962"/>
      <c r="JDU5" s="1962"/>
      <c r="JDV5" s="1962"/>
      <c r="JDW5" s="1962"/>
      <c r="JDX5" s="1962"/>
      <c r="JDY5" s="1962"/>
      <c r="JDZ5" s="1962"/>
      <c r="JEA5" s="1962"/>
      <c r="JEB5" s="1962"/>
      <c r="JEC5" s="1962"/>
      <c r="JED5" s="1962"/>
      <c r="JEE5" s="1962"/>
      <c r="JEF5" s="1962"/>
      <c r="JEG5" s="1962"/>
      <c r="JEH5" s="1962"/>
      <c r="JEI5" s="1962"/>
      <c r="JEJ5" s="1962"/>
      <c r="JEK5" s="1962"/>
      <c r="JEL5" s="1962"/>
      <c r="JEM5" s="1962"/>
      <c r="JEN5" s="1962"/>
      <c r="JEO5" s="1962"/>
      <c r="JEP5" s="1962"/>
      <c r="JEQ5" s="1962"/>
      <c r="JER5" s="1962"/>
      <c r="JES5" s="1962"/>
      <c r="JET5" s="1962"/>
      <c r="JEU5" s="1962"/>
      <c r="JEV5" s="1962"/>
      <c r="JEW5" s="1962"/>
      <c r="JEX5" s="1962"/>
      <c r="JEY5" s="1962"/>
      <c r="JEZ5" s="1962"/>
      <c r="JFA5" s="1962"/>
      <c r="JFB5" s="1962"/>
      <c r="JFC5" s="1962"/>
      <c r="JFD5" s="1962"/>
      <c r="JFE5" s="1962"/>
      <c r="JFF5" s="1962"/>
      <c r="JFG5" s="1962"/>
      <c r="JFH5" s="1962"/>
      <c r="JFI5" s="1962"/>
      <c r="JFJ5" s="1962"/>
      <c r="JFK5" s="1962"/>
      <c r="JFL5" s="1962"/>
      <c r="JFM5" s="1962"/>
      <c r="JFN5" s="1962"/>
      <c r="JFO5" s="1962"/>
      <c r="JFP5" s="1962"/>
      <c r="JFQ5" s="1962"/>
      <c r="JFR5" s="1962"/>
      <c r="JFS5" s="1962"/>
      <c r="JFT5" s="1962"/>
      <c r="JFU5" s="1962"/>
      <c r="JFV5" s="1962"/>
      <c r="JFW5" s="1962"/>
      <c r="JFX5" s="1962"/>
      <c r="JFY5" s="1962"/>
      <c r="JFZ5" s="1962"/>
      <c r="JGA5" s="1962"/>
      <c r="JGB5" s="1962"/>
      <c r="JGC5" s="1962"/>
      <c r="JGD5" s="1962"/>
      <c r="JGE5" s="1962"/>
      <c r="JGF5" s="1962"/>
      <c r="JGG5" s="1962"/>
      <c r="JGH5" s="1962"/>
      <c r="JGI5" s="1962"/>
      <c r="JGJ5" s="1962"/>
      <c r="JGK5" s="1962"/>
      <c r="JGL5" s="1962"/>
      <c r="JGM5" s="1962"/>
      <c r="JGN5" s="1962"/>
      <c r="JGO5" s="1962"/>
      <c r="JGP5" s="1962"/>
      <c r="JGQ5" s="1962"/>
      <c r="JGR5" s="1962"/>
      <c r="JGS5" s="1962"/>
      <c r="JGT5" s="1962"/>
      <c r="JGU5" s="1962"/>
      <c r="JGV5" s="1962"/>
      <c r="JGW5" s="1962"/>
      <c r="JGX5" s="1962"/>
      <c r="JGY5" s="1962"/>
      <c r="JGZ5" s="1962"/>
      <c r="JHA5" s="1962"/>
      <c r="JHB5" s="1962"/>
      <c r="JHC5" s="1962"/>
      <c r="JHD5" s="1962"/>
      <c r="JHE5" s="1962"/>
      <c r="JHF5" s="1962"/>
      <c r="JHG5" s="1962"/>
      <c r="JHH5" s="1962"/>
      <c r="JHI5" s="1962"/>
      <c r="JHJ5" s="1962"/>
      <c r="JHK5" s="1962"/>
      <c r="JHL5" s="1962"/>
      <c r="JHM5" s="1962"/>
      <c r="JHN5" s="1962"/>
      <c r="JHO5" s="1962"/>
      <c r="JHP5" s="1962"/>
      <c r="JHQ5" s="1962"/>
      <c r="JHR5" s="1962"/>
      <c r="JHS5" s="1962"/>
      <c r="JHT5" s="1962"/>
      <c r="JHU5" s="1962"/>
      <c r="JHV5" s="1962"/>
      <c r="JHW5" s="1962"/>
      <c r="JHX5" s="1962"/>
      <c r="JHY5" s="1962"/>
      <c r="JHZ5" s="1962"/>
      <c r="JIA5" s="1962"/>
      <c r="JIB5" s="1962"/>
      <c r="JIC5" s="1962"/>
      <c r="JID5" s="1962"/>
      <c r="JIE5" s="1962"/>
      <c r="JIF5" s="1962"/>
      <c r="JIG5" s="1962"/>
      <c r="JIH5" s="1962"/>
      <c r="JII5" s="1962"/>
      <c r="JIJ5" s="1962"/>
      <c r="JIK5" s="1962"/>
      <c r="JIL5" s="1962"/>
      <c r="JIM5" s="1962"/>
      <c r="JIN5" s="1962"/>
      <c r="JIO5" s="1962"/>
      <c r="JIP5" s="1962"/>
      <c r="JIQ5" s="1962"/>
      <c r="JIR5" s="1962"/>
      <c r="JIS5" s="1962"/>
      <c r="JIT5" s="1962"/>
      <c r="JIU5" s="1962"/>
      <c r="JIV5" s="1962"/>
      <c r="JIW5" s="1962"/>
      <c r="JIX5" s="1962"/>
      <c r="JIY5" s="1962"/>
      <c r="JIZ5" s="1962"/>
      <c r="JJA5" s="1962"/>
      <c r="JJB5" s="1962"/>
      <c r="JJC5" s="1962"/>
      <c r="JJD5" s="1962"/>
      <c r="JJE5" s="1962"/>
      <c r="JJF5" s="1962"/>
      <c r="JJG5" s="1962"/>
      <c r="JJH5" s="1962"/>
      <c r="JJI5" s="1962"/>
      <c r="JJJ5" s="1962"/>
      <c r="JJK5" s="1962"/>
      <c r="JJL5" s="1962"/>
      <c r="JJM5" s="1962"/>
      <c r="JJN5" s="1962"/>
      <c r="JJO5" s="1962"/>
      <c r="JJP5" s="1962"/>
      <c r="JJQ5" s="1962"/>
      <c r="JJR5" s="1962"/>
      <c r="JJS5" s="1962"/>
      <c r="JJT5" s="1962"/>
      <c r="JJU5" s="1962"/>
      <c r="JJV5" s="1962"/>
      <c r="JJW5" s="1962"/>
      <c r="JJX5" s="1962"/>
      <c r="JJY5" s="1962"/>
      <c r="JJZ5" s="1962"/>
      <c r="JKA5" s="1962"/>
      <c r="JKB5" s="1962"/>
      <c r="JKC5" s="1962"/>
      <c r="JKD5" s="1962"/>
      <c r="JKE5" s="1962"/>
      <c r="JKF5" s="1962"/>
      <c r="JKG5" s="1962"/>
      <c r="JKH5" s="1962"/>
      <c r="JKI5" s="1962"/>
      <c r="JKJ5" s="1962"/>
      <c r="JKK5" s="1962"/>
      <c r="JKL5" s="1962"/>
      <c r="JKM5" s="1962"/>
      <c r="JKN5" s="1962"/>
      <c r="JKO5" s="1962"/>
      <c r="JKP5" s="1962"/>
      <c r="JKQ5" s="1962"/>
      <c r="JKR5" s="1962"/>
      <c r="JKS5" s="1962"/>
      <c r="JKT5" s="1962"/>
      <c r="JKU5" s="1962"/>
      <c r="JKV5" s="1962"/>
      <c r="JKW5" s="1962"/>
      <c r="JKX5" s="1962"/>
      <c r="JKY5" s="1962"/>
      <c r="JKZ5" s="1962"/>
      <c r="JLA5" s="1962"/>
      <c r="JLB5" s="1962"/>
      <c r="JLC5" s="1962"/>
      <c r="JLD5" s="1962"/>
      <c r="JLE5" s="1962"/>
      <c r="JLF5" s="1962"/>
      <c r="JLG5" s="1962"/>
      <c r="JLH5" s="1962"/>
      <c r="JLI5" s="1962"/>
      <c r="JLJ5" s="1962"/>
      <c r="JLK5" s="1962"/>
      <c r="JLL5" s="1962"/>
      <c r="JLM5" s="1962"/>
      <c r="JLN5" s="1962"/>
      <c r="JLO5" s="1962"/>
      <c r="JLP5" s="1962"/>
      <c r="JLQ5" s="1962"/>
      <c r="JLR5" s="1962"/>
      <c r="JLS5" s="1962"/>
      <c r="JLT5" s="1962"/>
      <c r="JLU5" s="1962"/>
      <c r="JLV5" s="1962"/>
      <c r="JLW5" s="1962"/>
      <c r="JLX5" s="1962"/>
      <c r="JLY5" s="1962"/>
      <c r="JLZ5" s="1962"/>
      <c r="JMA5" s="1962"/>
      <c r="JMB5" s="1962"/>
      <c r="JMC5" s="1962"/>
      <c r="JMD5" s="1962"/>
      <c r="JME5" s="1962"/>
      <c r="JMF5" s="1962"/>
      <c r="JMG5" s="1962"/>
      <c r="JMH5" s="1962"/>
      <c r="JMI5" s="1962"/>
      <c r="JMJ5" s="1962"/>
      <c r="JMK5" s="1962"/>
      <c r="JML5" s="1962"/>
      <c r="JMM5" s="1962"/>
      <c r="JMN5" s="1962"/>
      <c r="JMO5" s="1962"/>
      <c r="JMP5" s="1962"/>
      <c r="JMQ5" s="1962"/>
      <c r="JMR5" s="1962"/>
      <c r="JMS5" s="1962"/>
      <c r="JMT5" s="1962"/>
      <c r="JMU5" s="1962"/>
      <c r="JMV5" s="1962"/>
      <c r="JMW5" s="1962"/>
      <c r="JMX5" s="1962"/>
      <c r="JMY5" s="1962"/>
      <c r="JMZ5" s="1962"/>
      <c r="JNA5" s="1962"/>
      <c r="JNB5" s="1962"/>
      <c r="JNC5" s="1962"/>
      <c r="JND5" s="1962"/>
      <c r="JNE5" s="1962"/>
      <c r="JNF5" s="1962"/>
      <c r="JNG5" s="1962"/>
      <c r="JNH5" s="1962"/>
      <c r="JNI5" s="1962"/>
      <c r="JNJ5" s="1962"/>
      <c r="JNK5" s="1962"/>
      <c r="JNL5" s="1962"/>
      <c r="JNM5" s="1962"/>
      <c r="JNN5" s="1962"/>
      <c r="JNO5" s="1962"/>
      <c r="JNP5" s="1962"/>
      <c r="JNQ5" s="1962"/>
      <c r="JNR5" s="1962"/>
      <c r="JNS5" s="1962"/>
      <c r="JNT5" s="1962"/>
      <c r="JNU5" s="1962"/>
      <c r="JNV5" s="1962"/>
      <c r="JNW5" s="1962"/>
      <c r="JNX5" s="1962"/>
      <c r="JNY5" s="1962"/>
      <c r="JNZ5" s="1962"/>
      <c r="JOA5" s="1962"/>
      <c r="JOB5" s="1962"/>
      <c r="JOC5" s="1962"/>
      <c r="JOD5" s="1962"/>
      <c r="JOE5" s="1962"/>
      <c r="JOF5" s="1962"/>
      <c r="JOG5" s="1962"/>
      <c r="JOH5" s="1962"/>
      <c r="JOI5" s="1962"/>
      <c r="JOJ5" s="1962"/>
      <c r="JOK5" s="1962"/>
      <c r="JOL5" s="1962"/>
      <c r="JOM5" s="1962"/>
      <c r="JON5" s="1962"/>
      <c r="JOO5" s="1962"/>
      <c r="JOP5" s="1962"/>
      <c r="JOQ5" s="1962"/>
      <c r="JOR5" s="1962"/>
      <c r="JOS5" s="1962"/>
      <c r="JOT5" s="1962"/>
      <c r="JOU5" s="1962"/>
      <c r="JOV5" s="1962"/>
      <c r="JOW5" s="1962"/>
      <c r="JOX5" s="1962"/>
      <c r="JOY5" s="1962"/>
      <c r="JOZ5" s="1962"/>
      <c r="JPA5" s="1962"/>
      <c r="JPB5" s="1962"/>
      <c r="JPC5" s="1962"/>
      <c r="JPD5" s="1962"/>
      <c r="JPE5" s="1962"/>
      <c r="JPF5" s="1962"/>
      <c r="JPG5" s="1962"/>
      <c r="JPH5" s="1962"/>
      <c r="JPI5" s="1962"/>
      <c r="JPJ5" s="1962"/>
      <c r="JPK5" s="1962"/>
      <c r="JPL5" s="1962"/>
      <c r="JPM5" s="1962"/>
      <c r="JPN5" s="1962"/>
      <c r="JPO5" s="1962"/>
      <c r="JPP5" s="1962"/>
      <c r="JPQ5" s="1962"/>
      <c r="JPR5" s="1962"/>
      <c r="JPS5" s="1962"/>
      <c r="JPT5" s="1962"/>
      <c r="JPU5" s="1962"/>
      <c r="JPV5" s="1962"/>
      <c r="JPW5" s="1962"/>
      <c r="JPX5" s="1962"/>
      <c r="JPY5" s="1962"/>
      <c r="JPZ5" s="1962"/>
      <c r="JQA5" s="1962"/>
      <c r="JQB5" s="1962"/>
      <c r="JQC5" s="1962"/>
      <c r="JQD5" s="1962"/>
      <c r="JQE5" s="1962"/>
      <c r="JQF5" s="1962"/>
      <c r="JQG5" s="1962"/>
      <c r="JQH5" s="1962"/>
      <c r="JQI5" s="1962"/>
      <c r="JQJ5" s="1962"/>
      <c r="JQK5" s="1962"/>
      <c r="JQL5" s="1962"/>
      <c r="JQM5" s="1962"/>
      <c r="JQN5" s="1962"/>
      <c r="JQO5" s="1962"/>
      <c r="JQP5" s="1962"/>
      <c r="JQQ5" s="1962"/>
      <c r="JQR5" s="1962"/>
      <c r="JQS5" s="1962"/>
      <c r="JQT5" s="1962"/>
      <c r="JQU5" s="1962"/>
      <c r="JQV5" s="1962"/>
      <c r="JQW5" s="1962"/>
      <c r="JQX5" s="1962"/>
      <c r="JQY5" s="1962"/>
      <c r="JQZ5" s="1962"/>
      <c r="JRA5" s="1962"/>
      <c r="JRB5" s="1962"/>
      <c r="JRC5" s="1962"/>
      <c r="JRD5" s="1962"/>
      <c r="JRE5" s="1962"/>
      <c r="JRF5" s="1962"/>
      <c r="JRG5" s="1962"/>
      <c r="JRH5" s="1962"/>
      <c r="JRI5" s="1962"/>
      <c r="JRJ5" s="1962"/>
      <c r="JRK5" s="1962"/>
      <c r="JRL5" s="1962"/>
      <c r="JRM5" s="1962"/>
      <c r="JRN5" s="1962"/>
      <c r="JRO5" s="1962"/>
      <c r="JRP5" s="1962"/>
      <c r="JRQ5" s="1962"/>
      <c r="JRR5" s="1962"/>
      <c r="JRS5" s="1962"/>
      <c r="JRT5" s="1962"/>
      <c r="JRU5" s="1962"/>
      <c r="JRV5" s="1962"/>
      <c r="JRW5" s="1962"/>
      <c r="JRX5" s="1962"/>
      <c r="JRY5" s="1962"/>
      <c r="JRZ5" s="1962"/>
      <c r="JSA5" s="1962"/>
      <c r="JSB5" s="1962"/>
      <c r="JSC5" s="1962"/>
      <c r="JSD5" s="1962"/>
      <c r="JSE5" s="1962"/>
      <c r="JSF5" s="1962"/>
      <c r="JSG5" s="1962"/>
      <c r="JSH5" s="1962"/>
      <c r="JSI5" s="1962"/>
      <c r="JSJ5" s="1962"/>
      <c r="JSK5" s="1962"/>
      <c r="JSL5" s="1962"/>
      <c r="JSM5" s="1962"/>
      <c r="JSN5" s="1962"/>
      <c r="JSO5" s="1962"/>
      <c r="JSP5" s="1962"/>
      <c r="JSQ5" s="1962"/>
      <c r="JSR5" s="1962"/>
      <c r="JSS5" s="1962"/>
      <c r="JST5" s="1962"/>
      <c r="JSU5" s="1962"/>
      <c r="JSV5" s="1962"/>
      <c r="JSW5" s="1962"/>
      <c r="JSX5" s="1962"/>
      <c r="JSY5" s="1962"/>
      <c r="JSZ5" s="1962"/>
      <c r="JTA5" s="1962"/>
      <c r="JTB5" s="1962"/>
      <c r="JTC5" s="1962"/>
      <c r="JTD5" s="1962"/>
      <c r="JTE5" s="1962"/>
      <c r="JTF5" s="1962"/>
      <c r="JTG5" s="1962"/>
      <c r="JTH5" s="1962"/>
      <c r="JTI5" s="1962"/>
      <c r="JTJ5" s="1962"/>
      <c r="JTK5" s="1962"/>
      <c r="JTL5" s="1962"/>
      <c r="JTM5" s="1962"/>
      <c r="JTN5" s="1962"/>
      <c r="JTO5" s="1962"/>
      <c r="JTP5" s="1962"/>
      <c r="JTQ5" s="1962"/>
      <c r="JTR5" s="1962"/>
      <c r="JTS5" s="1962"/>
      <c r="JTT5" s="1962"/>
      <c r="JTU5" s="1962"/>
      <c r="JTV5" s="1962"/>
      <c r="JTW5" s="1962"/>
      <c r="JTX5" s="1962"/>
      <c r="JTY5" s="1962"/>
      <c r="JTZ5" s="1962"/>
      <c r="JUA5" s="1962"/>
      <c r="JUB5" s="1962"/>
      <c r="JUC5" s="1962"/>
      <c r="JUD5" s="1962"/>
      <c r="JUE5" s="1962"/>
      <c r="JUF5" s="1962"/>
      <c r="JUG5" s="1962"/>
      <c r="JUH5" s="1962"/>
      <c r="JUI5" s="1962"/>
      <c r="JUJ5" s="1962"/>
      <c r="JUK5" s="1962"/>
      <c r="JUL5" s="1962"/>
      <c r="JUM5" s="1962"/>
      <c r="JUN5" s="1962"/>
      <c r="JUO5" s="1962"/>
      <c r="JUP5" s="1962"/>
      <c r="JUQ5" s="1962"/>
      <c r="JUR5" s="1962"/>
      <c r="JUS5" s="1962"/>
      <c r="JUT5" s="1962"/>
      <c r="JUU5" s="1962"/>
      <c r="JUV5" s="1962"/>
      <c r="JUW5" s="1962"/>
      <c r="JUX5" s="1962"/>
      <c r="JUY5" s="1962"/>
      <c r="JUZ5" s="1962"/>
      <c r="JVA5" s="1962"/>
      <c r="JVB5" s="1962"/>
      <c r="JVC5" s="1962"/>
      <c r="JVD5" s="1962"/>
      <c r="JVE5" s="1962"/>
      <c r="JVF5" s="1962"/>
      <c r="JVG5" s="1962"/>
      <c r="JVH5" s="1962"/>
      <c r="JVI5" s="1962"/>
      <c r="JVJ5" s="1962"/>
      <c r="JVK5" s="1962"/>
      <c r="JVL5" s="1962"/>
      <c r="JVM5" s="1962"/>
      <c r="JVN5" s="1962"/>
      <c r="JVO5" s="1962"/>
      <c r="JVP5" s="1962"/>
      <c r="JVQ5" s="1962"/>
      <c r="JVR5" s="1962"/>
      <c r="JVS5" s="1962"/>
      <c r="JVT5" s="1962"/>
      <c r="JVU5" s="1962"/>
      <c r="JVV5" s="1962"/>
      <c r="JVW5" s="1962"/>
      <c r="JVX5" s="1962"/>
      <c r="JVY5" s="1962"/>
      <c r="JVZ5" s="1962"/>
      <c r="JWA5" s="1962"/>
      <c r="JWB5" s="1962"/>
      <c r="JWC5" s="1962"/>
      <c r="JWD5" s="1962"/>
      <c r="JWE5" s="1962"/>
      <c r="JWF5" s="1962"/>
      <c r="JWG5" s="1962"/>
      <c r="JWH5" s="1962"/>
      <c r="JWI5" s="1962"/>
      <c r="JWJ5" s="1962"/>
      <c r="JWK5" s="1962"/>
      <c r="JWL5" s="1962"/>
      <c r="JWM5" s="1962"/>
      <c r="JWN5" s="1962"/>
      <c r="JWO5" s="1962"/>
      <c r="JWP5" s="1962"/>
      <c r="JWQ5" s="1962"/>
      <c r="JWR5" s="1962"/>
      <c r="JWS5" s="1962"/>
      <c r="JWT5" s="1962"/>
      <c r="JWU5" s="1962"/>
      <c r="JWV5" s="1962"/>
      <c r="JWW5" s="1962"/>
      <c r="JWX5" s="1962"/>
      <c r="JWY5" s="1962"/>
      <c r="JWZ5" s="1962"/>
      <c r="JXA5" s="1962"/>
      <c r="JXB5" s="1962"/>
      <c r="JXC5" s="1962"/>
      <c r="JXD5" s="1962"/>
      <c r="JXE5" s="1962"/>
      <c r="JXF5" s="1962"/>
      <c r="JXG5" s="1962"/>
      <c r="JXH5" s="1962"/>
      <c r="JXI5" s="1962"/>
      <c r="JXJ5" s="1962"/>
      <c r="JXK5" s="1962"/>
      <c r="JXL5" s="1962"/>
      <c r="JXM5" s="1962"/>
      <c r="JXN5" s="1962"/>
      <c r="JXO5" s="1962"/>
      <c r="JXP5" s="1962"/>
      <c r="JXQ5" s="1962"/>
      <c r="JXR5" s="1962"/>
      <c r="JXS5" s="1962"/>
      <c r="JXT5" s="1962"/>
      <c r="JXU5" s="1962"/>
      <c r="JXV5" s="1962"/>
      <c r="JXW5" s="1962"/>
      <c r="JXX5" s="1962"/>
      <c r="JXY5" s="1962"/>
      <c r="JXZ5" s="1962"/>
      <c r="JYA5" s="1962"/>
      <c r="JYB5" s="1962"/>
      <c r="JYC5" s="1962"/>
      <c r="JYD5" s="1962"/>
      <c r="JYE5" s="1962"/>
      <c r="JYF5" s="1962"/>
      <c r="JYG5" s="1962"/>
      <c r="JYH5" s="1962"/>
      <c r="JYI5" s="1962"/>
      <c r="JYJ5" s="1962"/>
      <c r="JYK5" s="1962"/>
      <c r="JYL5" s="1962"/>
      <c r="JYM5" s="1962"/>
      <c r="JYN5" s="1962"/>
      <c r="JYO5" s="1962"/>
      <c r="JYP5" s="1962"/>
      <c r="JYQ5" s="1962"/>
      <c r="JYR5" s="1962"/>
      <c r="JYS5" s="1962"/>
      <c r="JYT5" s="1962"/>
      <c r="JYU5" s="1962"/>
      <c r="JYV5" s="1962"/>
      <c r="JYW5" s="1962"/>
      <c r="JYX5" s="1962"/>
      <c r="JYY5" s="1962"/>
      <c r="JYZ5" s="1962"/>
      <c r="JZA5" s="1962"/>
      <c r="JZB5" s="1962"/>
      <c r="JZC5" s="1962"/>
      <c r="JZD5" s="1962"/>
      <c r="JZE5" s="1962"/>
      <c r="JZF5" s="1962"/>
      <c r="JZG5" s="1962"/>
      <c r="JZH5" s="1962"/>
      <c r="JZI5" s="1962"/>
      <c r="JZJ5" s="1962"/>
      <c r="JZK5" s="1962"/>
      <c r="JZL5" s="1962"/>
      <c r="JZM5" s="1962"/>
      <c r="JZN5" s="1962"/>
      <c r="JZO5" s="1962"/>
      <c r="JZP5" s="1962"/>
      <c r="JZQ5" s="1962"/>
      <c r="JZR5" s="1962"/>
      <c r="JZS5" s="1962"/>
      <c r="JZT5" s="1962"/>
      <c r="JZU5" s="1962"/>
      <c r="JZV5" s="1962"/>
      <c r="JZW5" s="1962"/>
      <c r="JZX5" s="1962"/>
      <c r="JZY5" s="1962"/>
      <c r="JZZ5" s="1962"/>
      <c r="KAA5" s="1962"/>
      <c r="KAB5" s="1962"/>
      <c r="KAC5" s="1962"/>
      <c r="KAD5" s="1962"/>
      <c r="KAE5" s="1962"/>
      <c r="KAF5" s="1962"/>
      <c r="KAG5" s="1962"/>
      <c r="KAH5" s="1962"/>
      <c r="KAI5" s="1962"/>
      <c r="KAJ5" s="1962"/>
      <c r="KAK5" s="1962"/>
      <c r="KAL5" s="1962"/>
      <c r="KAM5" s="1962"/>
      <c r="KAN5" s="1962"/>
      <c r="KAO5" s="1962"/>
      <c r="KAP5" s="1962"/>
      <c r="KAQ5" s="1962"/>
      <c r="KAR5" s="1962"/>
      <c r="KAS5" s="1962"/>
      <c r="KAT5" s="1962"/>
      <c r="KAU5" s="1962"/>
      <c r="KAV5" s="1962"/>
      <c r="KAW5" s="1962"/>
      <c r="KAX5" s="1962"/>
      <c r="KAY5" s="1962"/>
      <c r="KAZ5" s="1962"/>
      <c r="KBA5" s="1962"/>
      <c r="KBB5" s="1962"/>
      <c r="KBC5" s="1962"/>
      <c r="KBD5" s="1962"/>
      <c r="KBE5" s="1962"/>
      <c r="KBF5" s="1962"/>
      <c r="KBG5" s="1962"/>
      <c r="KBH5" s="1962"/>
      <c r="KBI5" s="1962"/>
      <c r="KBJ5" s="1962"/>
      <c r="KBK5" s="1962"/>
      <c r="KBL5" s="1962"/>
      <c r="KBM5" s="1962"/>
      <c r="KBN5" s="1962"/>
      <c r="KBO5" s="1962"/>
      <c r="KBP5" s="1962"/>
      <c r="KBQ5" s="1962"/>
      <c r="KBR5" s="1962"/>
      <c r="KBS5" s="1962"/>
      <c r="KBT5" s="1962"/>
      <c r="KBU5" s="1962"/>
      <c r="KBV5" s="1962"/>
      <c r="KBW5" s="1962"/>
      <c r="KBX5" s="1962"/>
      <c r="KBY5" s="1962"/>
      <c r="KBZ5" s="1962"/>
      <c r="KCA5" s="1962"/>
      <c r="KCB5" s="1962"/>
      <c r="KCC5" s="1962"/>
      <c r="KCD5" s="1962"/>
      <c r="KCE5" s="1962"/>
      <c r="KCF5" s="1962"/>
      <c r="KCG5" s="1962"/>
      <c r="KCH5" s="1962"/>
      <c r="KCI5" s="1962"/>
      <c r="KCJ5" s="1962"/>
      <c r="KCK5" s="1962"/>
      <c r="KCL5" s="1962"/>
      <c r="KCM5" s="1962"/>
      <c r="KCN5" s="1962"/>
      <c r="KCO5" s="1962"/>
      <c r="KCP5" s="1962"/>
      <c r="KCQ5" s="1962"/>
      <c r="KCR5" s="1962"/>
      <c r="KCS5" s="1962"/>
      <c r="KCT5" s="1962"/>
      <c r="KCU5" s="1962"/>
      <c r="KCV5" s="1962"/>
      <c r="KCW5" s="1962"/>
      <c r="KCX5" s="1962"/>
      <c r="KCY5" s="1962"/>
      <c r="KCZ5" s="1962"/>
      <c r="KDA5" s="1962"/>
      <c r="KDB5" s="1962"/>
      <c r="KDC5" s="1962"/>
      <c r="KDD5" s="1962"/>
      <c r="KDE5" s="1962"/>
      <c r="KDF5" s="1962"/>
      <c r="KDG5" s="1962"/>
      <c r="KDH5" s="1962"/>
      <c r="KDI5" s="1962"/>
      <c r="KDJ5" s="1962"/>
      <c r="KDK5" s="1962"/>
      <c r="KDL5" s="1962"/>
      <c r="KDM5" s="1962"/>
      <c r="KDN5" s="1962"/>
      <c r="KDO5" s="1962"/>
      <c r="KDP5" s="1962"/>
      <c r="KDQ5" s="1962"/>
      <c r="KDR5" s="1962"/>
      <c r="KDS5" s="1962"/>
      <c r="KDT5" s="1962"/>
      <c r="KDU5" s="1962"/>
      <c r="KDV5" s="1962"/>
      <c r="KDW5" s="1962"/>
      <c r="KDX5" s="1962"/>
      <c r="KDY5" s="1962"/>
      <c r="KDZ5" s="1962"/>
      <c r="KEA5" s="1962"/>
      <c r="KEB5" s="1962"/>
      <c r="KEC5" s="1962"/>
      <c r="KED5" s="1962"/>
      <c r="KEE5" s="1962"/>
      <c r="KEF5" s="1962"/>
      <c r="KEG5" s="1962"/>
      <c r="KEH5" s="1962"/>
      <c r="KEI5" s="1962"/>
      <c r="KEJ5" s="1962"/>
      <c r="KEK5" s="1962"/>
      <c r="KEL5" s="1962"/>
      <c r="KEM5" s="1962"/>
      <c r="KEN5" s="1962"/>
      <c r="KEO5" s="1962"/>
      <c r="KEP5" s="1962"/>
      <c r="KEQ5" s="1962"/>
      <c r="KER5" s="1962"/>
      <c r="KES5" s="1962"/>
      <c r="KET5" s="1962"/>
      <c r="KEU5" s="1962"/>
      <c r="KEV5" s="1962"/>
      <c r="KEW5" s="1962"/>
      <c r="KEX5" s="1962"/>
      <c r="KEY5" s="1962"/>
      <c r="KEZ5" s="1962"/>
      <c r="KFA5" s="1962"/>
      <c r="KFB5" s="1962"/>
      <c r="KFC5" s="1962"/>
      <c r="KFD5" s="1962"/>
      <c r="KFE5" s="1962"/>
      <c r="KFF5" s="1962"/>
      <c r="KFG5" s="1962"/>
      <c r="KFH5" s="1962"/>
      <c r="KFI5" s="1962"/>
      <c r="KFJ5" s="1962"/>
      <c r="KFK5" s="1962"/>
      <c r="KFL5" s="1962"/>
      <c r="KFM5" s="1962"/>
      <c r="KFN5" s="1962"/>
      <c r="KFO5" s="1962"/>
      <c r="KFP5" s="1962"/>
      <c r="KFQ5" s="1962"/>
      <c r="KFR5" s="1962"/>
      <c r="KFS5" s="1962"/>
      <c r="KFT5" s="1962"/>
      <c r="KFU5" s="1962"/>
      <c r="KFV5" s="1962"/>
      <c r="KFW5" s="1962"/>
      <c r="KFX5" s="1962"/>
      <c r="KFY5" s="1962"/>
      <c r="KFZ5" s="1962"/>
      <c r="KGA5" s="1962"/>
      <c r="KGB5" s="1962"/>
      <c r="KGC5" s="1962"/>
      <c r="KGD5" s="1962"/>
      <c r="KGE5" s="1962"/>
      <c r="KGF5" s="1962"/>
      <c r="KGG5" s="1962"/>
      <c r="KGH5" s="1962"/>
      <c r="KGI5" s="1962"/>
      <c r="KGJ5" s="1962"/>
      <c r="KGK5" s="1962"/>
      <c r="KGL5" s="1962"/>
      <c r="KGM5" s="1962"/>
      <c r="KGN5" s="1962"/>
      <c r="KGO5" s="1962"/>
      <c r="KGP5" s="1962"/>
      <c r="KGQ5" s="1962"/>
      <c r="KGR5" s="1962"/>
      <c r="KGS5" s="1962"/>
      <c r="KGT5" s="1962"/>
      <c r="KGU5" s="1962"/>
      <c r="KGV5" s="1962"/>
      <c r="KGW5" s="1962"/>
      <c r="KGX5" s="1962"/>
      <c r="KGY5" s="1962"/>
      <c r="KGZ5" s="1962"/>
      <c r="KHA5" s="1962"/>
      <c r="KHB5" s="1962"/>
      <c r="KHC5" s="1962"/>
      <c r="KHD5" s="1962"/>
      <c r="KHE5" s="1962"/>
      <c r="KHF5" s="1962"/>
      <c r="KHG5" s="1962"/>
      <c r="KHH5" s="1962"/>
      <c r="KHI5" s="1962"/>
      <c r="KHJ5" s="1962"/>
      <c r="KHK5" s="1962"/>
      <c r="KHL5" s="1962"/>
      <c r="KHM5" s="1962"/>
      <c r="KHN5" s="1962"/>
      <c r="KHO5" s="1962"/>
      <c r="KHP5" s="1962"/>
      <c r="KHQ5" s="1962"/>
      <c r="KHR5" s="1962"/>
      <c r="KHS5" s="1962"/>
      <c r="KHT5" s="1962"/>
      <c r="KHU5" s="1962"/>
      <c r="KHV5" s="1962"/>
      <c r="KHW5" s="1962"/>
      <c r="KHX5" s="1962"/>
      <c r="KHY5" s="1962"/>
      <c r="KHZ5" s="1962"/>
      <c r="KIA5" s="1962"/>
      <c r="KIB5" s="1962"/>
      <c r="KIC5" s="1962"/>
      <c r="KID5" s="1962"/>
      <c r="KIE5" s="1962"/>
      <c r="KIF5" s="1962"/>
      <c r="KIG5" s="1962"/>
      <c r="KIH5" s="1962"/>
      <c r="KII5" s="1962"/>
      <c r="KIJ5" s="1962"/>
      <c r="KIK5" s="1962"/>
      <c r="KIL5" s="1962"/>
      <c r="KIM5" s="1962"/>
      <c r="KIN5" s="1962"/>
      <c r="KIO5" s="1962"/>
      <c r="KIP5" s="1962"/>
      <c r="KIQ5" s="1962"/>
      <c r="KIR5" s="1962"/>
      <c r="KIS5" s="1962"/>
      <c r="KIT5" s="1962"/>
      <c r="KIU5" s="1962"/>
      <c r="KIV5" s="1962"/>
      <c r="KIW5" s="1962"/>
      <c r="KIX5" s="1962"/>
      <c r="KIY5" s="1962"/>
      <c r="KIZ5" s="1962"/>
      <c r="KJA5" s="1962"/>
      <c r="KJB5" s="1962"/>
      <c r="KJC5" s="1962"/>
      <c r="KJD5" s="1962"/>
      <c r="KJE5" s="1962"/>
      <c r="KJF5" s="1962"/>
      <c r="KJG5" s="1962"/>
      <c r="KJH5" s="1962"/>
      <c r="KJI5" s="1962"/>
      <c r="KJJ5" s="1962"/>
      <c r="KJK5" s="1962"/>
      <c r="KJL5" s="1962"/>
      <c r="KJM5" s="1962"/>
      <c r="KJN5" s="1962"/>
      <c r="KJO5" s="1962"/>
      <c r="KJP5" s="1962"/>
      <c r="KJQ5" s="1962"/>
      <c r="KJR5" s="1962"/>
      <c r="KJS5" s="1962"/>
      <c r="KJT5" s="1962"/>
      <c r="KJU5" s="1962"/>
      <c r="KJV5" s="1962"/>
      <c r="KJW5" s="1962"/>
      <c r="KJX5" s="1962"/>
      <c r="KJY5" s="1962"/>
      <c r="KJZ5" s="1962"/>
      <c r="KKA5" s="1962"/>
      <c r="KKB5" s="1962"/>
      <c r="KKC5" s="1962"/>
      <c r="KKD5" s="1962"/>
      <c r="KKE5" s="1962"/>
      <c r="KKF5" s="1962"/>
      <c r="KKG5" s="1962"/>
      <c r="KKH5" s="1962"/>
      <c r="KKI5" s="1962"/>
      <c r="KKJ5" s="1962"/>
      <c r="KKK5" s="1962"/>
      <c r="KKL5" s="1962"/>
      <c r="KKM5" s="1962"/>
      <c r="KKN5" s="1962"/>
      <c r="KKO5" s="1962"/>
      <c r="KKP5" s="1962"/>
      <c r="KKQ5" s="1962"/>
      <c r="KKR5" s="1962"/>
      <c r="KKS5" s="1962"/>
      <c r="KKT5" s="1962"/>
      <c r="KKU5" s="1962"/>
      <c r="KKV5" s="1962"/>
      <c r="KKW5" s="1962"/>
      <c r="KKX5" s="1962"/>
      <c r="KKY5" s="1962"/>
      <c r="KKZ5" s="1962"/>
      <c r="KLA5" s="1962"/>
      <c r="KLB5" s="1962"/>
      <c r="KLC5" s="1962"/>
      <c r="KLD5" s="1962"/>
      <c r="KLE5" s="1962"/>
      <c r="KLF5" s="1962"/>
      <c r="KLG5" s="1962"/>
      <c r="KLH5" s="1962"/>
      <c r="KLI5" s="1962"/>
      <c r="KLJ5" s="1962"/>
      <c r="KLK5" s="1962"/>
      <c r="KLL5" s="1962"/>
      <c r="KLM5" s="1962"/>
      <c r="KLN5" s="1962"/>
      <c r="KLO5" s="1962"/>
      <c r="KLP5" s="1962"/>
      <c r="KLQ5" s="1962"/>
      <c r="KLR5" s="1962"/>
      <c r="KLS5" s="1962"/>
      <c r="KLT5" s="1962"/>
      <c r="KLU5" s="1962"/>
      <c r="KLV5" s="1962"/>
      <c r="KLW5" s="1962"/>
      <c r="KLX5" s="1962"/>
      <c r="KLY5" s="1962"/>
      <c r="KLZ5" s="1962"/>
      <c r="KMA5" s="1962"/>
      <c r="KMB5" s="1962"/>
      <c r="KMC5" s="1962"/>
      <c r="KMD5" s="1962"/>
      <c r="KME5" s="1962"/>
      <c r="KMF5" s="1962"/>
      <c r="KMG5" s="1962"/>
      <c r="KMH5" s="1962"/>
      <c r="KMI5" s="1962"/>
      <c r="KMJ5" s="1962"/>
      <c r="KMK5" s="1962"/>
      <c r="KML5" s="1962"/>
      <c r="KMM5" s="1962"/>
      <c r="KMN5" s="1962"/>
      <c r="KMO5" s="1962"/>
      <c r="KMP5" s="1962"/>
      <c r="KMQ5" s="1962"/>
      <c r="KMR5" s="1962"/>
      <c r="KMS5" s="1962"/>
      <c r="KMT5" s="1962"/>
      <c r="KMU5" s="1962"/>
      <c r="KMV5" s="1962"/>
      <c r="KMW5" s="1962"/>
      <c r="KMX5" s="1962"/>
      <c r="KMY5" s="1962"/>
      <c r="KMZ5" s="1962"/>
      <c r="KNA5" s="1962"/>
      <c r="KNB5" s="1962"/>
      <c r="KNC5" s="1962"/>
      <c r="KND5" s="1962"/>
      <c r="KNE5" s="1962"/>
      <c r="KNF5" s="1962"/>
      <c r="KNG5" s="1962"/>
      <c r="KNH5" s="1962"/>
      <c r="KNI5" s="1962"/>
      <c r="KNJ5" s="1962"/>
      <c r="KNK5" s="1962"/>
      <c r="KNL5" s="1962"/>
      <c r="KNM5" s="1962"/>
      <c r="KNN5" s="1962"/>
      <c r="KNO5" s="1962"/>
      <c r="KNP5" s="1962"/>
      <c r="KNQ5" s="1962"/>
      <c r="KNR5" s="1962"/>
      <c r="KNS5" s="1962"/>
      <c r="KNT5" s="1962"/>
      <c r="KNU5" s="1962"/>
      <c r="KNV5" s="1962"/>
      <c r="KNW5" s="1962"/>
      <c r="KNX5" s="1962"/>
      <c r="KNY5" s="1962"/>
      <c r="KNZ5" s="1962"/>
      <c r="KOA5" s="1962"/>
      <c r="KOB5" s="1962"/>
      <c r="KOC5" s="1962"/>
      <c r="KOD5" s="1962"/>
      <c r="KOE5" s="1962"/>
      <c r="KOF5" s="1962"/>
      <c r="KOG5" s="1962"/>
      <c r="KOH5" s="1962"/>
      <c r="KOI5" s="1962"/>
      <c r="KOJ5" s="1962"/>
      <c r="KOK5" s="1962"/>
      <c r="KOL5" s="1962"/>
      <c r="KOM5" s="1962"/>
      <c r="KON5" s="1962"/>
      <c r="KOO5" s="1962"/>
      <c r="KOP5" s="1962"/>
      <c r="KOQ5" s="1962"/>
      <c r="KOR5" s="1962"/>
      <c r="KOS5" s="1962"/>
      <c r="KOT5" s="1962"/>
      <c r="KOU5" s="1962"/>
      <c r="KOV5" s="1962"/>
      <c r="KOW5" s="1962"/>
      <c r="KOX5" s="1962"/>
      <c r="KOY5" s="1962"/>
      <c r="KOZ5" s="1962"/>
      <c r="KPA5" s="1962"/>
      <c r="KPB5" s="1962"/>
      <c r="KPC5" s="1962"/>
      <c r="KPD5" s="1962"/>
      <c r="KPE5" s="1962"/>
      <c r="KPF5" s="1962"/>
      <c r="KPG5" s="1962"/>
      <c r="KPH5" s="1962"/>
      <c r="KPI5" s="1962"/>
      <c r="KPJ5" s="1962"/>
      <c r="KPK5" s="1962"/>
      <c r="KPL5" s="1962"/>
      <c r="KPM5" s="1962"/>
      <c r="KPN5" s="1962"/>
      <c r="KPO5" s="1962"/>
      <c r="KPP5" s="1962"/>
      <c r="KPQ5" s="1962"/>
      <c r="KPR5" s="1962"/>
      <c r="KPS5" s="1962"/>
      <c r="KPT5" s="1962"/>
      <c r="KPU5" s="1962"/>
      <c r="KPV5" s="1962"/>
      <c r="KPW5" s="1962"/>
      <c r="KPX5" s="1962"/>
      <c r="KPY5" s="1962"/>
      <c r="KPZ5" s="1962"/>
      <c r="KQA5" s="1962"/>
      <c r="KQB5" s="1962"/>
      <c r="KQC5" s="1962"/>
      <c r="KQD5" s="1962"/>
      <c r="KQE5" s="1962"/>
      <c r="KQF5" s="1962"/>
      <c r="KQG5" s="1962"/>
      <c r="KQH5" s="1962"/>
      <c r="KQI5" s="1962"/>
      <c r="KQJ5" s="1962"/>
      <c r="KQK5" s="1962"/>
      <c r="KQL5" s="1962"/>
      <c r="KQM5" s="1962"/>
      <c r="KQN5" s="1962"/>
      <c r="KQO5" s="1962"/>
      <c r="KQP5" s="1962"/>
      <c r="KQQ5" s="1962"/>
      <c r="KQR5" s="1962"/>
      <c r="KQS5" s="1962"/>
      <c r="KQT5" s="1962"/>
      <c r="KQU5" s="1962"/>
      <c r="KQV5" s="1962"/>
      <c r="KQW5" s="1962"/>
      <c r="KQX5" s="1962"/>
      <c r="KQY5" s="1962"/>
      <c r="KQZ5" s="1962"/>
      <c r="KRA5" s="1962"/>
      <c r="KRB5" s="1962"/>
      <c r="KRC5" s="1962"/>
      <c r="KRD5" s="1962"/>
      <c r="KRE5" s="1962"/>
      <c r="KRF5" s="1962"/>
      <c r="KRG5" s="1962"/>
      <c r="KRH5" s="1962"/>
      <c r="KRI5" s="1962"/>
      <c r="KRJ5" s="1962"/>
      <c r="KRK5" s="1962"/>
      <c r="KRL5" s="1962"/>
      <c r="KRM5" s="1962"/>
      <c r="KRN5" s="1962"/>
      <c r="KRO5" s="1962"/>
      <c r="KRP5" s="1962"/>
      <c r="KRQ5" s="1962"/>
      <c r="KRR5" s="1962"/>
      <c r="KRS5" s="1962"/>
      <c r="KRT5" s="1962"/>
      <c r="KRU5" s="1962"/>
      <c r="KRV5" s="1962"/>
      <c r="KRW5" s="1962"/>
      <c r="KRX5" s="1962"/>
      <c r="KRY5" s="1962"/>
      <c r="KRZ5" s="1962"/>
      <c r="KSA5" s="1962"/>
      <c r="KSB5" s="1962"/>
      <c r="KSC5" s="1962"/>
      <c r="KSD5" s="1962"/>
      <c r="KSE5" s="1962"/>
      <c r="KSF5" s="1962"/>
      <c r="KSG5" s="1962"/>
      <c r="KSH5" s="1962"/>
      <c r="KSI5" s="1962"/>
      <c r="KSJ5" s="1962"/>
      <c r="KSK5" s="1962"/>
      <c r="KSL5" s="1962"/>
      <c r="KSM5" s="1962"/>
      <c r="KSN5" s="1962"/>
      <c r="KSO5" s="1962"/>
      <c r="KSP5" s="1962"/>
      <c r="KSQ5" s="1962"/>
      <c r="KSR5" s="1962"/>
      <c r="KSS5" s="1962"/>
      <c r="KST5" s="1962"/>
      <c r="KSU5" s="1962"/>
      <c r="KSV5" s="1962"/>
      <c r="KSW5" s="1962"/>
      <c r="KSX5" s="1962"/>
      <c r="KSY5" s="1962"/>
      <c r="KSZ5" s="1962"/>
      <c r="KTA5" s="1962"/>
      <c r="KTB5" s="1962"/>
      <c r="KTC5" s="1962"/>
      <c r="KTD5" s="1962"/>
      <c r="KTE5" s="1962"/>
      <c r="KTF5" s="1962"/>
      <c r="KTG5" s="1962"/>
      <c r="KTH5" s="1962"/>
      <c r="KTI5" s="1962"/>
      <c r="KTJ5" s="1962"/>
      <c r="KTK5" s="1962"/>
      <c r="KTL5" s="1962"/>
      <c r="KTM5" s="1962"/>
      <c r="KTN5" s="1962"/>
      <c r="KTO5" s="1962"/>
      <c r="KTP5" s="1962"/>
      <c r="KTQ5" s="1962"/>
      <c r="KTR5" s="1962"/>
      <c r="KTS5" s="1962"/>
      <c r="KTT5" s="1962"/>
      <c r="KTU5" s="1962"/>
      <c r="KTV5" s="1962"/>
      <c r="KTW5" s="1962"/>
      <c r="KTX5" s="1962"/>
      <c r="KTY5" s="1962"/>
      <c r="KTZ5" s="1962"/>
      <c r="KUA5" s="1962"/>
      <c r="KUB5" s="1962"/>
      <c r="KUC5" s="1962"/>
      <c r="KUD5" s="1962"/>
      <c r="KUE5" s="1962"/>
      <c r="KUF5" s="1962"/>
      <c r="KUG5" s="1962"/>
      <c r="KUH5" s="1962"/>
      <c r="KUI5" s="1962"/>
      <c r="KUJ5" s="1962"/>
      <c r="KUK5" s="1962"/>
      <c r="KUL5" s="1962"/>
      <c r="KUM5" s="1962"/>
      <c r="KUN5" s="1962"/>
      <c r="KUO5" s="1962"/>
      <c r="KUP5" s="1962"/>
      <c r="KUQ5" s="1962"/>
      <c r="KUR5" s="1962"/>
      <c r="KUS5" s="1962"/>
      <c r="KUT5" s="1962"/>
      <c r="KUU5" s="1962"/>
      <c r="KUV5" s="1962"/>
      <c r="KUW5" s="1962"/>
      <c r="KUX5" s="1962"/>
      <c r="KUY5" s="1962"/>
      <c r="KUZ5" s="1962"/>
      <c r="KVA5" s="1962"/>
      <c r="KVB5" s="1962"/>
      <c r="KVC5" s="1962"/>
      <c r="KVD5" s="1962"/>
      <c r="KVE5" s="1962"/>
      <c r="KVF5" s="1962"/>
      <c r="KVG5" s="1962"/>
      <c r="KVH5" s="1962"/>
      <c r="KVI5" s="1962"/>
      <c r="KVJ5" s="1962"/>
      <c r="KVK5" s="1962"/>
      <c r="KVL5" s="1962"/>
      <c r="KVM5" s="1962"/>
      <c r="KVN5" s="1962"/>
      <c r="KVO5" s="1962"/>
      <c r="KVP5" s="1962"/>
      <c r="KVQ5" s="1962"/>
      <c r="KVR5" s="1962"/>
      <c r="KVS5" s="1962"/>
      <c r="KVT5" s="1962"/>
      <c r="KVU5" s="1962"/>
      <c r="KVV5" s="1962"/>
      <c r="KVW5" s="1962"/>
      <c r="KVX5" s="1962"/>
      <c r="KVY5" s="1962"/>
      <c r="KVZ5" s="1962"/>
      <c r="KWA5" s="1962"/>
      <c r="KWB5" s="1962"/>
      <c r="KWC5" s="1962"/>
      <c r="KWD5" s="1962"/>
      <c r="KWE5" s="1962"/>
      <c r="KWF5" s="1962"/>
      <c r="KWG5" s="1962"/>
      <c r="KWH5" s="1962"/>
      <c r="KWI5" s="1962"/>
      <c r="KWJ5" s="1962"/>
      <c r="KWK5" s="1962"/>
      <c r="KWL5" s="1962"/>
      <c r="KWM5" s="1962"/>
      <c r="KWN5" s="1962"/>
      <c r="KWO5" s="1962"/>
      <c r="KWP5" s="1962"/>
      <c r="KWQ5" s="1962"/>
      <c r="KWR5" s="1962"/>
      <c r="KWS5" s="1962"/>
      <c r="KWT5" s="1962"/>
      <c r="KWU5" s="1962"/>
      <c r="KWV5" s="1962"/>
      <c r="KWW5" s="1962"/>
      <c r="KWX5" s="1962"/>
      <c r="KWY5" s="1962"/>
      <c r="KWZ5" s="1962"/>
      <c r="KXA5" s="1962"/>
      <c r="KXB5" s="1962"/>
      <c r="KXC5" s="1962"/>
      <c r="KXD5" s="1962"/>
      <c r="KXE5" s="1962"/>
      <c r="KXF5" s="1962"/>
      <c r="KXG5" s="1962"/>
      <c r="KXH5" s="1962"/>
      <c r="KXI5" s="1962"/>
      <c r="KXJ5" s="1962"/>
      <c r="KXK5" s="1962"/>
      <c r="KXL5" s="1962"/>
      <c r="KXM5" s="1962"/>
      <c r="KXN5" s="1962"/>
      <c r="KXO5" s="1962"/>
      <c r="KXP5" s="1962"/>
      <c r="KXQ5" s="1962"/>
      <c r="KXR5" s="1962"/>
      <c r="KXS5" s="1962"/>
      <c r="KXT5" s="1962"/>
      <c r="KXU5" s="1962"/>
      <c r="KXV5" s="1962"/>
      <c r="KXW5" s="1962"/>
      <c r="KXX5" s="1962"/>
      <c r="KXY5" s="1962"/>
      <c r="KXZ5" s="1962"/>
      <c r="KYA5" s="1962"/>
      <c r="KYB5" s="1962"/>
      <c r="KYC5" s="1962"/>
      <c r="KYD5" s="1962"/>
      <c r="KYE5" s="1962"/>
      <c r="KYF5" s="1962"/>
      <c r="KYG5" s="1962"/>
      <c r="KYH5" s="1962"/>
      <c r="KYI5" s="1962"/>
      <c r="KYJ5" s="1962"/>
      <c r="KYK5" s="1962"/>
      <c r="KYL5" s="1962"/>
      <c r="KYM5" s="1962"/>
      <c r="KYN5" s="1962"/>
      <c r="KYO5" s="1962"/>
      <c r="KYP5" s="1962"/>
      <c r="KYQ5" s="1962"/>
      <c r="KYR5" s="1962"/>
      <c r="KYS5" s="1962"/>
      <c r="KYT5" s="1962"/>
      <c r="KYU5" s="1962"/>
      <c r="KYV5" s="1962"/>
      <c r="KYW5" s="1962"/>
      <c r="KYX5" s="1962"/>
      <c r="KYY5" s="1962"/>
      <c r="KYZ5" s="1962"/>
      <c r="KZA5" s="1962"/>
      <c r="KZB5" s="1962"/>
      <c r="KZC5" s="1962"/>
      <c r="KZD5" s="1962"/>
      <c r="KZE5" s="1962"/>
      <c r="KZF5" s="1962"/>
      <c r="KZG5" s="1962"/>
      <c r="KZH5" s="1962"/>
      <c r="KZI5" s="1962"/>
      <c r="KZJ5" s="1962"/>
      <c r="KZK5" s="1962"/>
      <c r="KZL5" s="1962"/>
      <c r="KZM5" s="1962"/>
      <c r="KZN5" s="1962"/>
      <c r="KZO5" s="1962"/>
      <c r="KZP5" s="1962"/>
      <c r="KZQ5" s="1962"/>
      <c r="KZR5" s="1962"/>
      <c r="KZS5" s="1962"/>
      <c r="KZT5" s="1962"/>
      <c r="KZU5" s="1962"/>
      <c r="KZV5" s="1962"/>
      <c r="KZW5" s="1962"/>
      <c r="KZX5" s="1962"/>
      <c r="KZY5" s="1962"/>
      <c r="KZZ5" s="1962"/>
      <c r="LAA5" s="1962"/>
      <c r="LAB5" s="1962"/>
      <c r="LAC5" s="1962"/>
      <c r="LAD5" s="1962"/>
      <c r="LAE5" s="1962"/>
      <c r="LAF5" s="1962"/>
      <c r="LAG5" s="1962"/>
      <c r="LAH5" s="1962"/>
      <c r="LAI5" s="1962"/>
      <c r="LAJ5" s="1962"/>
      <c r="LAK5" s="1962"/>
      <c r="LAL5" s="1962"/>
      <c r="LAM5" s="1962"/>
      <c r="LAN5" s="1962"/>
      <c r="LAO5" s="1962"/>
      <c r="LAP5" s="1962"/>
      <c r="LAQ5" s="1962"/>
      <c r="LAR5" s="1962"/>
      <c r="LAS5" s="1962"/>
      <c r="LAT5" s="1962"/>
      <c r="LAU5" s="1962"/>
      <c r="LAV5" s="1962"/>
      <c r="LAW5" s="1962"/>
      <c r="LAX5" s="1962"/>
      <c r="LAY5" s="1962"/>
      <c r="LAZ5" s="1962"/>
      <c r="LBA5" s="1962"/>
      <c r="LBB5" s="1962"/>
      <c r="LBC5" s="1962"/>
      <c r="LBD5" s="1962"/>
      <c r="LBE5" s="1962"/>
      <c r="LBF5" s="1962"/>
      <c r="LBG5" s="1962"/>
      <c r="LBH5" s="1962"/>
      <c r="LBI5" s="1962"/>
      <c r="LBJ5" s="1962"/>
      <c r="LBK5" s="1962"/>
      <c r="LBL5" s="1962"/>
      <c r="LBM5" s="1962"/>
      <c r="LBN5" s="1962"/>
      <c r="LBO5" s="1962"/>
      <c r="LBP5" s="1962"/>
      <c r="LBQ5" s="1962"/>
      <c r="LBR5" s="1962"/>
      <c r="LBS5" s="1962"/>
      <c r="LBT5" s="1962"/>
      <c r="LBU5" s="1962"/>
      <c r="LBV5" s="1962"/>
      <c r="LBW5" s="1962"/>
      <c r="LBX5" s="1962"/>
      <c r="LBY5" s="1962"/>
      <c r="LBZ5" s="1962"/>
      <c r="LCA5" s="1962"/>
      <c r="LCB5" s="1962"/>
      <c r="LCC5" s="1962"/>
      <c r="LCD5" s="1962"/>
      <c r="LCE5" s="1962"/>
      <c r="LCF5" s="1962"/>
      <c r="LCG5" s="1962"/>
      <c r="LCH5" s="1962"/>
      <c r="LCI5" s="1962"/>
      <c r="LCJ5" s="1962"/>
      <c r="LCK5" s="1962"/>
      <c r="LCL5" s="1962"/>
      <c r="LCM5" s="1962"/>
      <c r="LCN5" s="1962"/>
      <c r="LCO5" s="1962"/>
      <c r="LCP5" s="1962"/>
      <c r="LCQ5" s="1962"/>
      <c r="LCR5" s="1962"/>
      <c r="LCS5" s="1962"/>
      <c r="LCT5" s="1962"/>
      <c r="LCU5" s="1962"/>
      <c r="LCV5" s="1962"/>
      <c r="LCW5" s="1962"/>
      <c r="LCX5" s="1962"/>
      <c r="LCY5" s="1962"/>
      <c r="LCZ5" s="1962"/>
      <c r="LDA5" s="1962"/>
      <c r="LDB5" s="1962"/>
      <c r="LDC5" s="1962"/>
      <c r="LDD5" s="1962"/>
      <c r="LDE5" s="1962"/>
      <c r="LDF5" s="1962"/>
      <c r="LDG5" s="1962"/>
      <c r="LDH5" s="1962"/>
      <c r="LDI5" s="1962"/>
      <c r="LDJ5" s="1962"/>
      <c r="LDK5" s="1962"/>
      <c r="LDL5" s="1962"/>
      <c r="LDM5" s="1962"/>
      <c r="LDN5" s="1962"/>
      <c r="LDO5" s="1962"/>
      <c r="LDP5" s="1962"/>
      <c r="LDQ5" s="1962"/>
      <c r="LDR5" s="1962"/>
      <c r="LDS5" s="1962"/>
      <c r="LDT5" s="1962"/>
      <c r="LDU5" s="1962"/>
      <c r="LDV5" s="1962"/>
      <c r="LDW5" s="1962"/>
      <c r="LDX5" s="1962"/>
      <c r="LDY5" s="1962"/>
      <c r="LDZ5" s="1962"/>
      <c r="LEA5" s="1962"/>
      <c r="LEB5" s="1962"/>
      <c r="LEC5" s="1962"/>
      <c r="LED5" s="1962"/>
      <c r="LEE5" s="1962"/>
      <c r="LEF5" s="1962"/>
      <c r="LEG5" s="1962"/>
      <c r="LEH5" s="1962"/>
      <c r="LEI5" s="1962"/>
      <c r="LEJ5" s="1962"/>
      <c r="LEK5" s="1962"/>
      <c r="LEL5" s="1962"/>
      <c r="LEM5" s="1962"/>
      <c r="LEN5" s="1962"/>
      <c r="LEO5" s="1962"/>
      <c r="LEP5" s="1962"/>
      <c r="LEQ5" s="1962"/>
      <c r="LER5" s="1962"/>
      <c r="LES5" s="1962"/>
      <c r="LET5" s="1962"/>
      <c r="LEU5" s="1962"/>
      <c r="LEV5" s="1962"/>
      <c r="LEW5" s="1962"/>
      <c r="LEX5" s="1962"/>
      <c r="LEY5" s="1962"/>
      <c r="LEZ5" s="1962"/>
      <c r="LFA5" s="1962"/>
      <c r="LFB5" s="1962"/>
      <c r="LFC5" s="1962"/>
      <c r="LFD5" s="1962"/>
      <c r="LFE5" s="1962"/>
      <c r="LFF5" s="1962"/>
      <c r="LFG5" s="1962"/>
      <c r="LFH5" s="1962"/>
      <c r="LFI5" s="1962"/>
      <c r="LFJ5" s="1962"/>
      <c r="LFK5" s="1962"/>
      <c r="LFL5" s="1962"/>
      <c r="LFM5" s="1962"/>
      <c r="LFN5" s="1962"/>
      <c r="LFO5" s="1962"/>
      <c r="LFP5" s="1962"/>
      <c r="LFQ5" s="1962"/>
      <c r="LFR5" s="1962"/>
      <c r="LFS5" s="1962"/>
      <c r="LFT5" s="1962"/>
      <c r="LFU5" s="1962"/>
      <c r="LFV5" s="1962"/>
      <c r="LFW5" s="1962"/>
      <c r="LFX5" s="1962"/>
      <c r="LFY5" s="1962"/>
      <c r="LFZ5" s="1962"/>
      <c r="LGA5" s="1962"/>
      <c r="LGB5" s="1962"/>
      <c r="LGC5" s="1962"/>
      <c r="LGD5" s="1962"/>
      <c r="LGE5" s="1962"/>
      <c r="LGF5" s="1962"/>
      <c r="LGG5" s="1962"/>
      <c r="LGH5" s="1962"/>
      <c r="LGI5" s="1962"/>
      <c r="LGJ5" s="1962"/>
      <c r="LGK5" s="1962"/>
      <c r="LGL5" s="1962"/>
      <c r="LGM5" s="1962"/>
      <c r="LGN5" s="1962"/>
      <c r="LGO5" s="1962"/>
      <c r="LGP5" s="1962"/>
      <c r="LGQ5" s="1962"/>
      <c r="LGR5" s="1962"/>
      <c r="LGS5" s="1962"/>
      <c r="LGT5" s="1962"/>
      <c r="LGU5" s="1962"/>
      <c r="LGV5" s="1962"/>
      <c r="LGW5" s="1962"/>
      <c r="LGX5" s="1962"/>
      <c r="LGY5" s="1962"/>
      <c r="LGZ5" s="1962"/>
      <c r="LHA5" s="1962"/>
      <c r="LHB5" s="1962"/>
      <c r="LHC5" s="1962"/>
      <c r="LHD5" s="1962"/>
      <c r="LHE5" s="1962"/>
      <c r="LHF5" s="1962"/>
      <c r="LHG5" s="1962"/>
      <c r="LHH5" s="1962"/>
      <c r="LHI5" s="1962"/>
      <c r="LHJ5" s="1962"/>
      <c r="LHK5" s="1962"/>
      <c r="LHL5" s="1962"/>
      <c r="LHM5" s="1962"/>
      <c r="LHN5" s="1962"/>
      <c r="LHO5" s="1962"/>
      <c r="LHP5" s="1962"/>
      <c r="LHQ5" s="1962"/>
      <c r="LHR5" s="1962"/>
      <c r="LHS5" s="1962"/>
      <c r="LHT5" s="1962"/>
      <c r="LHU5" s="1962"/>
      <c r="LHV5" s="1962"/>
      <c r="LHW5" s="1962"/>
      <c r="LHX5" s="1962"/>
      <c r="LHY5" s="1962"/>
      <c r="LHZ5" s="1962"/>
      <c r="LIA5" s="1962"/>
      <c r="LIB5" s="1962"/>
      <c r="LIC5" s="1962"/>
      <c r="LID5" s="1962"/>
      <c r="LIE5" s="1962"/>
      <c r="LIF5" s="1962"/>
      <c r="LIG5" s="1962"/>
      <c r="LIH5" s="1962"/>
      <c r="LII5" s="1962"/>
      <c r="LIJ5" s="1962"/>
      <c r="LIK5" s="1962"/>
      <c r="LIL5" s="1962"/>
      <c r="LIM5" s="1962"/>
      <c r="LIN5" s="1962"/>
      <c r="LIO5" s="1962"/>
      <c r="LIP5" s="1962"/>
      <c r="LIQ5" s="1962"/>
      <c r="LIR5" s="1962"/>
      <c r="LIS5" s="1962"/>
      <c r="LIT5" s="1962"/>
      <c r="LIU5" s="1962"/>
      <c r="LIV5" s="1962"/>
      <c r="LIW5" s="1962"/>
      <c r="LIX5" s="1962"/>
      <c r="LIY5" s="1962"/>
      <c r="LIZ5" s="1962"/>
      <c r="LJA5" s="1962"/>
      <c r="LJB5" s="1962"/>
      <c r="LJC5" s="1962"/>
      <c r="LJD5" s="1962"/>
      <c r="LJE5" s="1962"/>
      <c r="LJF5" s="1962"/>
      <c r="LJG5" s="1962"/>
      <c r="LJH5" s="1962"/>
      <c r="LJI5" s="1962"/>
      <c r="LJJ5" s="1962"/>
      <c r="LJK5" s="1962"/>
      <c r="LJL5" s="1962"/>
      <c r="LJM5" s="1962"/>
      <c r="LJN5" s="1962"/>
      <c r="LJO5" s="1962"/>
      <c r="LJP5" s="1962"/>
      <c r="LJQ5" s="1962"/>
      <c r="LJR5" s="1962"/>
      <c r="LJS5" s="1962"/>
      <c r="LJT5" s="1962"/>
      <c r="LJU5" s="1962"/>
      <c r="LJV5" s="1962"/>
      <c r="LJW5" s="1962"/>
      <c r="LJX5" s="1962"/>
      <c r="LJY5" s="1962"/>
      <c r="LJZ5" s="1962"/>
      <c r="LKA5" s="1962"/>
      <c r="LKB5" s="1962"/>
      <c r="LKC5" s="1962"/>
      <c r="LKD5" s="1962"/>
      <c r="LKE5" s="1962"/>
      <c r="LKF5" s="1962"/>
      <c r="LKG5" s="1962"/>
      <c r="LKH5" s="1962"/>
      <c r="LKI5" s="1962"/>
      <c r="LKJ5" s="1962"/>
      <c r="LKK5" s="1962"/>
      <c r="LKL5" s="1962"/>
      <c r="LKM5" s="1962"/>
      <c r="LKN5" s="1962"/>
      <c r="LKO5" s="1962"/>
      <c r="LKP5" s="1962"/>
      <c r="LKQ5" s="1962"/>
      <c r="LKR5" s="1962"/>
      <c r="LKS5" s="1962"/>
      <c r="LKT5" s="1962"/>
      <c r="LKU5" s="1962"/>
      <c r="LKV5" s="1962"/>
      <c r="LKW5" s="1962"/>
      <c r="LKX5" s="1962"/>
      <c r="LKY5" s="1962"/>
      <c r="LKZ5" s="1962"/>
      <c r="LLA5" s="1962"/>
      <c r="LLB5" s="1962"/>
      <c r="LLC5" s="1962"/>
      <c r="LLD5" s="1962"/>
      <c r="LLE5" s="1962"/>
      <c r="LLF5" s="1962"/>
      <c r="LLG5" s="1962"/>
      <c r="LLH5" s="1962"/>
      <c r="LLI5" s="1962"/>
      <c r="LLJ5" s="1962"/>
      <c r="LLK5" s="1962"/>
      <c r="LLL5" s="1962"/>
      <c r="LLM5" s="1962"/>
      <c r="LLN5" s="1962"/>
      <c r="LLO5" s="1962"/>
      <c r="LLP5" s="1962"/>
      <c r="LLQ5" s="1962"/>
      <c r="LLR5" s="1962"/>
      <c r="LLS5" s="1962"/>
      <c r="LLT5" s="1962"/>
      <c r="LLU5" s="1962"/>
      <c r="LLV5" s="1962"/>
      <c r="LLW5" s="1962"/>
      <c r="LLX5" s="1962"/>
      <c r="LLY5" s="1962"/>
      <c r="LLZ5" s="1962"/>
      <c r="LMA5" s="1962"/>
      <c r="LMB5" s="1962"/>
      <c r="LMC5" s="1962"/>
      <c r="LMD5" s="1962"/>
      <c r="LME5" s="1962"/>
      <c r="LMF5" s="1962"/>
      <c r="LMG5" s="1962"/>
      <c r="LMH5" s="1962"/>
      <c r="LMI5" s="1962"/>
      <c r="LMJ5" s="1962"/>
      <c r="LMK5" s="1962"/>
      <c r="LML5" s="1962"/>
      <c r="LMM5" s="1962"/>
      <c r="LMN5" s="1962"/>
      <c r="LMO5" s="1962"/>
      <c r="LMP5" s="1962"/>
      <c r="LMQ5" s="1962"/>
      <c r="LMR5" s="1962"/>
      <c r="LMS5" s="1962"/>
      <c r="LMT5" s="1962"/>
      <c r="LMU5" s="1962"/>
      <c r="LMV5" s="1962"/>
      <c r="LMW5" s="1962"/>
      <c r="LMX5" s="1962"/>
      <c r="LMY5" s="1962"/>
      <c r="LMZ5" s="1962"/>
      <c r="LNA5" s="1962"/>
      <c r="LNB5" s="1962"/>
      <c r="LNC5" s="1962"/>
      <c r="LND5" s="1962"/>
      <c r="LNE5" s="1962"/>
      <c r="LNF5" s="1962"/>
      <c r="LNG5" s="1962"/>
      <c r="LNH5" s="1962"/>
      <c r="LNI5" s="1962"/>
      <c r="LNJ5" s="1962"/>
      <c r="LNK5" s="1962"/>
      <c r="LNL5" s="1962"/>
      <c r="LNM5" s="1962"/>
      <c r="LNN5" s="1962"/>
      <c r="LNO5" s="1962"/>
      <c r="LNP5" s="1962"/>
      <c r="LNQ5" s="1962"/>
      <c r="LNR5" s="1962"/>
      <c r="LNS5" s="1962"/>
      <c r="LNT5" s="1962"/>
      <c r="LNU5" s="1962"/>
      <c r="LNV5" s="1962"/>
      <c r="LNW5" s="1962"/>
      <c r="LNX5" s="1962"/>
      <c r="LNY5" s="1962"/>
      <c r="LNZ5" s="1962"/>
      <c r="LOA5" s="1962"/>
      <c r="LOB5" s="1962"/>
      <c r="LOC5" s="1962"/>
      <c r="LOD5" s="1962"/>
      <c r="LOE5" s="1962"/>
      <c r="LOF5" s="1962"/>
      <c r="LOG5" s="1962"/>
      <c r="LOH5" s="1962"/>
      <c r="LOI5" s="1962"/>
      <c r="LOJ5" s="1962"/>
      <c r="LOK5" s="1962"/>
      <c r="LOL5" s="1962"/>
      <c r="LOM5" s="1962"/>
      <c r="LON5" s="1962"/>
      <c r="LOO5" s="1962"/>
      <c r="LOP5" s="1962"/>
      <c r="LOQ5" s="1962"/>
      <c r="LOR5" s="1962"/>
      <c r="LOS5" s="1962"/>
      <c r="LOT5" s="1962"/>
      <c r="LOU5" s="1962"/>
      <c r="LOV5" s="1962"/>
      <c r="LOW5" s="1962"/>
      <c r="LOX5" s="1962"/>
      <c r="LOY5" s="1962"/>
      <c r="LOZ5" s="1962"/>
      <c r="LPA5" s="1962"/>
      <c r="LPB5" s="1962"/>
      <c r="LPC5" s="1962"/>
      <c r="LPD5" s="1962"/>
      <c r="LPE5" s="1962"/>
      <c r="LPF5" s="1962"/>
      <c r="LPG5" s="1962"/>
      <c r="LPH5" s="1962"/>
      <c r="LPI5" s="1962"/>
      <c r="LPJ5" s="1962"/>
      <c r="LPK5" s="1962"/>
      <c r="LPL5" s="1962"/>
      <c r="LPM5" s="1962"/>
      <c r="LPN5" s="1962"/>
      <c r="LPO5" s="1962"/>
      <c r="LPP5" s="1962"/>
      <c r="LPQ5" s="1962"/>
      <c r="LPR5" s="1962"/>
      <c r="LPS5" s="1962"/>
      <c r="LPT5" s="1962"/>
      <c r="LPU5" s="1962"/>
      <c r="LPV5" s="1962"/>
      <c r="LPW5" s="1962"/>
      <c r="LPX5" s="1962"/>
      <c r="LPY5" s="1962"/>
      <c r="LPZ5" s="1962"/>
      <c r="LQA5" s="1962"/>
      <c r="LQB5" s="1962"/>
      <c r="LQC5" s="1962"/>
      <c r="LQD5" s="1962"/>
      <c r="LQE5" s="1962"/>
      <c r="LQF5" s="1962"/>
      <c r="LQG5" s="1962"/>
      <c r="LQH5" s="1962"/>
      <c r="LQI5" s="1962"/>
      <c r="LQJ5" s="1962"/>
      <c r="LQK5" s="1962"/>
      <c r="LQL5" s="1962"/>
      <c r="LQM5" s="1962"/>
      <c r="LQN5" s="1962"/>
      <c r="LQO5" s="1962"/>
      <c r="LQP5" s="1962"/>
      <c r="LQQ5" s="1962"/>
      <c r="LQR5" s="1962"/>
      <c r="LQS5" s="1962"/>
      <c r="LQT5" s="1962"/>
      <c r="LQU5" s="1962"/>
      <c r="LQV5" s="1962"/>
      <c r="LQW5" s="1962"/>
      <c r="LQX5" s="1962"/>
      <c r="LQY5" s="1962"/>
      <c r="LQZ5" s="1962"/>
      <c r="LRA5" s="1962"/>
      <c r="LRB5" s="1962"/>
      <c r="LRC5" s="1962"/>
      <c r="LRD5" s="1962"/>
      <c r="LRE5" s="1962"/>
      <c r="LRF5" s="1962"/>
      <c r="LRG5" s="1962"/>
      <c r="LRH5" s="1962"/>
      <c r="LRI5" s="1962"/>
      <c r="LRJ5" s="1962"/>
      <c r="LRK5" s="1962"/>
      <c r="LRL5" s="1962"/>
      <c r="LRM5" s="1962"/>
      <c r="LRN5" s="1962"/>
      <c r="LRO5" s="1962"/>
      <c r="LRP5" s="1962"/>
      <c r="LRQ5" s="1962"/>
      <c r="LRR5" s="1962"/>
      <c r="LRS5" s="1962"/>
      <c r="LRT5" s="1962"/>
      <c r="LRU5" s="1962"/>
      <c r="LRV5" s="1962"/>
      <c r="LRW5" s="1962"/>
      <c r="LRX5" s="1962"/>
      <c r="LRY5" s="1962"/>
      <c r="LRZ5" s="1962"/>
      <c r="LSA5" s="1962"/>
      <c r="LSB5" s="1962"/>
      <c r="LSC5" s="1962"/>
      <c r="LSD5" s="1962"/>
      <c r="LSE5" s="1962"/>
      <c r="LSF5" s="1962"/>
      <c r="LSG5" s="1962"/>
      <c r="LSH5" s="1962"/>
      <c r="LSI5" s="1962"/>
      <c r="LSJ5" s="1962"/>
      <c r="LSK5" s="1962"/>
      <c r="LSL5" s="1962"/>
      <c r="LSM5" s="1962"/>
      <c r="LSN5" s="1962"/>
      <c r="LSO5" s="1962"/>
      <c r="LSP5" s="1962"/>
      <c r="LSQ5" s="1962"/>
      <c r="LSR5" s="1962"/>
      <c r="LSS5" s="1962"/>
      <c r="LST5" s="1962"/>
      <c r="LSU5" s="1962"/>
      <c r="LSV5" s="1962"/>
      <c r="LSW5" s="1962"/>
      <c r="LSX5" s="1962"/>
      <c r="LSY5" s="1962"/>
      <c r="LSZ5" s="1962"/>
      <c r="LTA5" s="1962"/>
      <c r="LTB5" s="1962"/>
      <c r="LTC5" s="1962"/>
      <c r="LTD5" s="1962"/>
      <c r="LTE5" s="1962"/>
      <c r="LTF5" s="1962"/>
      <c r="LTG5" s="1962"/>
      <c r="LTH5" s="1962"/>
      <c r="LTI5" s="1962"/>
      <c r="LTJ5" s="1962"/>
      <c r="LTK5" s="1962"/>
      <c r="LTL5" s="1962"/>
      <c r="LTM5" s="1962"/>
      <c r="LTN5" s="1962"/>
      <c r="LTO5" s="1962"/>
      <c r="LTP5" s="1962"/>
      <c r="LTQ5" s="1962"/>
      <c r="LTR5" s="1962"/>
      <c r="LTS5" s="1962"/>
      <c r="LTT5" s="1962"/>
      <c r="LTU5" s="1962"/>
      <c r="LTV5" s="1962"/>
      <c r="LTW5" s="1962"/>
      <c r="LTX5" s="1962"/>
      <c r="LTY5" s="1962"/>
      <c r="LTZ5" s="1962"/>
      <c r="LUA5" s="1962"/>
      <c r="LUB5" s="1962"/>
      <c r="LUC5" s="1962"/>
      <c r="LUD5" s="1962"/>
      <c r="LUE5" s="1962"/>
      <c r="LUF5" s="1962"/>
      <c r="LUG5" s="1962"/>
      <c r="LUH5" s="1962"/>
      <c r="LUI5" s="1962"/>
      <c r="LUJ5" s="1962"/>
      <c r="LUK5" s="1962"/>
      <c r="LUL5" s="1962"/>
      <c r="LUM5" s="1962"/>
      <c r="LUN5" s="1962"/>
      <c r="LUO5" s="1962"/>
      <c r="LUP5" s="1962"/>
      <c r="LUQ5" s="1962"/>
      <c r="LUR5" s="1962"/>
      <c r="LUS5" s="1962"/>
      <c r="LUT5" s="1962"/>
      <c r="LUU5" s="1962"/>
      <c r="LUV5" s="1962"/>
      <c r="LUW5" s="1962"/>
      <c r="LUX5" s="1962"/>
      <c r="LUY5" s="1962"/>
      <c r="LUZ5" s="1962"/>
      <c r="LVA5" s="1962"/>
      <c r="LVB5" s="1962"/>
      <c r="LVC5" s="1962"/>
      <c r="LVD5" s="1962"/>
      <c r="LVE5" s="1962"/>
      <c r="LVF5" s="1962"/>
      <c r="LVG5" s="1962"/>
      <c r="LVH5" s="1962"/>
      <c r="LVI5" s="1962"/>
      <c r="LVJ5" s="1962"/>
      <c r="LVK5" s="1962"/>
      <c r="LVL5" s="1962"/>
      <c r="LVM5" s="1962"/>
      <c r="LVN5" s="1962"/>
      <c r="LVO5" s="1962"/>
      <c r="LVP5" s="1962"/>
      <c r="LVQ5" s="1962"/>
      <c r="LVR5" s="1962"/>
      <c r="LVS5" s="1962"/>
      <c r="LVT5" s="1962"/>
      <c r="LVU5" s="1962"/>
      <c r="LVV5" s="1962"/>
      <c r="LVW5" s="1962"/>
      <c r="LVX5" s="1962"/>
      <c r="LVY5" s="1962"/>
      <c r="LVZ5" s="1962"/>
      <c r="LWA5" s="1962"/>
      <c r="LWB5" s="1962"/>
      <c r="LWC5" s="1962"/>
      <c r="LWD5" s="1962"/>
      <c r="LWE5" s="1962"/>
      <c r="LWF5" s="1962"/>
      <c r="LWG5" s="1962"/>
      <c r="LWH5" s="1962"/>
      <c r="LWI5" s="1962"/>
      <c r="LWJ5" s="1962"/>
      <c r="LWK5" s="1962"/>
      <c r="LWL5" s="1962"/>
      <c r="LWM5" s="1962"/>
      <c r="LWN5" s="1962"/>
      <c r="LWO5" s="1962"/>
      <c r="LWP5" s="1962"/>
      <c r="LWQ5" s="1962"/>
      <c r="LWR5" s="1962"/>
      <c r="LWS5" s="1962"/>
      <c r="LWT5" s="1962"/>
      <c r="LWU5" s="1962"/>
      <c r="LWV5" s="1962"/>
      <c r="LWW5" s="1962"/>
      <c r="LWX5" s="1962"/>
      <c r="LWY5" s="1962"/>
      <c r="LWZ5" s="1962"/>
      <c r="LXA5" s="1962"/>
      <c r="LXB5" s="1962"/>
      <c r="LXC5" s="1962"/>
      <c r="LXD5" s="1962"/>
      <c r="LXE5" s="1962"/>
      <c r="LXF5" s="1962"/>
      <c r="LXG5" s="1962"/>
      <c r="LXH5" s="1962"/>
      <c r="LXI5" s="1962"/>
      <c r="LXJ5" s="1962"/>
      <c r="LXK5" s="1962"/>
      <c r="LXL5" s="1962"/>
      <c r="LXM5" s="1962"/>
      <c r="LXN5" s="1962"/>
      <c r="LXO5" s="1962"/>
      <c r="LXP5" s="1962"/>
      <c r="LXQ5" s="1962"/>
      <c r="LXR5" s="1962"/>
      <c r="LXS5" s="1962"/>
      <c r="LXT5" s="1962"/>
      <c r="LXU5" s="1962"/>
      <c r="LXV5" s="1962"/>
      <c r="LXW5" s="1962"/>
      <c r="LXX5" s="1962"/>
      <c r="LXY5" s="1962"/>
      <c r="LXZ5" s="1962"/>
      <c r="LYA5" s="1962"/>
      <c r="LYB5" s="1962"/>
      <c r="LYC5" s="1962"/>
      <c r="LYD5" s="1962"/>
      <c r="LYE5" s="1962"/>
      <c r="LYF5" s="1962"/>
      <c r="LYG5" s="1962"/>
      <c r="LYH5" s="1962"/>
      <c r="LYI5" s="1962"/>
      <c r="LYJ5" s="1962"/>
      <c r="LYK5" s="1962"/>
      <c r="LYL5" s="1962"/>
      <c r="LYM5" s="1962"/>
      <c r="LYN5" s="1962"/>
      <c r="LYO5" s="1962"/>
      <c r="LYP5" s="1962"/>
      <c r="LYQ5" s="1962"/>
      <c r="LYR5" s="1962"/>
      <c r="LYS5" s="1962"/>
      <c r="LYT5" s="1962"/>
      <c r="LYU5" s="1962"/>
      <c r="LYV5" s="1962"/>
      <c r="LYW5" s="1962"/>
      <c r="LYX5" s="1962"/>
      <c r="LYY5" s="1962"/>
      <c r="LYZ5" s="1962"/>
      <c r="LZA5" s="1962"/>
      <c r="LZB5" s="1962"/>
      <c r="LZC5" s="1962"/>
      <c r="LZD5" s="1962"/>
      <c r="LZE5" s="1962"/>
      <c r="LZF5" s="1962"/>
      <c r="LZG5" s="1962"/>
      <c r="LZH5" s="1962"/>
      <c r="LZI5" s="1962"/>
      <c r="LZJ5" s="1962"/>
      <c r="LZK5" s="1962"/>
      <c r="LZL5" s="1962"/>
      <c r="LZM5" s="1962"/>
      <c r="LZN5" s="1962"/>
      <c r="LZO5" s="1962"/>
      <c r="LZP5" s="1962"/>
      <c r="LZQ5" s="1962"/>
      <c r="LZR5" s="1962"/>
      <c r="LZS5" s="1962"/>
      <c r="LZT5" s="1962"/>
      <c r="LZU5" s="1962"/>
      <c r="LZV5" s="1962"/>
      <c r="LZW5" s="1962"/>
      <c r="LZX5" s="1962"/>
      <c r="LZY5" s="1962"/>
      <c r="LZZ5" s="1962"/>
      <c r="MAA5" s="1962"/>
      <c r="MAB5" s="1962"/>
      <c r="MAC5" s="1962"/>
      <c r="MAD5" s="1962"/>
      <c r="MAE5" s="1962"/>
      <c r="MAF5" s="1962"/>
      <c r="MAG5" s="1962"/>
      <c r="MAH5" s="1962"/>
      <c r="MAI5" s="1962"/>
      <c r="MAJ5" s="1962"/>
      <c r="MAK5" s="1962"/>
      <c r="MAL5" s="1962"/>
      <c r="MAM5" s="1962"/>
      <c r="MAN5" s="1962"/>
      <c r="MAO5" s="1962"/>
      <c r="MAP5" s="1962"/>
      <c r="MAQ5" s="1962"/>
      <c r="MAR5" s="1962"/>
      <c r="MAS5" s="1962"/>
      <c r="MAT5" s="1962"/>
      <c r="MAU5" s="1962"/>
      <c r="MAV5" s="1962"/>
      <c r="MAW5" s="1962"/>
      <c r="MAX5" s="1962"/>
      <c r="MAY5" s="1962"/>
      <c r="MAZ5" s="1962"/>
      <c r="MBA5" s="1962"/>
      <c r="MBB5" s="1962"/>
      <c r="MBC5" s="1962"/>
      <c r="MBD5" s="1962"/>
      <c r="MBE5" s="1962"/>
      <c r="MBF5" s="1962"/>
      <c r="MBG5" s="1962"/>
      <c r="MBH5" s="1962"/>
      <c r="MBI5" s="1962"/>
      <c r="MBJ5" s="1962"/>
      <c r="MBK5" s="1962"/>
      <c r="MBL5" s="1962"/>
      <c r="MBM5" s="1962"/>
      <c r="MBN5" s="1962"/>
      <c r="MBO5" s="1962"/>
      <c r="MBP5" s="1962"/>
      <c r="MBQ5" s="1962"/>
      <c r="MBR5" s="1962"/>
      <c r="MBS5" s="1962"/>
      <c r="MBT5" s="1962"/>
      <c r="MBU5" s="1962"/>
      <c r="MBV5" s="1962"/>
      <c r="MBW5" s="1962"/>
      <c r="MBX5" s="1962"/>
      <c r="MBY5" s="1962"/>
      <c r="MBZ5" s="1962"/>
      <c r="MCA5" s="1962"/>
      <c r="MCB5" s="1962"/>
      <c r="MCC5" s="1962"/>
      <c r="MCD5" s="1962"/>
      <c r="MCE5" s="1962"/>
      <c r="MCF5" s="1962"/>
      <c r="MCG5" s="1962"/>
      <c r="MCH5" s="1962"/>
      <c r="MCI5" s="1962"/>
      <c r="MCJ5" s="1962"/>
      <c r="MCK5" s="1962"/>
      <c r="MCL5" s="1962"/>
      <c r="MCM5" s="1962"/>
      <c r="MCN5" s="1962"/>
      <c r="MCO5" s="1962"/>
      <c r="MCP5" s="1962"/>
      <c r="MCQ5" s="1962"/>
      <c r="MCR5" s="1962"/>
      <c r="MCS5" s="1962"/>
      <c r="MCT5" s="1962"/>
      <c r="MCU5" s="1962"/>
      <c r="MCV5" s="1962"/>
      <c r="MCW5" s="1962"/>
      <c r="MCX5" s="1962"/>
      <c r="MCY5" s="1962"/>
      <c r="MCZ5" s="1962"/>
      <c r="MDA5" s="1962"/>
      <c r="MDB5" s="1962"/>
      <c r="MDC5" s="1962"/>
      <c r="MDD5" s="1962"/>
      <c r="MDE5" s="1962"/>
      <c r="MDF5" s="1962"/>
      <c r="MDG5" s="1962"/>
      <c r="MDH5" s="1962"/>
      <c r="MDI5" s="1962"/>
      <c r="MDJ5" s="1962"/>
      <c r="MDK5" s="1962"/>
      <c r="MDL5" s="1962"/>
      <c r="MDM5" s="1962"/>
      <c r="MDN5" s="1962"/>
      <c r="MDO5" s="1962"/>
      <c r="MDP5" s="1962"/>
      <c r="MDQ5" s="1962"/>
      <c r="MDR5" s="1962"/>
      <c r="MDS5" s="1962"/>
      <c r="MDT5" s="1962"/>
      <c r="MDU5" s="1962"/>
      <c r="MDV5" s="1962"/>
      <c r="MDW5" s="1962"/>
      <c r="MDX5" s="1962"/>
      <c r="MDY5" s="1962"/>
      <c r="MDZ5" s="1962"/>
      <c r="MEA5" s="1962"/>
      <c r="MEB5" s="1962"/>
      <c r="MEC5" s="1962"/>
      <c r="MED5" s="1962"/>
      <c r="MEE5" s="1962"/>
      <c r="MEF5" s="1962"/>
      <c r="MEG5" s="1962"/>
      <c r="MEH5" s="1962"/>
      <c r="MEI5" s="1962"/>
      <c r="MEJ5" s="1962"/>
      <c r="MEK5" s="1962"/>
      <c r="MEL5" s="1962"/>
      <c r="MEM5" s="1962"/>
      <c r="MEN5" s="1962"/>
      <c r="MEO5" s="1962"/>
      <c r="MEP5" s="1962"/>
      <c r="MEQ5" s="1962"/>
      <c r="MER5" s="1962"/>
      <c r="MES5" s="1962"/>
      <c r="MET5" s="1962"/>
      <c r="MEU5" s="1962"/>
      <c r="MEV5" s="1962"/>
      <c r="MEW5" s="1962"/>
      <c r="MEX5" s="1962"/>
      <c r="MEY5" s="1962"/>
      <c r="MEZ5" s="1962"/>
      <c r="MFA5" s="1962"/>
      <c r="MFB5" s="1962"/>
      <c r="MFC5" s="1962"/>
      <c r="MFD5" s="1962"/>
      <c r="MFE5" s="1962"/>
      <c r="MFF5" s="1962"/>
      <c r="MFG5" s="1962"/>
      <c r="MFH5" s="1962"/>
      <c r="MFI5" s="1962"/>
      <c r="MFJ5" s="1962"/>
      <c r="MFK5" s="1962"/>
      <c r="MFL5" s="1962"/>
      <c r="MFM5" s="1962"/>
      <c r="MFN5" s="1962"/>
      <c r="MFO5" s="1962"/>
      <c r="MFP5" s="1962"/>
      <c r="MFQ5" s="1962"/>
      <c r="MFR5" s="1962"/>
      <c r="MFS5" s="1962"/>
      <c r="MFT5" s="1962"/>
      <c r="MFU5" s="1962"/>
      <c r="MFV5" s="1962"/>
      <c r="MFW5" s="1962"/>
      <c r="MFX5" s="1962"/>
      <c r="MFY5" s="1962"/>
      <c r="MFZ5" s="1962"/>
      <c r="MGA5" s="1962"/>
      <c r="MGB5" s="1962"/>
      <c r="MGC5" s="1962"/>
      <c r="MGD5" s="1962"/>
      <c r="MGE5" s="1962"/>
      <c r="MGF5" s="1962"/>
      <c r="MGG5" s="1962"/>
      <c r="MGH5" s="1962"/>
      <c r="MGI5" s="1962"/>
      <c r="MGJ5" s="1962"/>
      <c r="MGK5" s="1962"/>
      <c r="MGL5" s="1962"/>
      <c r="MGM5" s="1962"/>
      <c r="MGN5" s="1962"/>
      <c r="MGO5" s="1962"/>
      <c r="MGP5" s="1962"/>
      <c r="MGQ5" s="1962"/>
      <c r="MGR5" s="1962"/>
      <c r="MGS5" s="1962"/>
      <c r="MGT5" s="1962"/>
      <c r="MGU5" s="1962"/>
      <c r="MGV5" s="1962"/>
      <c r="MGW5" s="1962"/>
      <c r="MGX5" s="1962"/>
      <c r="MGY5" s="1962"/>
      <c r="MGZ5" s="1962"/>
      <c r="MHA5" s="1962"/>
      <c r="MHB5" s="1962"/>
      <c r="MHC5" s="1962"/>
      <c r="MHD5" s="1962"/>
      <c r="MHE5" s="1962"/>
      <c r="MHF5" s="1962"/>
      <c r="MHG5" s="1962"/>
      <c r="MHH5" s="1962"/>
      <c r="MHI5" s="1962"/>
      <c r="MHJ5" s="1962"/>
      <c r="MHK5" s="1962"/>
      <c r="MHL5" s="1962"/>
      <c r="MHM5" s="1962"/>
      <c r="MHN5" s="1962"/>
      <c r="MHO5" s="1962"/>
      <c r="MHP5" s="1962"/>
      <c r="MHQ5" s="1962"/>
      <c r="MHR5" s="1962"/>
      <c r="MHS5" s="1962"/>
      <c r="MHT5" s="1962"/>
      <c r="MHU5" s="1962"/>
      <c r="MHV5" s="1962"/>
      <c r="MHW5" s="1962"/>
      <c r="MHX5" s="1962"/>
      <c r="MHY5" s="1962"/>
      <c r="MHZ5" s="1962"/>
      <c r="MIA5" s="1962"/>
      <c r="MIB5" s="1962"/>
      <c r="MIC5" s="1962"/>
      <c r="MID5" s="1962"/>
      <c r="MIE5" s="1962"/>
      <c r="MIF5" s="1962"/>
      <c r="MIG5" s="1962"/>
      <c r="MIH5" s="1962"/>
      <c r="MII5" s="1962"/>
      <c r="MIJ5" s="1962"/>
      <c r="MIK5" s="1962"/>
      <c r="MIL5" s="1962"/>
      <c r="MIM5" s="1962"/>
      <c r="MIN5" s="1962"/>
      <c r="MIO5" s="1962"/>
      <c r="MIP5" s="1962"/>
      <c r="MIQ5" s="1962"/>
      <c r="MIR5" s="1962"/>
      <c r="MIS5" s="1962"/>
      <c r="MIT5" s="1962"/>
      <c r="MIU5" s="1962"/>
      <c r="MIV5" s="1962"/>
      <c r="MIW5" s="1962"/>
      <c r="MIX5" s="1962"/>
      <c r="MIY5" s="1962"/>
      <c r="MIZ5" s="1962"/>
      <c r="MJA5" s="1962"/>
      <c r="MJB5" s="1962"/>
      <c r="MJC5" s="1962"/>
      <c r="MJD5" s="1962"/>
      <c r="MJE5" s="1962"/>
      <c r="MJF5" s="1962"/>
      <c r="MJG5" s="1962"/>
      <c r="MJH5" s="1962"/>
      <c r="MJI5" s="1962"/>
      <c r="MJJ5" s="1962"/>
      <c r="MJK5" s="1962"/>
      <c r="MJL5" s="1962"/>
      <c r="MJM5" s="1962"/>
      <c r="MJN5" s="1962"/>
      <c r="MJO5" s="1962"/>
      <c r="MJP5" s="1962"/>
      <c r="MJQ5" s="1962"/>
      <c r="MJR5" s="1962"/>
      <c r="MJS5" s="1962"/>
      <c r="MJT5" s="1962"/>
      <c r="MJU5" s="1962"/>
      <c r="MJV5" s="1962"/>
      <c r="MJW5" s="1962"/>
      <c r="MJX5" s="1962"/>
      <c r="MJY5" s="1962"/>
      <c r="MJZ5" s="1962"/>
      <c r="MKA5" s="1962"/>
      <c r="MKB5" s="1962"/>
      <c r="MKC5" s="1962"/>
      <c r="MKD5" s="1962"/>
      <c r="MKE5" s="1962"/>
      <c r="MKF5" s="1962"/>
      <c r="MKG5" s="1962"/>
      <c r="MKH5" s="1962"/>
      <c r="MKI5" s="1962"/>
      <c r="MKJ5" s="1962"/>
      <c r="MKK5" s="1962"/>
      <c r="MKL5" s="1962"/>
      <c r="MKM5" s="1962"/>
      <c r="MKN5" s="1962"/>
      <c r="MKO5" s="1962"/>
      <c r="MKP5" s="1962"/>
      <c r="MKQ5" s="1962"/>
      <c r="MKR5" s="1962"/>
      <c r="MKS5" s="1962"/>
      <c r="MKT5" s="1962"/>
      <c r="MKU5" s="1962"/>
      <c r="MKV5" s="1962"/>
      <c r="MKW5" s="1962"/>
      <c r="MKX5" s="1962"/>
      <c r="MKY5" s="1962"/>
      <c r="MKZ5" s="1962"/>
      <c r="MLA5" s="1962"/>
      <c r="MLB5" s="1962"/>
      <c r="MLC5" s="1962"/>
      <c r="MLD5" s="1962"/>
      <c r="MLE5" s="1962"/>
      <c r="MLF5" s="1962"/>
      <c r="MLG5" s="1962"/>
      <c r="MLH5" s="1962"/>
      <c r="MLI5" s="1962"/>
      <c r="MLJ5" s="1962"/>
      <c r="MLK5" s="1962"/>
      <c r="MLL5" s="1962"/>
      <c r="MLM5" s="1962"/>
      <c r="MLN5" s="1962"/>
      <c r="MLO5" s="1962"/>
      <c r="MLP5" s="1962"/>
      <c r="MLQ5" s="1962"/>
      <c r="MLR5" s="1962"/>
      <c r="MLS5" s="1962"/>
      <c r="MLT5" s="1962"/>
      <c r="MLU5" s="1962"/>
      <c r="MLV5" s="1962"/>
      <c r="MLW5" s="1962"/>
      <c r="MLX5" s="1962"/>
      <c r="MLY5" s="1962"/>
      <c r="MLZ5" s="1962"/>
      <c r="MMA5" s="1962"/>
      <c r="MMB5" s="1962"/>
      <c r="MMC5" s="1962"/>
      <c r="MMD5" s="1962"/>
      <c r="MME5" s="1962"/>
      <c r="MMF5" s="1962"/>
      <c r="MMG5" s="1962"/>
      <c r="MMH5" s="1962"/>
      <c r="MMI5" s="1962"/>
      <c r="MMJ5" s="1962"/>
      <c r="MMK5" s="1962"/>
      <c r="MML5" s="1962"/>
      <c r="MMM5" s="1962"/>
      <c r="MMN5" s="1962"/>
      <c r="MMO5" s="1962"/>
      <c r="MMP5" s="1962"/>
      <c r="MMQ5" s="1962"/>
      <c r="MMR5" s="1962"/>
      <c r="MMS5" s="1962"/>
      <c r="MMT5" s="1962"/>
      <c r="MMU5" s="1962"/>
      <c r="MMV5" s="1962"/>
      <c r="MMW5" s="1962"/>
      <c r="MMX5" s="1962"/>
      <c r="MMY5" s="1962"/>
      <c r="MMZ5" s="1962"/>
      <c r="MNA5" s="1962"/>
      <c r="MNB5" s="1962"/>
      <c r="MNC5" s="1962"/>
      <c r="MND5" s="1962"/>
      <c r="MNE5" s="1962"/>
      <c r="MNF5" s="1962"/>
      <c r="MNG5" s="1962"/>
      <c r="MNH5" s="1962"/>
      <c r="MNI5" s="1962"/>
      <c r="MNJ5" s="1962"/>
      <c r="MNK5" s="1962"/>
      <c r="MNL5" s="1962"/>
      <c r="MNM5" s="1962"/>
      <c r="MNN5" s="1962"/>
      <c r="MNO5" s="1962"/>
      <c r="MNP5" s="1962"/>
      <c r="MNQ5" s="1962"/>
      <c r="MNR5" s="1962"/>
      <c r="MNS5" s="1962"/>
      <c r="MNT5" s="1962"/>
      <c r="MNU5" s="1962"/>
      <c r="MNV5" s="1962"/>
      <c r="MNW5" s="1962"/>
      <c r="MNX5" s="1962"/>
      <c r="MNY5" s="1962"/>
      <c r="MNZ5" s="1962"/>
      <c r="MOA5" s="1962"/>
      <c r="MOB5" s="1962"/>
      <c r="MOC5" s="1962"/>
      <c r="MOD5" s="1962"/>
      <c r="MOE5" s="1962"/>
      <c r="MOF5" s="1962"/>
      <c r="MOG5" s="1962"/>
      <c r="MOH5" s="1962"/>
      <c r="MOI5" s="1962"/>
      <c r="MOJ5" s="1962"/>
      <c r="MOK5" s="1962"/>
      <c r="MOL5" s="1962"/>
      <c r="MOM5" s="1962"/>
      <c r="MON5" s="1962"/>
      <c r="MOO5" s="1962"/>
      <c r="MOP5" s="1962"/>
      <c r="MOQ5" s="1962"/>
      <c r="MOR5" s="1962"/>
      <c r="MOS5" s="1962"/>
      <c r="MOT5" s="1962"/>
      <c r="MOU5" s="1962"/>
      <c r="MOV5" s="1962"/>
      <c r="MOW5" s="1962"/>
      <c r="MOX5" s="1962"/>
      <c r="MOY5" s="1962"/>
      <c r="MOZ5" s="1962"/>
      <c r="MPA5" s="1962"/>
      <c r="MPB5" s="1962"/>
      <c r="MPC5" s="1962"/>
      <c r="MPD5" s="1962"/>
      <c r="MPE5" s="1962"/>
      <c r="MPF5" s="1962"/>
      <c r="MPG5" s="1962"/>
      <c r="MPH5" s="1962"/>
      <c r="MPI5" s="1962"/>
      <c r="MPJ5" s="1962"/>
      <c r="MPK5" s="1962"/>
      <c r="MPL5" s="1962"/>
      <c r="MPM5" s="1962"/>
      <c r="MPN5" s="1962"/>
      <c r="MPO5" s="1962"/>
      <c r="MPP5" s="1962"/>
      <c r="MPQ5" s="1962"/>
      <c r="MPR5" s="1962"/>
      <c r="MPS5" s="1962"/>
      <c r="MPT5" s="1962"/>
      <c r="MPU5" s="1962"/>
      <c r="MPV5" s="1962"/>
      <c r="MPW5" s="1962"/>
      <c r="MPX5" s="1962"/>
      <c r="MPY5" s="1962"/>
      <c r="MPZ5" s="1962"/>
      <c r="MQA5" s="1962"/>
      <c r="MQB5" s="1962"/>
      <c r="MQC5" s="1962"/>
      <c r="MQD5" s="1962"/>
      <c r="MQE5" s="1962"/>
      <c r="MQF5" s="1962"/>
      <c r="MQG5" s="1962"/>
      <c r="MQH5" s="1962"/>
      <c r="MQI5" s="1962"/>
      <c r="MQJ5" s="1962"/>
      <c r="MQK5" s="1962"/>
      <c r="MQL5" s="1962"/>
      <c r="MQM5" s="1962"/>
      <c r="MQN5" s="1962"/>
      <c r="MQO5" s="1962"/>
      <c r="MQP5" s="1962"/>
      <c r="MQQ5" s="1962"/>
      <c r="MQR5" s="1962"/>
      <c r="MQS5" s="1962"/>
      <c r="MQT5" s="1962"/>
      <c r="MQU5" s="1962"/>
      <c r="MQV5" s="1962"/>
      <c r="MQW5" s="1962"/>
      <c r="MQX5" s="1962"/>
      <c r="MQY5" s="1962"/>
      <c r="MQZ5" s="1962"/>
      <c r="MRA5" s="1962"/>
      <c r="MRB5" s="1962"/>
      <c r="MRC5" s="1962"/>
      <c r="MRD5" s="1962"/>
      <c r="MRE5" s="1962"/>
      <c r="MRF5" s="1962"/>
      <c r="MRG5" s="1962"/>
      <c r="MRH5" s="1962"/>
      <c r="MRI5" s="1962"/>
      <c r="MRJ5" s="1962"/>
      <c r="MRK5" s="1962"/>
      <c r="MRL5" s="1962"/>
      <c r="MRM5" s="1962"/>
      <c r="MRN5" s="1962"/>
      <c r="MRO5" s="1962"/>
      <c r="MRP5" s="1962"/>
      <c r="MRQ5" s="1962"/>
      <c r="MRR5" s="1962"/>
      <c r="MRS5" s="1962"/>
      <c r="MRT5" s="1962"/>
      <c r="MRU5" s="1962"/>
      <c r="MRV5" s="1962"/>
      <c r="MRW5" s="1962"/>
      <c r="MRX5" s="1962"/>
      <c r="MRY5" s="1962"/>
      <c r="MRZ5" s="1962"/>
      <c r="MSA5" s="1962"/>
      <c r="MSB5" s="1962"/>
      <c r="MSC5" s="1962"/>
      <c r="MSD5" s="1962"/>
      <c r="MSE5" s="1962"/>
      <c r="MSF5" s="1962"/>
      <c r="MSG5" s="1962"/>
      <c r="MSH5" s="1962"/>
      <c r="MSI5" s="1962"/>
      <c r="MSJ5" s="1962"/>
      <c r="MSK5" s="1962"/>
      <c r="MSL5" s="1962"/>
      <c r="MSM5" s="1962"/>
      <c r="MSN5" s="1962"/>
      <c r="MSO5" s="1962"/>
      <c r="MSP5" s="1962"/>
      <c r="MSQ5" s="1962"/>
      <c r="MSR5" s="1962"/>
      <c r="MSS5" s="1962"/>
      <c r="MST5" s="1962"/>
      <c r="MSU5" s="1962"/>
      <c r="MSV5" s="1962"/>
      <c r="MSW5" s="1962"/>
      <c r="MSX5" s="1962"/>
      <c r="MSY5" s="1962"/>
      <c r="MSZ5" s="1962"/>
      <c r="MTA5" s="1962"/>
      <c r="MTB5" s="1962"/>
      <c r="MTC5" s="1962"/>
      <c r="MTD5" s="1962"/>
      <c r="MTE5" s="1962"/>
      <c r="MTF5" s="1962"/>
      <c r="MTG5" s="1962"/>
      <c r="MTH5" s="1962"/>
      <c r="MTI5" s="1962"/>
      <c r="MTJ5" s="1962"/>
      <c r="MTK5" s="1962"/>
      <c r="MTL5" s="1962"/>
      <c r="MTM5" s="1962"/>
      <c r="MTN5" s="1962"/>
      <c r="MTO5" s="1962"/>
      <c r="MTP5" s="1962"/>
      <c r="MTQ5" s="1962"/>
      <c r="MTR5" s="1962"/>
      <c r="MTS5" s="1962"/>
      <c r="MTT5" s="1962"/>
      <c r="MTU5" s="1962"/>
      <c r="MTV5" s="1962"/>
      <c r="MTW5" s="1962"/>
      <c r="MTX5" s="1962"/>
      <c r="MTY5" s="1962"/>
      <c r="MTZ5" s="1962"/>
      <c r="MUA5" s="1962"/>
      <c r="MUB5" s="1962"/>
      <c r="MUC5" s="1962"/>
      <c r="MUD5" s="1962"/>
      <c r="MUE5" s="1962"/>
      <c r="MUF5" s="1962"/>
      <c r="MUG5" s="1962"/>
      <c r="MUH5" s="1962"/>
      <c r="MUI5" s="1962"/>
      <c r="MUJ5" s="1962"/>
      <c r="MUK5" s="1962"/>
      <c r="MUL5" s="1962"/>
      <c r="MUM5" s="1962"/>
      <c r="MUN5" s="1962"/>
      <c r="MUO5" s="1962"/>
      <c r="MUP5" s="1962"/>
      <c r="MUQ5" s="1962"/>
      <c r="MUR5" s="1962"/>
      <c r="MUS5" s="1962"/>
      <c r="MUT5" s="1962"/>
      <c r="MUU5" s="1962"/>
      <c r="MUV5" s="1962"/>
      <c r="MUW5" s="1962"/>
      <c r="MUX5" s="1962"/>
      <c r="MUY5" s="1962"/>
      <c r="MUZ5" s="1962"/>
      <c r="MVA5" s="1962"/>
      <c r="MVB5" s="1962"/>
      <c r="MVC5" s="1962"/>
      <c r="MVD5" s="1962"/>
      <c r="MVE5" s="1962"/>
      <c r="MVF5" s="1962"/>
      <c r="MVG5" s="1962"/>
      <c r="MVH5" s="1962"/>
      <c r="MVI5" s="1962"/>
      <c r="MVJ5" s="1962"/>
      <c r="MVK5" s="1962"/>
      <c r="MVL5" s="1962"/>
      <c r="MVM5" s="1962"/>
      <c r="MVN5" s="1962"/>
      <c r="MVO5" s="1962"/>
      <c r="MVP5" s="1962"/>
      <c r="MVQ5" s="1962"/>
      <c r="MVR5" s="1962"/>
      <c r="MVS5" s="1962"/>
      <c r="MVT5" s="1962"/>
      <c r="MVU5" s="1962"/>
      <c r="MVV5" s="1962"/>
      <c r="MVW5" s="1962"/>
      <c r="MVX5" s="1962"/>
      <c r="MVY5" s="1962"/>
      <c r="MVZ5" s="1962"/>
      <c r="MWA5" s="1962"/>
      <c r="MWB5" s="1962"/>
      <c r="MWC5" s="1962"/>
      <c r="MWD5" s="1962"/>
      <c r="MWE5" s="1962"/>
      <c r="MWF5" s="1962"/>
      <c r="MWG5" s="1962"/>
      <c r="MWH5" s="1962"/>
      <c r="MWI5" s="1962"/>
      <c r="MWJ5" s="1962"/>
      <c r="MWK5" s="1962"/>
      <c r="MWL5" s="1962"/>
      <c r="MWM5" s="1962"/>
      <c r="MWN5" s="1962"/>
      <c r="MWO5" s="1962"/>
      <c r="MWP5" s="1962"/>
      <c r="MWQ5" s="1962"/>
      <c r="MWR5" s="1962"/>
      <c r="MWS5" s="1962"/>
      <c r="MWT5" s="1962"/>
      <c r="MWU5" s="1962"/>
      <c r="MWV5" s="1962"/>
      <c r="MWW5" s="1962"/>
      <c r="MWX5" s="1962"/>
      <c r="MWY5" s="1962"/>
      <c r="MWZ5" s="1962"/>
      <c r="MXA5" s="1962"/>
      <c r="MXB5" s="1962"/>
      <c r="MXC5" s="1962"/>
      <c r="MXD5" s="1962"/>
      <c r="MXE5" s="1962"/>
      <c r="MXF5" s="1962"/>
      <c r="MXG5" s="1962"/>
      <c r="MXH5" s="1962"/>
      <c r="MXI5" s="1962"/>
      <c r="MXJ5" s="1962"/>
      <c r="MXK5" s="1962"/>
      <c r="MXL5" s="1962"/>
      <c r="MXM5" s="1962"/>
      <c r="MXN5" s="1962"/>
      <c r="MXO5" s="1962"/>
      <c r="MXP5" s="1962"/>
      <c r="MXQ5" s="1962"/>
      <c r="MXR5" s="1962"/>
      <c r="MXS5" s="1962"/>
      <c r="MXT5" s="1962"/>
      <c r="MXU5" s="1962"/>
      <c r="MXV5" s="1962"/>
      <c r="MXW5" s="1962"/>
      <c r="MXX5" s="1962"/>
      <c r="MXY5" s="1962"/>
      <c r="MXZ5" s="1962"/>
      <c r="MYA5" s="1962"/>
      <c r="MYB5" s="1962"/>
      <c r="MYC5" s="1962"/>
      <c r="MYD5" s="1962"/>
      <c r="MYE5" s="1962"/>
      <c r="MYF5" s="1962"/>
      <c r="MYG5" s="1962"/>
      <c r="MYH5" s="1962"/>
      <c r="MYI5" s="1962"/>
      <c r="MYJ5" s="1962"/>
      <c r="MYK5" s="1962"/>
      <c r="MYL5" s="1962"/>
      <c r="MYM5" s="1962"/>
      <c r="MYN5" s="1962"/>
      <c r="MYO5" s="1962"/>
      <c r="MYP5" s="1962"/>
      <c r="MYQ5" s="1962"/>
      <c r="MYR5" s="1962"/>
      <c r="MYS5" s="1962"/>
      <c r="MYT5" s="1962"/>
      <c r="MYU5" s="1962"/>
      <c r="MYV5" s="1962"/>
      <c r="MYW5" s="1962"/>
      <c r="MYX5" s="1962"/>
      <c r="MYY5" s="1962"/>
      <c r="MYZ5" s="1962"/>
      <c r="MZA5" s="1962"/>
      <c r="MZB5" s="1962"/>
      <c r="MZC5" s="1962"/>
      <c r="MZD5" s="1962"/>
      <c r="MZE5" s="1962"/>
      <c r="MZF5" s="1962"/>
      <c r="MZG5" s="1962"/>
      <c r="MZH5" s="1962"/>
      <c r="MZI5" s="1962"/>
      <c r="MZJ5" s="1962"/>
      <c r="MZK5" s="1962"/>
      <c r="MZL5" s="1962"/>
      <c r="MZM5" s="1962"/>
      <c r="MZN5" s="1962"/>
      <c r="MZO5" s="1962"/>
      <c r="MZP5" s="1962"/>
      <c r="MZQ5" s="1962"/>
      <c r="MZR5" s="1962"/>
      <c r="MZS5" s="1962"/>
      <c r="MZT5" s="1962"/>
      <c r="MZU5" s="1962"/>
      <c r="MZV5" s="1962"/>
      <c r="MZW5" s="1962"/>
      <c r="MZX5" s="1962"/>
      <c r="MZY5" s="1962"/>
      <c r="MZZ5" s="1962"/>
      <c r="NAA5" s="1962"/>
      <c r="NAB5" s="1962"/>
      <c r="NAC5" s="1962"/>
      <c r="NAD5" s="1962"/>
      <c r="NAE5" s="1962"/>
      <c r="NAF5" s="1962"/>
      <c r="NAG5" s="1962"/>
      <c r="NAH5" s="1962"/>
      <c r="NAI5" s="1962"/>
      <c r="NAJ5" s="1962"/>
      <c r="NAK5" s="1962"/>
      <c r="NAL5" s="1962"/>
      <c r="NAM5" s="1962"/>
      <c r="NAN5" s="1962"/>
      <c r="NAO5" s="1962"/>
      <c r="NAP5" s="1962"/>
      <c r="NAQ5" s="1962"/>
      <c r="NAR5" s="1962"/>
      <c r="NAS5" s="1962"/>
      <c r="NAT5" s="1962"/>
      <c r="NAU5" s="1962"/>
      <c r="NAV5" s="1962"/>
      <c r="NAW5" s="1962"/>
      <c r="NAX5" s="1962"/>
      <c r="NAY5" s="1962"/>
      <c r="NAZ5" s="1962"/>
      <c r="NBA5" s="1962"/>
      <c r="NBB5" s="1962"/>
      <c r="NBC5" s="1962"/>
      <c r="NBD5" s="1962"/>
      <c r="NBE5" s="1962"/>
      <c r="NBF5" s="1962"/>
      <c r="NBG5" s="1962"/>
      <c r="NBH5" s="1962"/>
      <c r="NBI5" s="1962"/>
      <c r="NBJ5" s="1962"/>
      <c r="NBK5" s="1962"/>
      <c r="NBL5" s="1962"/>
      <c r="NBM5" s="1962"/>
      <c r="NBN5" s="1962"/>
      <c r="NBO5" s="1962"/>
      <c r="NBP5" s="1962"/>
      <c r="NBQ5" s="1962"/>
      <c r="NBR5" s="1962"/>
      <c r="NBS5" s="1962"/>
      <c r="NBT5" s="1962"/>
      <c r="NBU5" s="1962"/>
      <c r="NBV5" s="1962"/>
      <c r="NBW5" s="1962"/>
      <c r="NBX5" s="1962"/>
      <c r="NBY5" s="1962"/>
      <c r="NBZ5" s="1962"/>
      <c r="NCA5" s="1962"/>
      <c r="NCB5" s="1962"/>
      <c r="NCC5" s="1962"/>
      <c r="NCD5" s="1962"/>
      <c r="NCE5" s="1962"/>
      <c r="NCF5" s="1962"/>
      <c r="NCG5" s="1962"/>
      <c r="NCH5" s="1962"/>
      <c r="NCI5" s="1962"/>
      <c r="NCJ5" s="1962"/>
      <c r="NCK5" s="1962"/>
      <c r="NCL5" s="1962"/>
      <c r="NCM5" s="1962"/>
      <c r="NCN5" s="1962"/>
      <c r="NCO5" s="1962"/>
      <c r="NCP5" s="1962"/>
      <c r="NCQ5" s="1962"/>
      <c r="NCR5" s="1962"/>
      <c r="NCS5" s="1962"/>
      <c r="NCT5" s="1962"/>
      <c r="NCU5" s="1962"/>
      <c r="NCV5" s="1962"/>
      <c r="NCW5" s="1962"/>
      <c r="NCX5" s="1962"/>
      <c r="NCY5" s="1962"/>
      <c r="NCZ5" s="1962"/>
      <c r="NDA5" s="1962"/>
      <c r="NDB5" s="1962"/>
      <c r="NDC5" s="1962"/>
      <c r="NDD5" s="1962"/>
      <c r="NDE5" s="1962"/>
      <c r="NDF5" s="1962"/>
      <c r="NDG5" s="1962"/>
      <c r="NDH5" s="1962"/>
      <c r="NDI5" s="1962"/>
      <c r="NDJ5" s="1962"/>
      <c r="NDK5" s="1962"/>
      <c r="NDL5" s="1962"/>
      <c r="NDM5" s="1962"/>
      <c r="NDN5" s="1962"/>
      <c r="NDO5" s="1962"/>
      <c r="NDP5" s="1962"/>
      <c r="NDQ5" s="1962"/>
      <c r="NDR5" s="1962"/>
      <c r="NDS5" s="1962"/>
      <c r="NDT5" s="1962"/>
      <c r="NDU5" s="1962"/>
      <c r="NDV5" s="1962"/>
      <c r="NDW5" s="1962"/>
      <c r="NDX5" s="1962"/>
      <c r="NDY5" s="1962"/>
      <c r="NDZ5" s="1962"/>
      <c r="NEA5" s="1962"/>
      <c r="NEB5" s="1962"/>
      <c r="NEC5" s="1962"/>
      <c r="NED5" s="1962"/>
      <c r="NEE5" s="1962"/>
      <c r="NEF5" s="1962"/>
      <c r="NEG5" s="1962"/>
      <c r="NEH5" s="1962"/>
      <c r="NEI5" s="1962"/>
      <c r="NEJ5" s="1962"/>
      <c r="NEK5" s="1962"/>
      <c r="NEL5" s="1962"/>
      <c r="NEM5" s="1962"/>
      <c r="NEN5" s="1962"/>
      <c r="NEO5" s="1962"/>
      <c r="NEP5" s="1962"/>
      <c r="NEQ5" s="1962"/>
      <c r="NER5" s="1962"/>
      <c r="NES5" s="1962"/>
      <c r="NET5" s="1962"/>
      <c r="NEU5" s="1962"/>
      <c r="NEV5" s="1962"/>
      <c r="NEW5" s="1962"/>
      <c r="NEX5" s="1962"/>
      <c r="NEY5" s="1962"/>
      <c r="NEZ5" s="1962"/>
      <c r="NFA5" s="1962"/>
      <c r="NFB5" s="1962"/>
      <c r="NFC5" s="1962"/>
      <c r="NFD5" s="1962"/>
      <c r="NFE5" s="1962"/>
      <c r="NFF5" s="1962"/>
      <c r="NFG5" s="1962"/>
      <c r="NFH5" s="1962"/>
      <c r="NFI5" s="1962"/>
      <c r="NFJ5" s="1962"/>
      <c r="NFK5" s="1962"/>
      <c r="NFL5" s="1962"/>
      <c r="NFM5" s="1962"/>
      <c r="NFN5" s="1962"/>
      <c r="NFO5" s="1962"/>
      <c r="NFP5" s="1962"/>
      <c r="NFQ5" s="1962"/>
      <c r="NFR5" s="1962"/>
      <c r="NFS5" s="1962"/>
      <c r="NFT5" s="1962"/>
      <c r="NFU5" s="1962"/>
      <c r="NFV5" s="1962"/>
      <c r="NFW5" s="1962"/>
      <c r="NFX5" s="1962"/>
      <c r="NFY5" s="1962"/>
      <c r="NFZ5" s="1962"/>
      <c r="NGA5" s="1962"/>
      <c r="NGB5" s="1962"/>
      <c r="NGC5" s="1962"/>
      <c r="NGD5" s="1962"/>
      <c r="NGE5" s="1962"/>
      <c r="NGF5" s="1962"/>
      <c r="NGG5" s="1962"/>
      <c r="NGH5" s="1962"/>
      <c r="NGI5" s="1962"/>
      <c r="NGJ5" s="1962"/>
      <c r="NGK5" s="1962"/>
      <c r="NGL5" s="1962"/>
      <c r="NGM5" s="1962"/>
      <c r="NGN5" s="1962"/>
      <c r="NGO5" s="1962"/>
      <c r="NGP5" s="1962"/>
      <c r="NGQ5" s="1962"/>
      <c r="NGR5" s="1962"/>
      <c r="NGS5" s="1962"/>
      <c r="NGT5" s="1962"/>
      <c r="NGU5" s="1962"/>
      <c r="NGV5" s="1962"/>
      <c r="NGW5" s="1962"/>
      <c r="NGX5" s="1962"/>
      <c r="NGY5" s="1962"/>
      <c r="NGZ5" s="1962"/>
      <c r="NHA5" s="1962"/>
      <c r="NHB5" s="1962"/>
      <c r="NHC5" s="1962"/>
      <c r="NHD5" s="1962"/>
      <c r="NHE5" s="1962"/>
      <c r="NHF5" s="1962"/>
      <c r="NHG5" s="1962"/>
      <c r="NHH5" s="1962"/>
      <c r="NHI5" s="1962"/>
      <c r="NHJ5" s="1962"/>
      <c r="NHK5" s="1962"/>
      <c r="NHL5" s="1962"/>
      <c r="NHM5" s="1962"/>
      <c r="NHN5" s="1962"/>
      <c r="NHO5" s="1962"/>
      <c r="NHP5" s="1962"/>
      <c r="NHQ5" s="1962"/>
      <c r="NHR5" s="1962"/>
      <c r="NHS5" s="1962"/>
      <c r="NHT5" s="1962"/>
      <c r="NHU5" s="1962"/>
      <c r="NHV5" s="1962"/>
      <c r="NHW5" s="1962"/>
      <c r="NHX5" s="1962"/>
      <c r="NHY5" s="1962"/>
      <c r="NHZ5" s="1962"/>
      <c r="NIA5" s="1962"/>
      <c r="NIB5" s="1962"/>
      <c r="NIC5" s="1962"/>
      <c r="NID5" s="1962"/>
      <c r="NIE5" s="1962"/>
      <c r="NIF5" s="1962"/>
      <c r="NIG5" s="1962"/>
      <c r="NIH5" s="1962"/>
      <c r="NII5" s="1962"/>
      <c r="NIJ5" s="1962"/>
      <c r="NIK5" s="1962"/>
      <c r="NIL5" s="1962"/>
      <c r="NIM5" s="1962"/>
      <c r="NIN5" s="1962"/>
      <c r="NIO5" s="1962"/>
      <c r="NIP5" s="1962"/>
      <c r="NIQ5" s="1962"/>
      <c r="NIR5" s="1962"/>
      <c r="NIS5" s="1962"/>
      <c r="NIT5" s="1962"/>
      <c r="NIU5" s="1962"/>
      <c r="NIV5" s="1962"/>
      <c r="NIW5" s="1962"/>
      <c r="NIX5" s="1962"/>
      <c r="NIY5" s="1962"/>
      <c r="NIZ5" s="1962"/>
      <c r="NJA5" s="1962"/>
      <c r="NJB5" s="1962"/>
      <c r="NJC5" s="1962"/>
      <c r="NJD5" s="1962"/>
      <c r="NJE5" s="1962"/>
      <c r="NJF5" s="1962"/>
      <c r="NJG5" s="1962"/>
      <c r="NJH5" s="1962"/>
      <c r="NJI5" s="1962"/>
      <c r="NJJ5" s="1962"/>
      <c r="NJK5" s="1962"/>
      <c r="NJL5" s="1962"/>
      <c r="NJM5" s="1962"/>
      <c r="NJN5" s="1962"/>
      <c r="NJO5" s="1962"/>
      <c r="NJP5" s="1962"/>
      <c r="NJQ5" s="1962"/>
      <c r="NJR5" s="1962"/>
      <c r="NJS5" s="1962"/>
      <c r="NJT5" s="1962"/>
      <c r="NJU5" s="1962"/>
      <c r="NJV5" s="1962"/>
      <c r="NJW5" s="1962"/>
      <c r="NJX5" s="1962"/>
      <c r="NJY5" s="1962"/>
      <c r="NJZ5" s="1962"/>
      <c r="NKA5" s="1962"/>
      <c r="NKB5" s="1962"/>
      <c r="NKC5" s="1962"/>
      <c r="NKD5" s="1962"/>
      <c r="NKE5" s="1962"/>
      <c r="NKF5" s="1962"/>
      <c r="NKG5" s="1962"/>
      <c r="NKH5" s="1962"/>
      <c r="NKI5" s="1962"/>
      <c r="NKJ5" s="1962"/>
      <c r="NKK5" s="1962"/>
      <c r="NKL5" s="1962"/>
      <c r="NKM5" s="1962"/>
      <c r="NKN5" s="1962"/>
      <c r="NKO5" s="1962"/>
      <c r="NKP5" s="1962"/>
      <c r="NKQ5" s="1962"/>
      <c r="NKR5" s="1962"/>
      <c r="NKS5" s="1962"/>
      <c r="NKT5" s="1962"/>
      <c r="NKU5" s="1962"/>
      <c r="NKV5" s="1962"/>
      <c r="NKW5" s="1962"/>
      <c r="NKX5" s="1962"/>
      <c r="NKY5" s="1962"/>
      <c r="NKZ5" s="1962"/>
      <c r="NLA5" s="1962"/>
      <c r="NLB5" s="1962"/>
      <c r="NLC5" s="1962"/>
      <c r="NLD5" s="1962"/>
      <c r="NLE5" s="1962"/>
      <c r="NLF5" s="1962"/>
      <c r="NLG5" s="1962"/>
      <c r="NLH5" s="1962"/>
      <c r="NLI5" s="1962"/>
      <c r="NLJ5" s="1962"/>
      <c r="NLK5" s="1962"/>
      <c r="NLL5" s="1962"/>
      <c r="NLM5" s="1962"/>
      <c r="NLN5" s="1962"/>
      <c r="NLO5" s="1962"/>
      <c r="NLP5" s="1962"/>
      <c r="NLQ5" s="1962"/>
      <c r="NLR5" s="1962"/>
      <c r="NLS5" s="1962"/>
      <c r="NLT5" s="1962"/>
      <c r="NLU5" s="1962"/>
      <c r="NLV5" s="1962"/>
      <c r="NLW5" s="1962"/>
      <c r="NLX5" s="1962"/>
      <c r="NLY5" s="1962"/>
      <c r="NLZ5" s="1962"/>
      <c r="NMA5" s="1962"/>
      <c r="NMB5" s="1962"/>
      <c r="NMC5" s="1962"/>
      <c r="NMD5" s="1962"/>
      <c r="NME5" s="1962"/>
      <c r="NMF5" s="1962"/>
      <c r="NMG5" s="1962"/>
      <c r="NMH5" s="1962"/>
      <c r="NMI5" s="1962"/>
      <c r="NMJ5" s="1962"/>
      <c r="NMK5" s="1962"/>
      <c r="NML5" s="1962"/>
      <c r="NMM5" s="1962"/>
      <c r="NMN5" s="1962"/>
      <c r="NMO5" s="1962"/>
      <c r="NMP5" s="1962"/>
      <c r="NMQ5" s="1962"/>
      <c r="NMR5" s="1962"/>
      <c r="NMS5" s="1962"/>
      <c r="NMT5" s="1962"/>
      <c r="NMU5" s="1962"/>
      <c r="NMV5" s="1962"/>
      <c r="NMW5" s="1962"/>
      <c r="NMX5" s="1962"/>
      <c r="NMY5" s="1962"/>
      <c r="NMZ5" s="1962"/>
      <c r="NNA5" s="1962"/>
      <c r="NNB5" s="1962"/>
      <c r="NNC5" s="1962"/>
      <c r="NND5" s="1962"/>
      <c r="NNE5" s="1962"/>
      <c r="NNF5" s="1962"/>
      <c r="NNG5" s="1962"/>
      <c r="NNH5" s="1962"/>
      <c r="NNI5" s="1962"/>
      <c r="NNJ5" s="1962"/>
      <c r="NNK5" s="1962"/>
      <c r="NNL5" s="1962"/>
      <c r="NNM5" s="1962"/>
      <c r="NNN5" s="1962"/>
      <c r="NNO5" s="1962"/>
      <c r="NNP5" s="1962"/>
      <c r="NNQ5" s="1962"/>
      <c r="NNR5" s="1962"/>
      <c r="NNS5" s="1962"/>
      <c r="NNT5" s="1962"/>
      <c r="NNU5" s="1962"/>
      <c r="NNV5" s="1962"/>
      <c r="NNW5" s="1962"/>
      <c r="NNX5" s="1962"/>
      <c r="NNY5" s="1962"/>
      <c r="NNZ5" s="1962"/>
      <c r="NOA5" s="1962"/>
      <c r="NOB5" s="1962"/>
      <c r="NOC5" s="1962"/>
      <c r="NOD5" s="1962"/>
      <c r="NOE5" s="1962"/>
      <c r="NOF5" s="1962"/>
      <c r="NOG5" s="1962"/>
      <c r="NOH5" s="1962"/>
      <c r="NOI5" s="1962"/>
      <c r="NOJ5" s="1962"/>
      <c r="NOK5" s="1962"/>
      <c r="NOL5" s="1962"/>
      <c r="NOM5" s="1962"/>
      <c r="NON5" s="1962"/>
      <c r="NOO5" s="1962"/>
      <c r="NOP5" s="1962"/>
      <c r="NOQ5" s="1962"/>
      <c r="NOR5" s="1962"/>
      <c r="NOS5" s="1962"/>
      <c r="NOT5" s="1962"/>
      <c r="NOU5" s="1962"/>
      <c r="NOV5" s="1962"/>
      <c r="NOW5" s="1962"/>
      <c r="NOX5" s="1962"/>
      <c r="NOY5" s="1962"/>
      <c r="NOZ5" s="1962"/>
      <c r="NPA5" s="1962"/>
      <c r="NPB5" s="1962"/>
      <c r="NPC5" s="1962"/>
      <c r="NPD5" s="1962"/>
      <c r="NPE5" s="1962"/>
      <c r="NPF5" s="1962"/>
      <c r="NPG5" s="1962"/>
      <c r="NPH5" s="1962"/>
      <c r="NPI5" s="1962"/>
      <c r="NPJ5" s="1962"/>
      <c r="NPK5" s="1962"/>
      <c r="NPL5" s="1962"/>
      <c r="NPM5" s="1962"/>
      <c r="NPN5" s="1962"/>
      <c r="NPO5" s="1962"/>
      <c r="NPP5" s="1962"/>
      <c r="NPQ5" s="1962"/>
      <c r="NPR5" s="1962"/>
      <c r="NPS5" s="1962"/>
      <c r="NPT5" s="1962"/>
      <c r="NPU5" s="1962"/>
      <c r="NPV5" s="1962"/>
      <c r="NPW5" s="1962"/>
      <c r="NPX5" s="1962"/>
      <c r="NPY5" s="1962"/>
      <c r="NPZ5" s="1962"/>
      <c r="NQA5" s="1962"/>
      <c r="NQB5" s="1962"/>
      <c r="NQC5" s="1962"/>
      <c r="NQD5" s="1962"/>
      <c r="NQE5" s="1962"/>
      <c r="NQF5" s="1962"/>
      <c r="NQG5" s="1962"/>
      <c r="NQH5" s="1962"/>
      <c r="NQI5" s="1962"/>
      <c r="NQJ5" s="1962"/>
      <c r="NQK5" s="1962"/>
      <c r="NQL5" s="1962"/>
      <c r="NQM5" s="1962"/>
      <c r="NQN5" s="1962"/>
      <c r="NQO5" s="1962"/>
      <c r="NQP5" s="1962"/>
      <c r="NQQ5" s="1962"/>
      <c r="NQR5" s="1962"/>
      <c r="NQS5" s="1962"/>
      <c r="NQT5" s="1962"/>
      <c r="NQU5" s="1962"/>
      <c r="NQV5" s="1962"/>
      <c r="NQW5" s="1962"/>
      <c r="NQX5" s="1962"/>
      <c r="NQY5" s="1962"/>
      <c r="NQZ5" s="1962"/>
      <c r="NRA5" s="1962"/>
      <c r="NRB5" s="1962"/>
      <c r="NRC5" s="1962"/>
      <c r="NRD5" s="1962"/>
      <c r="NRE5" s="1962"/>
      <c r="NRF5" s="1962"/>
      <c r="NRG5" s="1962"/>
      <c r="NRH5" s="1962"/>
      <c r="NRI5" s="1962"/>
      <c r="NRJ5" s="1962"/>
      <c r="NRK5" s="1962"/>
      <c r="NRL5" s="1962"/>
      <c r="NRM5" s="1962"/>
      <c r="NRN5" s="1962"/>
      <c r="NRO5" s="1962"/>
      <c r="NRP5" s="1962"/>
      <c r="NRQ5" s="1962"/>
      <c r="NRR5" s="1962"/>
      <c r="NRS5" s="1962"/>
      <c r="NRT5" s="1962"/>
      <c r="NRU5" s="1962"/>
      <c r="NRV5" s="1962"/>
      <c r="NRW5" s="1962"/>
      <c r="NRX5" s="1962"/>
      <c r="NRY5" s="1962"/>
      <c r="NRZ5" s="1962"/>
      <c r="NSA5" s="1962"/>
      <c r="NSB5" s="1962"/>
      <c r="NSC5" s="1962"/>
      <c r="NSD5" s="1962"/>
      <c r="NSE5" s="1962"/>
      <c r="NSF5" s="1962"/>
      <c r="NSG5" s="1962"/>
      <c r="NSH5" s="1962"/>
      <c r="NSI5" s="1962"/>
      <c r="NSJ5" s="1962"/>
      <c r="NSK5" s="1962"/>
      <c r="NSL5" s="1962"/>
      <c r="NSM5" s="1962"/>
      <c r="NSN5" s="1962"/>
      <c r="NSO5" s="1962"/>
      <c r="NSP5" s="1962"/>
      <c r="NSQ5" s="1962"/>
      <c r="NSR5" s="1962"/>
      <c r="NSS5" s="1962"/>
      <c r="NST5" s="1962"/>
      <c r="NSU5" s="1962"/>
      <c r="NSV5" s="1962"/>
      <c r="NSW5" s="1962"/>
      <c r="NSX5" s="1962"/>
      <c r="NSY5" s="1962"/>
      <c r="NSZ5" s="1962"/>
      <c r="NTA5" s="1962"/>
      <c r="NTB5" s="1962"/>
      <c r="NTC5" s="1962"/>
      <c r="NTD5" s="1962"/>
      <c r="NTE5" s="1962"/>
      <c r="NTF5" s="1962"/>
      <c r="NTG5" s="1962"/>
      <c r="NTH5" s="1962"/>
      <c r="NTI5" s="1962"/>
      <c r="NTJ5" s="1962"/>
      <c r="NTK5" s="1962"/>
      <c r="NTL5" s="1962"/>
      <c r="NTM5" s="1962"/>
      <c r="NTN5" s="1962"/>
      <c r="NTO5" s="1962"/>
      <c r="NTP5" s="1962"/>
      <c r="NTQ5" s="1962"/>
      <c r="NTR5" s="1962"/>
      <c r="NTS5" s="1962"/>
      <c r="NTT5" s="1962"/>
      <c r="NTU5" s="1962"/>
      <c r="NTV5" s="1962"/>
      <c r="NTW5" s="1962"/>
      <c r="NTX5" s="1962"/>
      <c r="NTY5" s="1962"/>
      <c r="NTZ5" s="1962"/>
      <c r="NUA5" s="1962"/>
      <c r="NUB5" s="1962"/>
      <c r="NUC5" s="1962"/>
      <c r="NUD5" s="1962"/>
      <c r="NUE5" s="1962"/>
      <c r="NUF5" s="1962"/>
      <c r="NUG5" s="1962"/>
      <c r="NUH5" s="1962"/>
      <c r="NUI5" s="1962"/>
      <c r="NUJ5" s="1962"/>
      <c r="NUK5" s="1962"/>
      <c r="NUL5" s="1962"/>
      <c r="NUM5" s="1962"/>
      <c r="NUN5" s="1962"/>
      <c r="NUO5" s="1962"/>
      <c r="NUP5" s="1962"/>
      <c r="NUQ5" s="1962"/>
      <c r="NUR5" s="1962"/>
      <c r="NUS5" s="1962"/>
      <c r="NUT5" s="1962"/>
      <c r="NUU5" s="1962"/>
      <c r="NUV5" s="1962"/>
      <c r="NUW5" s="1962"/>
      <c r="NUX5" s="1962"/>
      <c r="NUY5" s="1962"/>
      <c r="NUZ5" s="1962"/>
      <c r="NVA5" s="1962"/>
      <c r="NVB5" s="1962"/>
      <c r="NVC5" s="1962"/>
      <c r="NVD5" s="1962"/>
      <c r="NVE5" s="1962"/>
      <c r="NVF5" s="1962"/>
      <c r="NVG5" s="1962"/>
      <c r="NVH5" s="1962"/>
      <c r="NVI5" s="1962"/>
      <c r="NVJ5" s="1962"/>
      <c r="NVK5" s="1962"/>
      <c r="NVL5" s="1962"/>
      <c r="NVM5" s="1962"/>
      <c r="NVN5" s="1962"/>
      <c r="NVO5" s="1962"/>
      <c r="NVP5" s="1962"/>
      <c r="NVQ5" s="1962"/>
      <c r="NVR5" s="1962"/>
      <c r="NVS5" s="1962"/>
      <c r="NVT5" s="1962"/>
      <c r="NVU5" s="1962"/>
      <c r="NVV5" s="1962"/>
      <c r="NVW5" s="1962"/>
      <c r="NVX5" s="1962"/>
      <c r="NVY5" s="1962"/>
      <c r="NVZ5" s="1962"/>
      <c r="NWA5" s="1962"/>
      <c r="NWB5" s="1962"/>
      <c r="NWC5" s="1962"/>
      <c r="NWD5" s="1962"/>
      <c r="NWE5" s="1962"/>
      <c r="NWF5" s="1962"/>
      <c r="NWG5" s="1962"/>
      <c r="NWH5" s="1962"/>
      <c r="NWI5" s="1962"/>
      <c r="NWJ5" s="1962"/>
      <c r="NWK5" s="1962"/>
      <c r="NWL5" s="1962"/>
      <c r="NWM5" s="1962"/>
      <c r="NWN5" s="1962"/>
      <c r="NWO5" s="1962"/>
      <c r="NWP5" s="1962"/>
      <c r="NWQ5" s="1962"/>
      <c r="NWR5" s="1962"/>
      <c r="NWS5" s="1962"/>
      <c r="NWT5" s="1962"/>
      <c r="NWU5" s="1962"/>
      <c r="NWV5" s="1962"/>
      <c r="NWW5" s="1962"/>
      <c r="NWX5" s="1962"/>
      <c r="NWY5" s="1962"/>
      <c r="NWZ5" s="1962"/>
      <c r="NXA5" s="1962"/>
      <c r="NXB5" s="1962"/>
      <c r="NXC5" s="1962"/>
      <c r="NXD5" s="1962"/>
      <c r="NXE5" s="1962"/>
      <c r="NXF5" s="1962"/>
      <c r="NXG5" s="1962"/>
      <c r="NXH5" s="1962"/>
      <c r="NXI5" s="1962"/>
      <c r="NXJ5" s="1962"/>
      <c r="NXK5" s="1962"/>
      <c r="NXL5" s="1962"/>
      <c r="NXM5" s="1962"/>
      <c r="NXN5" s="1962"/>
      <c r="NXO5" s="1962"/>
      <c r="NXP5" s="1962"/>
      <c r="NXQ5" s="1962"/>
      <c r="NXR5" s="1962"/>
      <c r="NXS5" s="1962"/>
      <c r="NXT5" s="1962"/>
      <c r="NXU5" s="1962"/>
      <c r="NXV5" s="1962"/>
      <c r="NXW5" s="1962"/>
      <c r="NXX5" s="1962"/>
      <c r="NXY5" s="1962"/>
      <c r="NXZ5" s="1962"/>
      <c r="NYA5" s="1962"/>
      <c r="NYB5" s="1962"/>
      <c r="NYC5" s="1962"/>
      <c r="NYD5" s="1962"/>
      <c r="NYE5" s="1962"/>
      <c r="NYF5" s="1962"/>
      <c r="NYG5" s="1962"/>
      <c r="NYH5" s="1962"/>
      <c r="NYI5" s="1962"/>
      <c r="NYJ5" s="1962"/>
      <c r="NYK5" s="1962"/>
      <c r="NYL5" s="1962"/>
      <c r="NYM5" s="1962"/>
      <c r="NYN5" s="1962"/>
      <c r="NYO5" s="1962"/>
      <c r="NYP5" s="1962"/>
      <c r="NYQ5" s="1962"/>
      <c r="NYR5" s="1962"/>
      <c r="NYS5" s="1962"/>
      <c r="NYT5" s="1962"/>
      <c r="NYU5" s="1962"/>
      <c r="NYV5" s="1962"/>
      <c r="NYW5" s="1962"/>
      <c r="NYX5" s="1962"/>
      <c r="NYY5" s="1962"/>
      <c r="NYZ5" s="1962"/>
      <c r="NZA5" s="1962"/>
      <c r="NZB5" s="1962"/>
      <c r="NZC5" s="1962"/>
      <c r="NZD5" s="1962"/>
      <c r="NZE5" s="1962"/>
      <c r="NZF5" s="1962"/>
      <c r="NZG5" s="1962"/>
      <c r="NZH5" s="1962"/>
      <c r="NZI5" s="1962"/>
      <c r="NZJ5" s="1962"/>
      <c r="NZK5" s="1962"/>
      <c r="NZL5" s="1962"/>
      <c r="NZM5" s="1962"/>
      <c r="NZN5" s="1962"/>
      <c r="NZO5" s="1962"/>
      <c r="NZP5" s="1962"/>
      <c r="NZQ5" s="1962"/>
      <c r="NZR5" s="1962"/>
      <c r="NZS5" s="1962"/>
      <c r="NZT5" s="1962"/>
      <c r="NZU5" s="1962"/>
      <c r="NZV5" s="1962"/>
      <c r="NZW5" s="1962"/>
      <c r="NZX5" s="1962"/>
      <c r="NZY5" s="1962"/>
      <c r="NZZ5" s="1962"/>
      <c r="OAA5" s="1962"/>
      <c r="OAB5" s="1962"/>
      <c r="OAC5" s="1962"/>
      <c r="OAD5" s="1962"/>
      <c r="OAE5" s="1962"/>
      <c r="OAF5" s="1962"/>
      <c r="OAG5" s="1962"/>
      <c r="OAH5" s="1962"/>
      <c r="OAI5" s="1962"/>
      <c r="OAJ5" s="1962"/>
      <c r="OAK5" s="1962"/>
      <c r="OAL5" s="1962"/>
      <c r="OAM5" s="1962"/>
      <c r="OAN5" s="1962"/>
      <c r="OAO5" s="1962"/>
      <c r="OAP5" s="1962"/>
      <c r="OAQ5" s="1962"/>
      <c r="OAR5" s="1962"/>
      <c r="OAS5" s="1962"/>
      <c r="OAT5" s="1962"/>
      <c r="OAU5" s="1962"/>
      <c r="OAV5" s="1962"/>
      <c r="OAW5" s="1962"/>
      <c r="OAX5" s="1962"/>
      <c r="OAY5" s="1962"/>
      <c r="OAZ5" s="1962"/>
      <c r="OBA5" s="1962"/>
      <c r="OBB5" s="1962"/>
      <c r="OBC5" s="1962"/>
      <c r="OBD5" s="1962"/>
      <c r="OBE5" s="1962"/>
      <c r="OBF5" s="1962"/>
      <c r="OBG5" s="1962"/>
      <c r="OBH5" s="1962"/>
      <c r="OBI5" s="1962"/>
      <c r="OBJ5" s="1962"/>
      <c r="OBK5" s="1962"/>
      <c r="OBL5" s="1962"/>
      <c r="OBM5" s="1962"/>
      <c r="OBN5" s="1962"/>
      <c r="OBO5" s="1962"/>
      <c r="OBP5" s="1962"/>
      <c r="OBQ5" s="1962"/>
      <c r="OBR5" s="1962"/>
      <c r="OBS5" s="1962"/>
      <c r="OBT5" s="1962"/>
      <c r="OBU5" s="1962"/>
      <c r="OBV5" s="1962"/>
      <c r="OBW5" s="1962"/>
      <c r="OBX5" s="1962"/>
      <c r="OBY5" s="1962"/>
      <c r="OBZ5" s="1962"/>
      <c r="OCA5" s="1962"/>
      <c r="OCB5" s="1962"/>
      <c r="OCC5" s="1962"/>
      <c r="OCD5" s="1962"/>
      <c r="OCE5" s="1962"/>
      <c r="OCF5" s="1962"/>
      <c r="OCG5" s="1962"/>
      <c r="OCH5" s="1962"/>
      <c r="OCI5" s="1962"/>
      <c r="OCJ5" s="1962"/>
      <c r="OCK5" s="1962"/>
      <c r="OCL5" s="1962"/>
      <c r="OCM5" s="1962"/>
      <c r="OCN5" s="1962"/>
      <c r="OCO5" s="1962"/>
      <c r="OCP5" s="1962"/>
      <c r="OCQ5" s="1962"/>
      <c r="OCR5" s="1962"/>
      <c r="OCS5" s="1962"/>
      <c r="OCT5" s="1962"/>
      <c r="OCU5" s="1962"/>
      <c r="OCV5" s="1962"/>
      <c r="OCW5" s="1962"/>
      <c r="OCX5" s="1962"/>
      <c r="OCY5" s="1962"/>
      <c r="OCZ5" s="1962"/>
      <c r="ODA5" s="1962"/>
      <c r="ODB5" s="1962"/>
      <c r="ODC5" s="1962"/>
      <c r="ODD5" s="1962"/>
      <c r="ODE5" s="1962"/>
      <c r="ODF5" s="1962"/>
      <c r="ODG5" s="1962"/>
      <c r="ODH5" s="1962"/>
      <c r="ODI5" s="1962"/>
      <c r="ODJ5" s="1962"/>
      <c r="ODK5" s="1962"/>
      <c r="ODL5" s="1962"/>
      <c r="ODM5" s="1962"/>
      <c r="ODN5" s="1962"/>
      <c r="ODO5" s="1962"/>
      <c r="ODP5" s="1962"/>
      <c r="ODQ5" s="1962"/>
      <c r="ODR5" s="1962"/>
      <c r="ODS5" s="1962"/>
      <c r="ODT5" s="1962"/>
      <c r="ODU5" s="1962"/>
      <c r="ODV5" s="1962"/>
      <c r="ODW5" s="1962"/>
      <c r="ODX5" s="1962"/>
      <c r="ODY5" s="1962"/>
      <c r="ODZ5" s="1962"/>
      <c r="OEA5" s="1962"/>
      <c r="OEB5" s="1962"/>
      <c r="OEC5" s="1962"/>
      <c r="OED5" s="1962"/>
      <c r="OEE5" s="1962"/>
      <c r="OEF5" s="1962"/>
      <c r="OEG5" s="1962"/>
      <c r="OEH5" s="1962"/>
      <c r="OEI5" s="1962"/>
      <c r="OEJ5" s="1962"/>
      <c r="OEK5" s="1962"/>
      <c r="OEL5" s="1962"/>
      <c r="OEM5" s="1962"/>
      <c r="OEN5" s="1962"/>
      <c r="OEO5" s="1962"/>
      <c r="OEP5" s="1962"/>
      <c r="OEQ5" s="1962"/>
      <c r="OER5" s="1962"/>
      <c r="OES5" s="1962"/>
      <c r="OET5" s="1962"/>
      <c r="OEU5" s="1962"/>
      <c r="OEV5" s="1962"/>
      <c r="OEW5" s="1962"/>
      <c r="OEX5" s="1962"/>
      <c r="OEY5" s="1962"/>
      <c r="OEZ5" s="1962"/>
      <c r="OFA5" s="1962"/>
      <c r="OFB5" s="1962"/>
      <c r="OFC5" s="1962"/>
      <c r="OFD5" s="1962"/>
      <c r="OFE5" s="1962"/>
      <c r="OFF5" s="1962"/>
      <c r="OFG5" s="1962"/>
      <c r="OFH5" s="1962"/>
      <c r="OFI5" s="1962"/>
      <c r="OFJ5" s="1962"/>
      <c r="OFK5" s="1962"/>
      <c r="OFL5" s="1962"/>
      <c r="OFM5" s="1962"/>
      <c r="OFN5" s="1962"/>
      <c r="OFO5" s="1962"/>
      <c r="OFP5" s="1962"/>
      <c r="OFQ5" s="1962"/>
      <c r="OFR5" s="1962"/>
      <c r="OFS5" s="1962"/>
      <c r="OFT5" s="1962"/>
      <c r="OFU5" s="1962"/>
      <c r="OFV5" s="1962"/>
      <c r="OFW5" s="1962"/>
      <c r="OFX5" s="1962"/>
      <c r="OFY5" s="1962"/>
      <c r="OFZ5" s="1962"/>
      <c r="OGA5" s="1962"/>
      <c r="OGB5" s="1962"/>
      <c r="OGC5" s="1962"/>
      <c r="OGD5" s="1962"/>
      <c r="OGE5" s="1962"/>
      <c r="OGF5" s="1962"/>
      <c r="OGG5" s="1962"/>
      <c r="OGH5" s="1962"/>
      <c r="OGI5" s="1962"/>
      <c r="OGJ5" s="1962"/>
      <c r="OGK5" s="1962"/>
      <c r="OGL5" s="1962"/>
      <c r="OGM5" s="1962"/>
      <c r="OGN5" s="1962"/>
      <c r="OGO5" s="1962"/>
      <c r="OGP5" s="1962"/>
      <c r="OGQ5" s="1962"/>
      <c r="OGR5" s="1962"/>
      <c r="OGS5" s="1962"/>
      <c r="OGT5" s="1962"/>
      <c r="OGU5" s="1962"/>
      <c r="OGV5" s="1962"/>
      <c r="OGW5" s="1962"/>
      <c r="OGX5" s="1962"/>
      <c r="OGY5" s="1962"/>
      <c r="OGZ5" s="1962"/>
      <c r="OHA5" s="1962"/>
      <c r="OHB5" s="1962"/>
      <c r="OHC5" s="1962"/>
      <c r="OHD5" s="1962"/>
      <c r="OHE5" s="1962"/>
      <c r="OHF5" s="1962"/>
      <c r="OHG5" s="1962"/>
      <c r="OHH5" s="1962"/>
      <c r="OHI5" s="1962"/>
      <c r="OHJ5" s="1962"/>
      <c r="OHK5" s="1962"/>
      <c r="OHL5" s="1962"/>
      <c r="OHM5" s="1962"/>
      <c r="OHN5" s="1962"/>
      <c r="OHO5" s="1962"/>
      <c r="OHP5" s="1962"/>
      <c r="OHQ5" s="1962"/>
      <c r="OHR5" s="1962"/>
      <c r="OHS5" s="1962"/>
      <c r="OHT5" s="1962"/>
      <c r="OHU5" s="1962"/>
      <c r="OHV5" s="1962"/>
      <c r="OHW5" s="1962"/>
      <c r="OHX5" s="1962"/>
      <c r="OHY5" s="1962"/>
      <c r="OHZ5" s="1962"/>
      <c r="OIA5" s="1962"/>
      <c r="OIB5" s="1962"/>
      <c r="OIC5" s="1962"/>
      <c r="OID5" s="1962"/>
      <c r="OIE5" s="1962"/>
      <c r="OIF5" s="1962"/>
      <c r="OIG5" s="1962"/>
      <c r="OIH5" s="1962"/>
      <c r="OII5" s="1962"/>
      <c r="OIJ5" s="1962"/>
      <c r="OIK5" s="1962"/>
      <c r="OIL5" s="1962"/>
      <c r="OIM5" s="1962"/>
      <c r="OIN5" s="1962"/>
      <c r="OIO5" s="1962"/>
      <c r="OIP5" s="1962"/>
      <c r="OIQ5" s="1962"/>
      <c r="OIR5" s="1962"/>
      <c r="OIS5" s="1962"/>
      <c r="OIT5" s="1962"/>
      <c r="OIU5" s="1962"/>
      <c r="OIV5" s="1962"/>
      <c r="OIW5" s="1962"/>
      <c r="OIX5" s="1962"/>
      <c r="OIY5" s="1962"/>
      <c r="OIZ5" s="1962"/>
      <c r="OJA5" s="1962"/>
      <c r="OJB5" s="1962"/>
      <c r="OJC5" s="1962"/>
      <c r="OJD5" s="1962"/>
      <c r="OJE5" s="1962"/>
      <c r="OJF5" s="1962"/>
      <c r="OJG5" s="1962"/>
      <c r="OJH5" s="1962"/>
      <c r="OJI5" s="1962"/>
      <c r="OJJ5" s="1962"/>
      <c r="OJK5" s="1962"/>
      <c r="OJL5" s="1962"/>
      <c r="OJM5" s="1962"/>
      <c r="OJN5" s="1962"/>
      <c r="OJO5" s="1962"/>
      <c r="OJP5" s="1962"/>
      <c r="OJQ5" s="1962"/>
      <c r="OJR5" s="1962"/>
      <c r="OJS5" s="1962"/>
      <c r="OJT5" s="1962"/>
      <c r="OJU5" s="1962"/>
      <c r="OJV5" s="1962"/>
      <c r="OJW5" s="1962"/>
      <c r="OJX5" s="1962"/>
      <c r="OJY5" s="1962"/>
      <c r="OJZ5" s="1962"/>
      <c r="OKA5" s="1962"/>
      <c r="OKB5" s="1962"/>
      <c r="OKC5" s="1962"/>
      <c r="OKD5" s="1962"/>
      <c r="OKE5" s="1962"/>
      <c r="OKF5" s="1962"/>
      <c r="OKG5" s="1962"/>
      <c r="OKH5" s="1962"/>
      <c r="OKI5" s="1962"/>
      <c r="OKJ5" s="1962"/>
      <c r="OKK5" s="1962"/>
      <c r="OKL5" s="1962"/>
      <c r="OKM5" s="1962"/>
      <c r="OKN5" s="1962"/>
      <c r="OKO5" s="1962"/>
      <c r="OKP5" s="1962"/>
      <c r="OKQ5" s="1962"/>
      <c r="OKR5" s="1962"/>
      <c r="OKS5" s="1962"/>
      <c r="OKT5" s="1962"/>
      <c r="OKU5" s="1962"/>
      <c r="OKV5" s="1962"/>
      <c r="OKW5" s="1962"/>
      <c r="OKX5" s="1962"/>
      <c r="OKY5" s="1962"/>
      <c r="OKZ5" s="1962"/>
      <c r="OLA5" s="1962"/>
      <c r="OLB5" s="1962"/>
      <c r="OLC5" s="1962"/>
      <c r="OLD5" s="1962"/>
      <c r="OLE5" s="1962"/>
      <c r="OLF5" s="1962"/>
      <c r="OLG5" s="1962"/>
      <c r="OLH5" s="1962"/>
      <c r="OLI5" s="1962"/>
      <c r="OLJ5" s="1962"/>
      <c r="OLK5" s="1962"/>
      <c r="OLL5" s="1962"/>
      <c r="OLM5" s="1962"/>
      <c r="OLN5" s="1962"/>
      <c r="OLO5" s="1962"/>
      <c r="OLP5" s="1962"/>
      <c r="OLQ5" s="1962"/>
      <c r="OLR5" s="1962"/>
      <c r="OLS5" s="1962"/>
      <c r="OLT5" s="1962"/>
      <c r="OLU5" s="1962"/>
      <c r="OLV5" s="1962"/>
      <c r="OLW5" s="1962"/>
      <c r="OLX5" s="1962"/>
      <c r="OLY5" s="1962"/>
      <c r="OLZ5" s="1962"/>
      <c r="OMA5" s="1962"/>
      <c r="OMB5" s="1962"/>
      <c r="OMC5" s="1962"/>
      <c r="OMD5" s="1962"/>
      <c r="OME5" s="1962"/>
      <c r="OMF5" s="1962"/>
      <c r="OMG5" s="1962"/>
      <c r="OMH5" s="1962"/>
      <c r="OMI5" s="1962"/>
      <c r="OMJ5" s="1962"/>
      <c r="OMK5" s="1962"/>
      <c r="OML5" s="1962"/>
      <c r="OMM5" s="1962"/>
      <c r="OMN5" s="1962"/>
      <c r="OMO5" s="1962"/>
      <c r="OMP5" s="1962"/>
      <c r="OMQ5" s="1962"/>
      <c r="OMR5" s="1962"/>
      <c r="OMS5" s="1962"/>
      <c r="OMT5" s="1962"/>
      <c r="OMU5" s="1962"/>
      <c r="OMV5" s="1962"/>
      <c r="OMW5" s="1962"/>
      <c r="OMX5" s="1962"/>
      <c r="OMY5" s="1962"/>
      <c r="OMZ5" s="1962"/>
      <c r="ONA5" s="1962"/>
      <c r="ONB5" s="1962"/>
      <c r="ONC5" s="1962"/>
      <c r="OND5" s="1962"/>
      <c r="ONE5" s="1962"/>
      <c r="ONF5" s="1962"/>
      <c r="ONG5" s="1962"/>
      <c r="ONH5" s="1962"/>
      <c r="ONI5" s="1962"/>
      <c r="ONJ5" s="1962"/>
      <c r="ONK5" s="1962"/>
      <c r="ONL5" s="1962"/>
      <c r="ONM5" s="1962"/>
      <c r="ONN5" s="1962"/>
      <c r="ONO5" s="1962"/>
      <c r="ONP5" s="1962"/>
      <c r="ONQ5" s="1962"/>
      <c r="ONR5" s="1962"/>
      <c r="ONS5" s="1962"/>
      <c r="ONT5" s="1962"/>
      <c r="ONU5" s="1962"/>
      <c r="ONV5" s="1962"/>
      <c r="ONW5" s="1962"/>
      <c r="ONX5" s="1962"/>
      <c r="ONY5" s="1962"/>
      <c r="ONZ5" s="1962"/>
      <c r="OOA5" s="1962"/>
      <c r="OOB5" s="1962"/>
      <c r="OOC5" s="1962"/>
      <c r="OOD5" s="1962"/>
      <c r="OOE5" s="1962"/>
      <c r="OOF5" s="1962"/>
      <c r="OOG5" s="1962"/>
      <c r="OOH5" s="1962"/>
      <c r="OOI5" s="1962"/>
      <c r="OOJ5" s="1962"/>
      <c r="OOK5" s="1962"/>
      <c r="OOL5" s="1962"/>
      <c r="OOM5" s="1962"/>
      <c r="OON5" s="1962"/>
      <c r="OOO5" s="1962"/>
      <c r="OOP5" s="1962"/>
      <c r="OOQ5" s="1962"/>
      <c r="OOR5" s="1962"/>
      <c r="OOS5" s="1962"/>
      <c r="OOT5" s="1962"/>
      <c r="OOU5" s="1962"/>
      <c r="OOV5" s="1962"/>
      <c r="OOW5" s="1962"/>
      <c r="OOX5" s="1962"/>
      <c r="OOY5" s="1962"/>
      <c r="OOZ5" s="1962"/>
      <c r="OPA5" s="1962"/>
      <c r="OPB5" s="1962"/>
      <c r="OPC5" s="1962"/>
      <c r="OPD5" s="1962"/>
      <c r="OPE5" s="1962"/>
      <c r="OPF5" s="1962"/>
      <c r="OPG5" s="1962"/>
      <c r="OPH5" s="1962"/>
      <c r="OPI5" s="1962"/>
      <c r="OPJ5" s="1962"/>
      <c r="OPK5" s="1962"/>
      <c r="OPL5" s="1962"/>
      <c r="OPM5" s="1962"/>
      <c r="OPN5" s="1962"/>
      <c r="OPO5" s="1962"/>
      <c r="OPP5" s="1962"/>
      <c r="OPQ5" s="1962"/>
      <c r="OPR5" s="1962"/>
      <c r="OPS5" s="1962"/>
      <c r="OPT5" s="1962"/>
      <c r="OPU5" s="1962"/>
      <c r="OPV5" s="1962"/>
      <c r="OPW5" s="1962"/>
      <c r="OPX5" s="1962"/>
      <c r="OPY5" s="1962"/>
      <c r="OPZ5" s="1962"/>
      <c r="OQA5" s="1962"/>
      <c r="OQB5" s="1962"/>
      <c r="OQC5" s="1962"/>
      <c r="OQD5" s="1962"/>
      <c r="OQE5" s="1962"/>
      <c r="OQF5" s="1962"/>
      <c r="OQG5" s="1962"/>
      <c r="OQH5" s="1962"/>
      <c r="OQI5" s="1962"/>
      <c r="OQJ5" s="1962"/>
      <c r="OQK5" s="1962"/>
      <c r="OQL5" s="1962"/>
      <c r="OQM5" s="1962"/>
      <c r="OQN5" s="1962"/>
      <c r="OQO5" s="1962"/>
      <c r="OQP5" s="1962"/>
      <c r="OQQ5" s="1962"/>
      <c r="OQR5" s="1962"/>
      <c r="OQS5" s="1962"/>
      <c r="OQT5" s="1962"/>
      <c r="OQU5" s="1962"/>
      <c r="OQV5" s="1962"/>
      <c r="OQW5" s="1962"/>
      <c r="OQX5" s="1962"/>
      <c r="OQY5" s="1962"/>
      <c r="OQZ5" s="1962"/>
      <c r="ORA5" s="1962"/>
      <c r="ORB5" s="1962"/>
      <c r="ORC5" s="1962"/>
      <c r="ORD5" s="1962"/>
      <c r="ORE5" s="1962"/>
      <c r="ORF5" s="1962"/>
      <c r="ORG5" s="1962"/>
      <c r="ORH5" s="1962"/>
      <c r="ORI5" s="1962"/>
      <c r="ORJ5" s="1962"/>
      <c r="ORK5" s="1962"/>
      <c r="ORL5" s="1962"/>
      <c r="ORM5" s="1962"/>
      <c r="ORN5" s="1962"/>
      <c r="ORO5" s="1962"/>
      <c r="ORP5" s="1962"/>
      <c r="ORQ5" s="1962"/>
      <c r="ORR5" s="1962"/>
      <c r="ORS5" s="1962"/>
      <c r="ORT5" s="1962"/>
      <c r="ORU5" s="1962"/>
      <c r="ORV5" s="1962"/>
      <c r="ORW5" s="1962"/>
      <c r="ORX5" s="1962"/>
      <c r="ORY5" s="1962"/>
      <c r="ORZ5" s="1962"/>
      <c r="OSA5" s="1962"/>
      <c r="OSB5" s="1962"/>
      <c r="OSC5" s="1962"/>
      <c r="OSD5" s="1962"/>
      <c r="OSE5" s="1962"/>
      <c r="OSF5" s="1962"/>
      <c r="OSG5" s="1962"/>
      <c r="OSH5" s="1962"/>
      <c r="OSI5" s="1962"/>
      <c r="OSJ5" s="1962"/>
      <c r="OSK5" s="1962"/>
      <c r="OSL5" s="1962"/>
      <c r="OSM5" s="1962"/>
      <c r="OSN5" s="1962"/>
      <c r="OSO5" s="1962"/>
      <c r="OSP5" s="1962"/>
      <c r="OSQ5" s="1962"/>
      <c r="OSR5" s="1962"/>
      <c r="OSS5" s="1962"/>
      <c r="OST5" s="1962"/>
      <c r="OSU5" s="1962"/>
      <c r="OSV5" s="1962"/>
      <c r="OSW5" s="1962"/>
      <c r="OSX5" s="1962"/>
      <c r="OSY5" s="1962"/>
      <c r="OSZ5" s="1962"/>
      <c r="OTA5" s="1962"/>
      <c r="OTB5" s="1962"/>
      <c r="OTC5" s="1962"/>
      <c r="OTD5" s="1962"/>
      <c r="OTE5" s="1962"/>
      <c r="OTF5" s="1962"/>
      <c r="OTG5" s="1962"/>
      <c r="OTH5" s="1962"/>
      <c r="OTI5" s="1962"/>
      <c r="OTJ5" s="1962"/>
      <c r="OTK5" s="1962"/>
      <c r="OTL5" s="1962"/>
      <c r="OTM5" s="1962"/>
      <c r="OTN5" s="1962"/>
      <c r="OTO5" s="1962"/>
      <c r="OTP5" s="1962"/>
      <c r="OTQ5" s="1962"/>
      <c r="OTR5" s="1962"/>
      <c r="OTS5" s="1962"/>
      <c r="OTT5" s="1962"/>
      <c r="OTU5" s="1962"/>
      <c r="OTV5" s="1962"/>
      <c r="OTW5" s="1962"/>
      <c r="OTX5" s="1962"/>
      <c r="OTY5" s="1962"/>
      <c r="OTZ5" s="1962"/>
      <c r="OUA5" s="1962"/>
      <c r="OUB5" s="1962"/>
      <c r="OUC5" s="1962"/>
      <c r="OUD5" s="1962"/>
      <c r="OUE5" s="1962"/>
      <c r="OUF5" s="1962"/>
      <c r="OUG5" s="1962"/>
      <c r="OUH5" s="1962"/>
      <c r="OUI5" s="1962"/>
      <c r="OUJ5" s="1962"/>
      <c r="OUK5" s="1962"/>
      <c r="OUL5" s="1962"/>
      <c r="OUM5" s="1962"/>
      <c r="OUN5" s="1962"/>
      <c r="OUO5" s="1962"/>
      <c r="OUP5" s="1962"/>
      <c r="OUQ5" s="1962"/>
      <c r="OUR5" s="1962"/>
      <c r="OUS5" s="1962"/>
      <c r="OUT5" s="1962"/>
      <c r="OUU5" s="1962"/>
      <c r="OUV5" s="1962"/>
      <c r="OUW5" s="1962"/>
      <c r="OUX5" s="1962"/>
      <c r="OUY5" s="1962"/>
      <c r="OUZ5" s="1962"/>
      <c r="OVA5" s="1962"/>
      <c r="OVB5" s="1962"/>
      <c r="OVC5" s="1962"/>
      <c r="OVD5" s="1962"/>
      <c r="OVE5" s="1962"/>
      <c r="OVF5" s="1962"/>
      <c r="OVG5" s="1962"/>
      <c r="OVH5" s="1962"/>
      <c r="OVI5" s="1962"/>
      <c r="OVJ5" s="1962"/>
      <c r="OVK5" s="1962"/>
      <c r="OVL5" s="1962"/>
      <c r="OVM5" s="1962"/>
      <c r="OVN5" s="1962"/>
      <c r="OVO5" s="1962"/>
      <c r="OVP5" s="1962"/>
      <c r="OVQ5" s="1962"/>
      <c r="OVR5" s="1962"/>
      <c r="OVS5" s="1962"/>
      <c r="OVT5" s="1962"/>
      <c r="OVU5" s="1962"/>
      <c r="OVV5" s="1962"/>
      <c r="OVW5" s="1962"/>
      <c r="OVX5" s="1962"/>
      <c r="OVY5" s="1962"/>
      <c r="OVZ5" s="1962"/>
      <c r="OWA5" s="1962"/>
      <c r="OWB5" s="1962"/>
      <c r="OWC5" s="1962"/>
      <c r="OWD5" s="1962"/>
      <c r="OWE5" s="1962"/>
      <c r="OWF5" s="1962"/>
      <c r="OWG5" s="1962"/>
      <c r="OWH5" s="1962"/>
      <c r="OWI5" s="1962"/>
      <c r="OWJ5" s="1962"/>
      <c r="OWK5" s="1962"/>
      <c r="OWL5" s="1962"/>
      <c r="OWM5" s="1962"/>
      <c r="OWN5" s="1962"/>
      <c r="OWO5" s="1962"/>
      <c r="OWP5" s="1962"/>
      <c r="OWQ5" s="1962"/>
      <c r="OWR5" s="1962"/>
      <c r="OWS5" s="1962"/>
      <c r="OWT5" s="1962"/>
      <c r="OWU5" s="1962"/>
      <c r="OWV5" s="1962"/>
      <c r="OWW5" s="1962"/>
      <c r="OWX5" s="1962"/>
      <c r="OWY5" s="1962"/>
      <c r="OWZ5" s="1962"/>
      <c r="OXA5" s="1962"/>
      <c r="OXB5" s="1962"/>
      <c r="OXC5" s="1962"/>
      <c r="OXD5" s="1962"/>
      <c r="OXE5" s="1962"/>
      <c r="OXF5" s="1962"/>
      <c r="OXG5" s="1962"/>
      <c r="OXH5" s="1962"/>
      <c r="OXI5" s="1962"/>
      <c r="OXJ5" s="1962"/>
      <c r="OXK5" s="1962"/>
      <c r="OXL5" s="1962"/>
      <c r="OXM5" s="1962"/>
      <c r="OXN5" s="1962"/>
      <c r="OXO5" s="1962"/>
      <c r="OXP5" s="1962"/>
      <c r="OXQ5" s="1962"/>
      <c r="OXR5" s="1962"/>
      <c r="OXS5" s="1962"/>
      <c r="OXT5" s="1962"/>
      <c r="OXU5" s="1962"/>
      <c r="OXV5" s="1962"/>
      <c r="OXW5" s="1962"/>
      <c r="OXX5" s="1962"/>
      <c r="OXY5" s="1962"/>
      <c r="OXZ5" s="1962"/>
      <c r="OYA5" s="1962"/>
      <c r="OYB5" s="1962"/>
      <c r="OYC5" s="1962"/>
      <c r="OYD5" s="1962"/>
      <c r="OYE5" s="1962"/>
      <c r="OYF5" s="1962"/>
      <c r="OYG5" s="1962"/>
      <c r="OYH5" s="1962"/>
      <c r="OYI5" s="1962"/>
      <c r="OYJ5" s="1962"/>
      <c r="OYK5" s="1962"/>
      <c r="OYL5" s="1962"/>
      <c r="OYM5" s="1962"/>
      <c r="OYN5" s="1962"/>
      <c r="OYO5" s="1962"/>
      <c r="OYP5" s="1962"/>
      <c r="OYQ5" s="1962"/>
      <c r="OYR5" s="1962"/>
      <c r="OYS5" s="1962"/>
      <c r="OYT5" s="1962"/>
      <c r="OYU5" s="1962"/>
      <c r="OYV5" s="1962"/>
      <c r="OYW5" s="1962"/>
      <c r="OYX5" s="1962"/>
      <c r="OYY5" s="1962"/>
      <c r="OYZ5" s="1962"/>
      <c r="OZA5" s="1962"/>
      <c r="OZB5" s="1962"/>
      <c r="OZC5" s="1962"/>
      <c r="OZD5" s="1962"/>
      <c r="OZE5" s="1962"/>
      <c r="OZF5" s="1962"/>
      <c r="OZG5" s="1962"/>
      <c r="OZH5" s="1962"/>
      <c r="OZI5" s="1962"/>
      <c r="OZJ5" s="1962"/>
      <c r="OZK5" s="1962"/>
      <c r="OZL5" s="1962"/>
      <c r="OZM5" s="1962"/>
      <c r="OZN5" s="1962"/>
      <c r="OZO5" s="1962"/>
      <c r="OZP5" s="1962"/>
      <c r="OZQ5" s="1962"/>
      <c r="OZR5" s="1962"/>
      <c r="OZS5" s="1962"/>
      <c r="OZT5" s="1962"/>
      <c r="OZU5" s="1962"/>
      <c r="OZV5" s="1962"/>
      <c r="OZW5" s="1962"/>
      <c r="OZX5" s="1962"/>
      <c r="OZY5" s="1962"/>
      <c r="OZZ5" s="1962"/>
      <c r="PAA5" s="1962"/>
      <c r="PAB5" s="1962"/>
      <c r="PAC5" s="1962"/>
      <c r="PAD5" s="1962"/>
      <c r="PAE5" s="1962"/>
      <c r="PAF5" s="1962"/>
      <c r="PAG5" s="1962"/>
      <c r="PAH5" s="1962"/>
      <c r="PAI5" s="1962"/>
      <c r="PAJ5" s="1962"/>
      <c r="PAK5" s="1962"/>
      <c r="PAL5" s="1962"/>
      <c r="PAM5" s="1962"/>
      <c r="PAN5" s="1962"/>
      <c r="PAO5" s="1962"/>
      <c r="PAP5" s="1962"/>
      <c r="PAQ5" s="1962"/>
      <c r="PAR5" s="1962"/>
      <c r="PAS5" s="1962"/>
      <c r="PAT5" s="1962"/>
      <c r="PAU5" s="1962"/>
      <c r="PAV5" s="1962"/>
      <c r="PAW5" s="1962"/>
      <c r="PAX5" s="1962"/>
      <c r="PAY5" s="1962"/>
      <c r="PAZ5" s="1962"/>
      <c r="PBA5" s="1962"/>
      <c r="PBB5" s="1962"/>
      <c r="PBC5" s="1962"/>
      <c r="PBD5" s="1962"/>
      <c r="PBE5" s="1962"/>
      <c r="PBF5" s="1962"/>
      <c r="PBG5" s="1962"/>
      <c r="PBH5" s="1962"/>
      <c r="PBI5" s="1962"/>
      <c r="PBJ5" s="1962"/>
      <c r="PBK5" s="1962"/>
      <c r="PBL5" s="1962"/>
      <c r="PBM5" s="1962"/>
      <c r="PBN5" s="1962"/>
      <c r="PBO5" s="1962"/>
      <c r="PBP5" s="1962"/>
      <c r="PBQ5" s="1962"/>
      <c r="PBR5" s="1962"/>
      <c r="PBS5" s="1962"/>
      <c r="PBT5" s="1962"/>
      <c r="PBU5" s="1962"/>
      <c r="PBV5" s="1962"/>
      <c r="PBW5" s="1962"/>
      <c r="PBX5" s="1962"/>
      <c r="PBY5" s="1962"/>
      <c r="PBZ5" s="1962"/>
      <c r="PCA5" s="1962"/>
      <c r="PCB5" s="1962"/>
      <c r="PCC5" s="1962"/>
      <c r="PCD5" s="1962"/>
      <c r="PCE5" s="1962"/>
      <c r="PCF5" s="1962"/>
      <c r="PCG5" s="1962"/>
      <c r="PCH5" s="1962"/>
      <c r="PCI5" s="1962"/>
      <c r="PCJ5" s="1962"/>
      <c r="PCK5" s="1962"/>
      <c r="PCL5" s="1962"/>
      <c r="PCM5" s="1962"/>
      <c r="PCN5" s="1962"/>
      <c r="PCO5" s="1962"/>
      <c r="PCP5" s="1962"/>
      <c r="PCQ5" s="1962"/>
      <c r="PCR5" s="1962"/>
      <c r="PCS5" s="1962"/>
      <c r="PCT5" s="1962"/>
      <c r="PCU5" s="1962"/>
      <c r="PCV5" s="1962"/>
      <c r="PCW5" s="1962"/>
      <c r="PCX5" s="1962"/>
      <c r="PCY5" s="1962"/>
      <c r="PCZ5" s="1962"/>
      <c r="PDA5" s="1962"/>
      <c r="PDB5" s="1962"/>
      <c r="PDC5" s="1962"/>
      <c r="PDD5" s="1962"/>
      <c r="PDE5" s="1962"/>
      <c r="PDF5" s="1962"/>
      <c r="PDG5" s="1962"/>
      <c r="PDH5" s="1962"/>
      <c r="PDI5" s="1962"/>
      <c r="PDJ5" s="1962"/>
      <c r="PDK5" s="1962"/>
      <c r="PDL5" s="1962"/>
      <c r="PDM5" s="1962"/>
      <c r="PDN5" s="1962"/>
      <c r="PDO5" s="1962"/>
      <c r="PDP5" s="1962"/>
      <c r="PDQ5" s="1962"/>
      <c r="PDR5" s="1962"/>
      <c r="PDS5" s="1962"/>
      <c r="PDT5" s="1962"/>
      <c r="PDU5" s="1962"/>
      <c r="PDV5" s="1962"/>
      <c r="PDW5" s="1962"/>
      <c r="PDX5" s="1962"/>
      <c r="PDY5" s="1962"/>
      <c r="PDZ5" s="1962"/>
      <c r="PEA5" s="1962"/>
      <c r="PEB5" s="1962"/>
      <c r="PEC5" s="1962"/>
      <c r="PED5" s="1962"/>
      <c r="PEE5" s="1962"/>
      <c r="PEF5" s="1962"/>
      <c r="PEG5" s="1962"/>
      <c r="PEH5" s="1962"/>
      <c r="PEI5" s="1962"/>
      <c r="PEJ5" s="1962"/>
      <c r="PEK5" s="1962"/>
      <c r="PEL5" s="1962"/>
      <c r="PEM5" s="1962"/>
      <c r="PEN5" s="1962"/>
      <c r="PEO5" s="1962"/>
      <c r="PEP5" s="1962"/>
      <c r="PEQ5" s="1962"/>
      <c r="PER5" s="1962"/>
      <c r="PES5" s="1962"/>
      <c r="PET5" s="1962"/>
      <c r="PEU5" s="1962"/>
      <c r="PEV5" s="1962"/>
      <c r="PEW5" s="1962"/>
      <c r="PEX5" s="1962"/>
      <c r="PEY5" s="1962"/>
      <c r="PEZ5" s="1962"/>
      <c r="PFA5" s="1962"/>
      <c r="PFB5" s="1962"/>
      <c r="PFC5" s="1962"/>
      <c r="PFD5" s="1962"/>
      <c r="PFE5" s="1962"/>
      <c r="PFF5" s="1962"/>
      <c r="PFG5" s="1962"/>
      <c r="PFH5" s="1962"/>
      <c r="PFI5" s="1962"/>
      <c r="PFJ5" s="1962"/>
      <c r="PFK5" s="1962"/>
      <c r="PFL5" s="1962"/>
      <c r="PFM5" s="1962"/>
      <c r="PFN5" s="1962"/>
      <c r="PFO5" s="1962"/>
      <c r="PFP5" s="1962"/>
      <c r="PFQ5" s="1962"/>
      <c r="PFR5" s="1962"/>
      <c r="PFS5" s="1962"/>
      <c r="PFT5" s="1962"/>
      <c r="PFU5" s="1962"/>
      <c r="PFV5" s="1962"/>
      <c r="PFW5" s="1962"/>
      <c r="PFX5" s="1962"/>
      <c r="PFY5" s="1962"/>
      <c r="PFZ5" s="1962"/>
      <c r="PGA5" s="1962"/>
      <c r="PGB5" s="1962"/>
      <c r="PGC5" s="1962"/>
      <c r="PGD5" s="1962"/>
      <c r="PGE5" s="1962"/>
      <c r="PGF5" s="1962"/>
      <c r="PGG5" s="1962"/>
      <c r="PGH5" s="1962"/>
      <c r="PGI5" s="1962"/>
      <c r="PGJ5" s="1962"/>
      <c r="PGK5" s="1962"/>
      <c r="PGL5" s="1962"/>
      <c r="PGM5" s="1962"/>
      <c r="PGN5" s="1962"/>
      <c r="PGO5" s="1962"/>
      <c r="PGP5" s="1962"/>
      <c r="PGQ5" s="1962"/>
      <c r="PGR5" s="1962"/>
      <c r="PGS5" s="1962"/>
      <c r="PGT5" s="1962"/>
      <c r="PGU5" s="1962"/>
      <c r="PGV5" s="1962"/>
      <c r="PGW5" s="1962"/>
      <c r="PGX5" s="1962"/>
      <c r="PGY5" s="1962"/>
      <c r="PGZ5" s="1962"/>
      <c r="PHA5" s="1962"/>
      <c r="PHB5" s="1962"/>
      <c r="PHC5" s="1962"/>
      <c r="PHD5" s="1962"/>
      <c r="PHE5" s="1962"/>
      <c r="PHF5" s="1962"/>
      <c r="PHG5" s="1962"/>
      <c r="PHH5" s="1962"/>
      <c r="PHI5" s="1962"/>
      <c r="PHJ5" s="1962"/>
      <c r="PHK5" s="1962"/>
      <c r="PHL5" s="1962"/>
      <c r="PHM5" s="1962"/>
      <c r="PHN5" s="1962"/>
      <c r="PHO5" s="1962"/>
      <c r="PHP5" s="1962"/>
      <c r="PHQ5" s="1962"/>
      <c r="PHR5" s="1962"/>
      <c r="PHS5" s="1962"/>
      <c r="PHT5" s="1962"/>
      <c r="PHU5" s="1962"/>
      <c r="PHV5" s="1962"/>
      <c r="PHW5" s="1962"/>
      <c r="PHX5" s="1962"/>
      <c r="PHY5" s="1962"/>
      <c r="PHZ5" s="1962"/>
      <c r="PIA5" s="1962"/>
      <c r="PIB5" s="1962"/>
      <c r="PIC5" s="1962"/>
      <c r="PID5" s="1962"/>
      <c r="PIE5" s="1962"/>
      <c r="PIF5" s="1962"/>
      <c r="PIG5" s="1962"/>
      <c r="PIH5" s="1962"/>
      <c r="PII5" s="1962"/>
      <c r="PIJ5" s="1962"/>
      <c r="PIK5" s="1962"/>
      <c r="PIL5" s="1962"/>
      <c r="PIM5" s="1962"/>
      <c r="PIN5" s="1962"/>
      <c r="PIO5" s="1962"/>
      <c r="PIP5" s="1962"/>
      <c r="PIQ5" s="1962"/>
      <c r="PIR5" s="1962"/>
      <c r="PIS5" s="1962"/>
      <c r="PIT5" s="1962"/>
      <c r="PIU5" s="1962"/>
      <c r="PIV5" s="1962"/>
      <c r="PIW5" s="1962"/>
      <c r="PIX5" s="1962"/>
      <c r="PIY5" s="1962"/>
      <c r="PIZ5" s="1962"/>
      <c r="PJA5" s="1962"/>
      <c r="PJB5" s="1962"/>
      <c r="PJC5" s="1962"/>
      <c r="PJD5" s="1962"/>
      <c r="PJE5" s="1962"/>
      <c r="PJF5" s="1962"/>
      <c r="PJG5" s="1962"/>
      <c r="PJH5" s="1962"/>
      <c r="PJI5" s="1962"/>
      <c r="PJJ5" s="1962"/>
      <c r="PJK5" s="1962"/>
      <c r="PJL5" s="1962"/>
      <c r="PJM5" s="1962"/>
      <c r="PJN5" s="1962"/>
      <c r="PJO5" s="1962"/>
      <c r="PJP5" s="1962"/>
      <c r="PJQ5" s="1962"/>
      <c r="PJR5" s="1962"/>
      <c r="PJS5" s="1962"/>
      <c r="PJT5" s="1962"/>
      <c r="PJU5" s="1962"/>
      <c r="PJV5" s="1962"/>
      <c r="PJW5" s="1962"/>
      <c r="PJX5" s="1962"/>
      <c r="PJY5" s="1962"/>
      <c r="PJZ5" s="1962"/>
      <c r="PKA5" s="1962"/>
      <c r="PKB5" s="1962"/>
      <c r="PKC5" s="1962"/>
      <c r="PKD5" s="1962"/>
      <c r="PKE5" s="1962"/>
      <c r="PKF5" s="1962"/>
      <c r="PKG5" s="1962"/>
      <c r="PKH5" s="1962"/>
      <c r="PKI5" s="1962"/>
      <c r="PKJ5" s="1962"/>
      <c r="PKK5" s="1962"/>
      <c r="PKL5" s="1962"/>
      <c r="PKM5" s="1962"/>
      <c r="PKN5" s="1962"/>
      <c r="PKO5" s="1962"/>
      <c r="PKP5" s="1962"/>
      <c r="PKQ5" s="1962"/>
      <c r="PKR5" s="1962"/>
      <c r="PKS5" s="1962"/>
      <c r="PKT5" s="1962"/>
      <c r="PKU5" s="1962"/>
      <c r="PKV5" s="1962"/>
      <c r="PKW5" s="1962"/>
      <c r="PKX5" s="1962"/>
      <c r="PKY5" s="1962"/>
      <c r="PKZ5" s="1962"/>
      <c r="PLA5" s="1962"/>
      <c r="PLB5" s="1962"/>
      <c r="PLC5" s="1962"/>
      <c r="PLD5" s="1962"/>
      <c r="PLE5" s="1962"/>
      <c r="PLF5" s="1962"/>
      <c r="PLG5" s="1962"/>
      <c r="PLH5" s="1962"/>
      <c r="PLI5" s="1962"/>
      <c r="PLJ5" s="1962"/>
      <c r="PLK5" s="1962"/>
      <c r="PLL5" s="1962"/>
      <c r="PLM5" s="1962"/>
      <c r="PLN5" s="1962"/>
      <c r="PLO5" s="1962"/>
      <c r="PLP5" s="1962"/>
      <c r="PLQ5" s="1962"/>
      <c r="PLR5" s="1962"/>
      <c r="PLS5" s="1962"/>
      <c r="PLT5" s="1962"/>
      <c r="PLU5" s="1962"/>
      <c r="PLV5" s="1962"/>
      <c r="PLW5" s="1962"/>
      <c r="PLX5" s="1962"/>
      <c r="PLY5" s="1962"/>
      <c r="PLZ5" s="1962"/>
      <c r="PMA5" s="1962"/>
      <c r="PMB5" s="1962"/>
      <c r="PMC5" s="1962"/>
      <c r="PMD5" s="1962"/>
      <c r="PME5" s="1962"/>
      <c r="PMF5" s="1962"/>
      <c r="PMG5" s="1962"/>
      <c r="PMH5" s="1962"/>
      <c r="PMI5" s="1962"/>
      <c r="PMJ5" s="1962"/>
      <c r="PMK5" s="1962"/>
      <c r="PML5" s="1962"/>
      <c r="PMM5" s="1962"/>
      <c r="PMN5" s="1962"/>
      <c r="PMO5" s="1962"/>
      <c r="PMP5" s="1962"/>
      <c r="PMQ5" s="1962"/>
      <c r="PMR5" s="1962"/>
      <c r="PMS5" s="1962"/>
      <c r="PMT5" s="1962"/>
      <c r="PMU5" s="1962"/>
      <c r="PMV5" s="1962"/>
      <c r="PMW5" s="1962"/>
      <c r="PMX5" s="1962"/>
      <c r="PMY5" s="1962"/>
      <c r="PMZ5" s="1962"/>
      <c r="PNA5" s="1962"/>
      <c r="PNB5" s="1962"/>
      <c r="PNC5" s="1962"/>
      <c r="PND5" s="1962"/>
      <c r="PNE5" s="1962"/>
      <c r="PNF5" s="1962"/>
      <c r="PNG5" s="1962"/>
      <c r="PNH5" s="1962"/>
      <c r="PNI5" s="1962"/>
      <c r="PNJ5" s="1962"/>
      <c r="PNK5" s="1962"/>
      <c r="PNL5" s="1962"/>
      <c r="PNM5" s="1962"/>
      <c r="PNN5" s="1962"/>
      <c r="PNO5" s="1962"/>
      <c r="PNP5" s="1962"/>
      <c r="PNQ5" s="1962"/>
      <c r="PNR5" s="1962"/>
      <c r="PNS5" s="1962"/>
      <c r="PNT5" s="1962"/>
      <c r="PNU5" s="1962"/>
      <c r="PNV5" s="1962"/>
      <c r="PNW5" s="1962"/>
      <c r="PNX5" s="1962"/>
      <c r="PNY5" s="1962"/>
      <c r="PNZ5" s="1962"/>
      <c r="POA5" s="1962"/>
      <c r="POB5" s="1962"/>
      <c r="POC5" s="1962"/>
      <c r="POD5" s="1962"/>
      <c r="POE5" s="1962"/>
      <c r="POF5" s="1962"/>
      <c r="POG5" s="1962"/>
      <c r="POH5" s="1962"/>
      <c r="POI5" s="1962"/>
      <c r="POJ5" s="1962"/>
      <c r="POK5" s="1962"/>
      <c r="POL5" s="1962"/>
      <c r="POM5" s="1962"/>
      <c r="PON5" s="1962"/>
      <c r="POO5" s="1962"/>
      <c r="POP5" s="1962"/>
      <c r="POQ5" s="1962"/>
      <c r="POR5" s="1962"/>
      <c r="POS5" s="1962"/>
      <c r="POT5" s="1962"/>
      <c r="POU5" s="1962"/>
      <c r="POV5" s="1962"/>
      <c r="POW5" s="1962"/>
      <c r="POX5" s="1962"/>
      <c r="POY5" s="1962"/>
      <c r="POZ5" s="1962"/>
      <c r="PPA5" s="1962"/>
      <c r="PPB5" s="1962"/>
      <c r="PPC5" s="1962"/>
      <c r="PPD5" s="1962"/>
      <c r="PPE5" s="1962"/>
      <c r="PPF5" s="1962"/>
      <c r="PPG5" s="1962"/>
      <c r="PPH5" s="1962"/>
      <c r="PPI5" s="1962"/>
      <c r="PPJ5" s="1962"/>
      <c r="PPK5" s="1962"/>
      <c r="PPL5" s="1962"/>
      <c r="PPM5" s="1962"/>
      <c r="PPN5" s="1962"/>
      <c r="PPO5" s="1962"/>
      <c r="PPP5" s="1962"/>
      <c r="PPQ5" s="1962"/>
      <c r="PPR5" s="1962"/>
      <c r="PPS5" s="1962"/>
      <c r="PPT5" s="1962"/>
      <c r="PPU5" s="1962"/>
      <c r="PPV5" s="1962"/>
      <c r="PPW5" s="1962"/>
      <c r="PPX5" s="1962"/>
      <c r="PPY5" s="1962"/>
      <c r="PPZ5" s="1962"/>
      <c r="PQA5" s="1962"/>
      <c r="PQB5" s="1962"/>
      <c r="PQC5" s="1962"/>
      <c r="PQD5" s="1962"/>
      <c r="PQE5" s="1962"/>
      <c r="PQF5" s="1962"/>
      <c r="PQG5" s="1962"/>
      <c r="PQH5" s="1962"/>
      <c r="PQI5" s="1962"/>
      <c r="PQJ5" s="1962"/>
      <c r="PQK5" s="1962"/>
      <c r="PQL5" s="1962"/>
      <c r="PQM5" s="1962"/>
      <c r="PQN5" s="1962"/>
      <c r="PQO5" s="1962"/>
      <c r="PQP5" s="1962"/>
      <c r="PQQ5" s="1962"/>
      <c r="PQR5" s="1962"/>
      <c r="PQS5" s="1962"/>
      <c r="PQT5" s="1962"/>
      <c r="PQU5" s="1962"/>
      <c r="PQV5" s="1962"/>
      <c r="PQW5" s="1962"/>
      <c r="PQX5" s="1962"/>
      <c r="PQY5" s="1962"/>
      <c r="PQZ5" s="1962"/>
      <c r="PRA5" s="1962"/>
      <c r="PRB5" s="1962"/>
      <c r="PRC5" s="1962"/>
      <c r="PRD5" s="1962"/>
      <c r="PRE5" s="1962"/>
      <c r="PRF5" s="1962"/>
      <c r="PRG5" s="1962"/>
      <c r="PRH5" s="1962"/>
      <c r="PRI5" s="1962"/>
      <c r="PRJ5" s="1962"/>
      <c r="PRK5" s="1962"/>
      <c r="PRL5" s="1962"/>
      <c r="PRM5" s="1962"/>
      <c r="PRN5" s="1962"/>
      <c r="PRO5" s="1962"/>
      <c r="PRP5" s="1962"/>
      <c r="PRQ5" s="1962"/>
      <c r="PRR5" s="1962"/>
      <c r="PRS5" s="1962"/>
      <c r="PRT5" s="1962"/>
      <c r="PRU5" s="1962"/>
      <c r="PRV5" s="1962"/>
      <c r="PRW5" s="1962"/>
      <c r="PRX5" s="1962"/>
      <c r="PRY5" s="1962"/>
      <c r="PRZ5" s="1962"/>
      <c r="PSA5" s="1962"/>
      <c r="PSB5" s="1962"/>
      <c r="PSC5" s="1962"/>
      <c r="PSD5" s="1962"/>
      <c r="PSE5" s="1962"/>
      <c r="PSF5" s="1962"/>
      <c r="PSG5" s="1962"/>
      <c r="PSH5" s="1962"/>
      <c r="PSI5" s="1962"/>
      <c r="PSJ5" s="1962"/>
      <c r="PSK5" s="1962"/>
      <c r="PSL5" s="1962"/>
      <c r="PSM5" s="1962"/>
      <c r="PSN5" s="1962"/>
      <c r="PSO5" s="1962"/>
      <c r="PSP5" s="1962"/>
      <c r="PSQ5" s="1962"/>
      <c r="PSR5" s="1962"/>
      <c r="PSS5" s="1962"/>
      <c r="PST5" s="1962"/>
      <c r="PSU5" s="1962"/>
      <c r="PSV5" s="1962"/>
      <c r="PSW5" s="1962"/>
      <c r="PSX5" s="1962"/>
      <c r="PSY5" s="1962"/>
      <c r="PSZ5" s="1962"/>
      <c r="PTA5" s="1962"/>
      <c r="PTB5" s="1962"/>
      <c r="PTC5" s="1962"/>
      <c r="PTD5" s="1962"/>
      <c r="PTE5" s="1962"/>
      <c r="PTF5" s="1962"/>
      <c r="PTG5" s="1962"/>
      <c r="PTH5" s="1962"/>
      <c r="PTI5" s="1962"/>
      <c r="PTJ5" s="1962"/>
      <c r="PTK5" s="1962"/>
      <c r="PTL5" s="1962"/>
      <c r="PTM5" s="1962"/>
      <c r="PTN5" s="1962"/>
      <c r="PTO5" s="1962"/>
      <c r="PTP5" s="1962"/>
      <c r="PTQ5" s="1962"/>
      <c r="PTR5" s="1962"/>
      <c r="PTS5" s="1962"/>
      <c r="PTT5" s="1962"/>
      <c r="PTU5" s="1962"/>
      <c r="PTV5" s="1962"/>
      <c r="PTW5" s="1962"/>
      <c r="PTX5" s="1962"/>
      <c r="PTY5" s="1962"/>
      <c r="PTZ5" s="1962"/>
      <c r="PUA5" s="1962"/>
      <c r="PUB5" s="1962"/>
      <c r="PUC5" s="1962"/>
      <c r="PUD5" s="1962"/>
      <c r="PUE5" s="1962"/>
      <c r="PUF5" s="1962"/>
      <c r="PUG5" s="1962"/>
      <c r="PUH5" s="1962"/>
      <c r="PUI5" s="1962"/>
      <c r="PUJ5" s="1962"/>
      <c r="PUK5" s="1962"/>
      <c r="PUL5" s="1962"/>
      <c r="PUM5" s="1962"/>
      <c r="PUN5" s="1962"/>
      <c r="PUO5" s="1962"/>
      <c r="PUP5" s="1962"/>
      <c r="PUQ5" s="1962"/>
      <c r="PUR5" s="1962"/>
      <c r="PUS5" s="1962"/>
      <c r="PUT5" s="1962"/>
      <c r="PUU5" s="1962"/>
      <c r="PUV5" s="1962"/>
      <c r="PUW5" s="1962"/>
      <c r="PUX5" s="1962"/>
      <c r="PUY5" s="1962"/>
      <c r="PUZ5" s="1962"/>
      <c r="PVA5" s="1962"/>
      <c r="PVB5" s="1962"/>
      <c r="PVC5" s="1962"/>
      <c r="PVD5" s="1962"/>
      <c r="PVE5" s="1962"/>
      <c r="PVF5" s="1962"/>
      <c r="PVG5" s="1962"/>
      <c r="PVH5" s="1962"/>
      <c r="PVI5" s="1962"/>
      <c r="PVJ5" s="1962"/>
      <c r="PVK5" s="1962"/>
      <c r="PVL5" s="1962"/>
      <c r="PVM5" s="1962"/>
      <c r="PVN5" s="1962"/>
      <c r="PVO5" s="1962"/>
      <c r="PVP5" s="1962"/>
      <c r="PVQ5" s="1962"/>
      <c r="PVR5" s="1962"/>
      <c r="PVS5" s="1962"/>
      <c r="PVT5" s="1962"/>
      <c r="PVU5" s="1962"/>
      <c r="PVV5" s="1962"/>
      <c r="PVW5" s="1962"/>
      <c r="PVX5" s="1962"/>
      <c r="PVY5" s="1962"/>
      <c r="PVZ5" s="1962"/>
      <c r="PWA5" s="1962"/>
      <c r="PWB5" s="1962"/>
      <c r="PWC5" s="1962"/>
      <c r="PWD5" s="1962"/>
      <c r="PWE5" s="1962"/>
      <c r="PWF5" s="1962"/>
      <c r="PWG5" s="1962"/>
      <c r="PWH5" s="1962"/>
      <c r="PWI5" s="1962"/>
      <c r="PWJ5" s="1962"/>
      <c r="PWK5" s="1962"/>
      <c r="PWL5" s="1962"/>
      <c r="PWM5" s="1962"/>
      <c r="PWN5" s="1962"/>
      <c r="PWO5" s="1962"/>
      <c r="PWP5" s="1962"/>
      <c r="PWQ5" s="1962"/>
      <c r="PWR5" s="1962"/>
      <c r="PWS5" s="1962"/>
      <c r="PWT5" s="1962"/>
      <c r="PWU5" s="1962"/>
      <c r="PWV5" s="1962"/>
      <c r="PWW5" s="1962"/>
      <c r="PWX5" s="1962"/>
      <c r="PWY5" s="1962"/>
      <c r="PWZ5" s="1962"/>
      <c r="PXA5" s="1962"/>
      <c r="PXB5" s="1962"/>
      <c r="PXC5" s="1962"/>
      <c r="PXD5" s="1962"/>
      <c r="PXE5" s="1962"/>
      <c r="PXF5" s="1962"/>
      <c r="PXG5" s="1962"/>
      <c r="PXH5" s="1962"/>
      <c r="PXI5" s="1962"/>
      <c r="PXJ5" s="1962"/>
      <c r="PXK5" s="1962"/>
      <c r="PXL5" s="1962"/>
      <c r="PXM5" s="1962"/>
      <c r="PXN5" s="1962"/>
      <c r="PXO5" s="1962"/>
      <c r="PXP5" s="1962"/>
      <c r="PXQ5" s="1962"/>
      <c r="PXR5" s="1962"/>
      <c r="PXS5" s="1962"/>
      <c r="PXT5" s="1962"/>
      <c r="PXU5" s="1962"/>
      <c r="PXV5" s="1962"/>
      <c r="PXW5" s="1962"/>
      <c r="PXX5" s="1962"/>
      <c r="PXY5" s="1962"/>
      <c r="PXZ5" s="1962"/>
      <c r="PYA5" s="1962"/>
      <c r="PYB5" s="1962"/>
      <c r="PYC5" s="1962"/>
      <c r="PYD5" s="1962"/>
      <c r="PYE5" s="1962"/>
      <c r="PYF5" s="1962"/>
      <c r="PYG5" s="1962"/>
      <c r="PYH5" s="1962"/>
      <c r="PYI5" s="1962"/>
      <c r="PYJ5" s="1962"/>
      <c r="PYK5" s="1962"/>
      <c r="PYL5" s="1962"/>
      <c r="PYM5" s="1962"/>
      <c r="PYN5" s="1962"/>
      <c r="PYO5" s="1962"/>
      <c r="PYP5" s="1962"/>
      <c r="PYQ5" s="1962"/>
      <c r="PYR5" s="1962"/>
      <c r="PYS5" s="1962"/>
      <c r="PYT5" s="1962"/>
      <c r="PYU5" s="1962"/>
      <c r="PYV5" s="1962"/>
      <c r="PYW5" s="1962"/>
      <c r="PYX5" s="1962"/>
      <c r="PYY5" s="1962"/>
      <c r="PYZ5" s="1962"/>
      <c r="PZA5" s="1962"/>
      <c r="PZB5" s="1962"/>
      <c r="PZC5" s="1962"/>
      <c r="PZD5" s="1962"/>
      <c r="PZE5" s="1962"/>
      <c r="PZF5" s="1962"/>
      <c r="PZG5" s="1962"/>
      <c r="PZH5" s="1962"/>
      <c r="PZI5" s="1962"/>
      <c r="PZJ5" s="1962"/>
      <c r="PZK5" s="1962"/>
      <c r="PZL5" s="1962"/>
      <c r="PZM5" s="1962"/>
      <c r="PZN5" s="1962"/>
      <c r="PZO5" s="1962"/>
      <c r="PZP5" s="1962"/>
      <c r="PZQ5" s="1962"/>
      <c r="PZR5" s="1962"/>
      <c r="PZS5" s="1962"/>
      <c r="PZT5" s="1962"/>
      <c r="PZU5" s="1962"/>
      <c r="PZV5" s="1962"/>
      <c r="PZW5" s="1962"/>
      <c r="PZX5" s="1962"/>
      <c r="PZY5" s="1962"/>
      <c r="PZZ5" s="1962"/>
      <c r="QAA5" s="1962"/>
      <c r="QAB5" s="1962"/>
      <c r="QAC5" s="1962"/>
      <c r="QAD5" s="1962"/>
      <c r="QAE5" s="1962"/>
      <c r="QAF5" s="1962"/>
      <c r="QAG5" s="1962"/>
      <c r="QAH5" s="1962"/>
      <c r="QAI5" s="1962"/>
      <c r="QAJ5" s="1962"/>
      <c r="QAK5" s="1962"/>
      <c r="QAL5" s="1962"/>
      <c r="QAM5" s="1962"/>
      <c r="QAN5" s="1962"/>
      <c r="QAO5" s="1962"/>
      <c r="QAP5" s="1962"/>
      <c r="QAQ5" s="1962"/>
      <c r="QAR5" s="1962"/>
      <c r="QAS5" s="1962"/>
      <c r="QAT5" s="1962"/>
      <c r="QAU5" s="1962"/>
      <c r="QAV5" s="1962"/>
      <c r="QAW5" s="1962"/>
      <c r="QAX5" s="1962"/>
      <c r="QAY5" s="1962"/>
      <c r="QAZ5" s="1962"/>
      <c r="QBA5" s="1962"/>
      <c r="QBB5" s="1962"/>
      <c r="QBC5" s="1962"/>
      <c r="QBD5" s="1962"/>
      <c r="QBE5" s="1962"/>
      <c r="QBF5" s="1962"/>
      <c r="QBG5" s="1962"/>
      <c r="QBH5" s="1962"/>
      <c r="QBI5" s="1962"/>
      <c r="QBJ5" s="1962"/>
      <c r="QBK5" s="1962"/>
      <c r="QBL5" s="1962"/>
      <c r="QBM5" s="1962"/>
      <c r="QBN5" s="1962"/>
      <c r="QBO5" s="1962"/>
      <c r="QBP5" s="1962"/>
      <c r="QBQ5" s="1962"/>
      <c r="QBR5" s="1962"/>
      <c r="QBS5" s="1962"/>
      <c r="QBT5" s="1962"/>
      <c r="QBU5" s="1962"/>
      <c r="QBV5" s="1962"/>
      <c r="QBW5" s="1962"/>
      <c r="QBX5" s="1962"/>
      <c r="QBY5" s="1962"/>
      <c r="QBZ5" s="1962"/>
      <c r="QCA5" s="1962"/>
      <c r="QCB5" s="1962"/>
      <c r="QCC5" s="1962"/>
      <c r="QCD5" s="1962"/>
      <c r="QCE5" s="1962"/>
      <c r="QCF5" s="1962"/>
      <c r="QCG5" s="1962"/>
      <c r="QCH5" s="1962"/>
      <c r="QCI5" s="1962"/>
      <c r="QCJ5" s="1962"/>
      <c r="QCK5" s="1962"/>
      <c r="QCL5" s="1962"/>
      <c r="QCM5" s="1962"/>
      <c r="QCN5" s="1962"/>
      <c r="QCO5" s="1962"/>
      <c r="QCP5" s="1962"/>
      <c r="QCQ5" s="1962"/>
      <c r="QCR5" s="1962"/>
      <c r="QCS5" s="1962"/>
      <c r="QCT5" s="1962"/>
      <c r="QCU5" s="1962"/>
      <c r="QCV5" s="1962"/>
      <c r="QCW5" s="1962"/>
      <c r="QCX5" s="1962"/>
      <c r="QCY5" s="1962"/>
      <c r="QCZ5" s="1962"/>
      <c r="QDA5" s="1962"/>
      <c r="QDB5" s="1962"/>
      <c r="QDC5" s="1962"/>
      <c r="QDD5" s="1962"/>
      <c r="QDE5" s="1962"/>
      <c r="QDF5" s="1962"/>
      <c r="QDG5" s="1962"/>
      <c r="QDH5" s="1962"/>
      <c r="QDI5" s="1962"/>
      <c r="QDJ5" s="1962"/>
      <c r="QDK5" s="1962"/>
      <c r="QDL5" s="1962"/>
      <c r="QDM5" s="1962"/>
      <c r="QDN5" s="1962"/>
      <c r="QDO5" s="1962"/>
      <c r="QDP5" s="1962"/>
      <c r="QDQ5" s="1962"/>
      <c r="QDR5" s="1962"/>
      <c r="QDS5" s="1962"/>
      <c r="QDT5" s="1962"/>
      <c r="QDU5" s="1962"/>
      <c r="QDV5" s="1962"/>
      <c r="QDW5" s="1962"/>
      <c r="QDX5" s="1962"/>
      <c r="QDY5" s="1962"/>
      <c r="QDZ5" s="1962"/>
      <c r="QEA5" s="1962"/>
      <c r="QEB5" s="1962"/>
      <c r="QEC5" s="1962"/>
      <c r="QED5" s="1962"/>
      <c r="QEE5" s="1962"/>
      <c r="QEF5" s="1962"/>
      <c r="QEG5" s="1962"/>
      <c r="QEH5" s="1962"/>
      <c r="QEI5" s="1962"/>
      <c r="QEJ5" s="1962"/>
      <c r="QEK5" s="1962"/>
      <c r="QEL5" s="1962"/>
      <c r="QEM5" s="1962"/>
      <c r="QEN5" s="1962"/>
      <c r="QEO5" s="1962"/>
      <c r="QEP5" s="1962"/>
      <c r="QEQ5" s="1962"/>
      <c r="QER5" s="1962"/>
      <c r="QES5" s="1962"/>
      <c r="QET5" s="1962"/>
      <c r="QEU5" s="1962"/>
      <c r="QEV5" s="1962"/>
      <c r="QEW5" s="1962"/>
      <c r="QEX5" s="1962"/>
      <c r="QEY5" s="1962"/>
      <c r="QEZ5" s="1962"/>
      <c r="QFA5" s="1962"/>
      <c r="QFB5" s="1962"/>
      <c r="QFC5" s="1962"/>
      <c r="QFD5" s="1962"/>
      <c r="QFE5" s="1962"/>
      <c r="QFF5" s="1962"/>
      <c r="QFG5" s="1962"/>
      <c r="QFH5" s="1962"/>
      <c r="QFI5" s="1962"/>
      <c r="QFJ5" s="1962"/>
      <c r="QFK5" s="1962"/>
      <c r="QFL5" s="1962"/>
      <c r="QFM5" s="1962"/>
      <c r="QFN5" s="1962"/>
      <c r="QFO5" s="1962"/>
      <c r="QFP5" s="1962"/>
      <c r="QFQ5" s="1962"/>
      <c r="QFR5" s="1962"/>
      <c r="QFS5" s="1962"/>
      <c r="QFT5" s="1962"/>
      <c r="QFU5" s="1962"/>
      <c r="QFV5" s="1962"/>
      <c r="QFW5" s="1962"/>
      <c r="QFX5" s="1962"/>
      <c r="QFY5" s="1962"/>
      <c r="QFZ5" s="1962"/>
      <c r="QGA5" s="1962"/>
      <c r="QGB5" s="1962"/>
      <c r="QGC5" s="1962"/>
      <c r="QGD5" s="1962"/>
      <c r="QGE5" s="1962"/>
      <c r="QGF5" s="1962"/>
      <c r="QGG5" s="1962"/>
      <c r="QGH5" s="1962"/>
      <c r="QGI5" s="1962"/>
      <c r="QGJ5" s="1962"/>
      <c r="QGK5" s="1962"/>
      <c r="QGL5" s="1962"/>
      <c r="QGM5" s="1962"/>
      <c r="QGN5" s="1962"/>
      <c r="QGO5" s="1962"/>
      <c r="QGP5" s="1962"/>
      <c r="QGQ5" s="1962"/>
      <c r="QGR5" s="1962"/>
      <c r="QGS5" s="1962"/>
      <c r="QGT5" s="1962"/>
      <c r="QGU5" s="1962"/>
      <c r="QGV5" s="1962"/>
      <c r="QGW5" s="1962"/>
      <c r="QGX5" s="1962"/>
      <c r="QGY5" s="1962"/>
      <c r="QGZ5" s="1962"/>
      <c r="QHA5" s="1962"/>
      <c r="QHB5" s="1962"/>
      <c r="QHC5" s="1962"/>
      <c r="QHD5" s="1962"/>
      <c r="QHE5" s="1962"/>
      <c r="QHF5" s="1962"/>
      <c r="QHG5" s="1962"/>
      <c r="QHH5" s="1962"/>
      <c r="QHI5" s="1962"/>
      <c r="QHJ5" s="1962"/>
      <c r="QHK5" s="1962"/>
      <c r="QHL5" s="1962"/>
      <c r="QHM5" s="1962"/>
      <c r="QHN5" s="1962"/>
      <c r="QHO5" s="1962"/>
      <c r="QHP5" s="1962"/>
      <c r="QHQ5" s="1962"/>
      <c r="QHR5" s="1962"/>
      <c r="QHS5" s="1962"/>
      <c r="QHT5" s="1962"/>
      <c r="QHU5" s="1962"/>
      <c r="QHV5" s="1962"/>
      <c r="QHW5" s="1962"/>
      <c r="QHX5" s="1962"/>
      <c r="QHY5" s="1962"/>
      <c r="QHZ5" s="1962"/>
      <c r="QIA5" s="1962"/>
      <c r="QIB5" s="1962"/>
      <c r="QIC5" s="1962"/>
      <c r="QID5" s="1962"/>
      <c r="QIE5" s="1962"/>
      <c r="QIF5" s="1962"/>
      <c r="QIG5" s="1962"/>
      <c r="QIH5" s="1962"/>
      <c r="QII5" s="1962"/>
      <c r="QIJ5" s="1962"/>
      <c r="QIK5" s="1962"/>
      <c r="QIL5" s="1962"/>
      <c r="QIM5" s="1962"/>
      <c r="QIN5" s="1962"/>
      <c r="QIO5" s="1962"/>
      <c r="QIP5" s="1962"/>
      <c r="QIQ5" s="1962"/>
      <c r="QIR5" s="1962"/>
      <c r="QIS5" s="1962"/>
      <c r="QIT5" s="1962"/>
      <c r="QIU5" s="1962"/>
      <c r="QIV5" s="1962"/>
      <c r="QIW5" s="1962"/>
      <c r="QIX5" s="1962"/>
      <c r="QIY5" s="1962"/>
      <c r="QIZ5" s="1962"/>
      <c r="QJA5" s="1962"/>
      <c r="QJB5" s="1962"/>
      <c r="QJC5" s="1962"/>
      <c r="QJD5" s="1962"/>
      <c r="QJE5" s="1962"/>
      <c r="QJF5" s="1962"/>
      <c r="QJG5" s="1962"/>
      <c r="QJH5" s="1962"/>
      <c r="QJI5" s="1962"/>
      <c r="QJJ5" s="1962"/>
      <c r="QJK5" s="1962"/>
      <c r="QJL5" s="1962"/>
      <c r="QJM5" s="1962"/>
      <c r="QJN5" s="1962"/>
      <c r="QJO5" s="1962"/>
      <c r="QJP5" s="1962"/>
      <c r="QJQ5" s="1962"/>
      <c r="QJR5" s="1962"/>
      <c r="QJS5" s="1962"/>
      <c r="QJT5" s="1962"/>
      <c r="QJU5" s="1962"/>
      <c r="QJV5" s="1962"/>
      <c r="QJW5" s="1962"/>
      <c r="QJX5" s="1962"/>
      <c r="QJY5" s="1962"/>
      <c r="QJZ5" s="1962"/>
      <c r="QKA5" s="1962"/>
      <c r="QKB5" s="1962"/>
      <c r="QKC5" s="1962"/>
      <c r="QKD5" s="1962"/>
      <c r="QKE5" s="1962"/>
      <c r="QKF5" s="1962"/>
      <c r="QKG5" s="1962"/>
      <c r="QKH5" s="1962"/>
      <c r="QKI5" s="1962"/>
      <c r="QKJ5" s="1962"/>
      <c r="QKK5" s="1962"/>
      <c r="QKL5" s="1962"/>
      <c r="QKM5" s="1962"/>
      <c r="QKN5" s="1962"/>
      <c r="QKO5" s="1962"/>
      <c r="QKP5" s="1962"/>
      <c r="QKQ5" s="1962"/>
      <c r="QKR5" s="1962"/>
      <c r="QKS5" s="1962"/>
      <c r="QKT5" s="1962"/>
      <c r="QKU5" s="1962"/>
      <c r="QKV5" s="1962"/>
      <c r="QKW5" s="1962"/>
      <c r="QKX5" s="1962"/>
      <c r="QKY5" s="1962"/>
      <c r="QKZ5" s="1962"/>
      <c r="QLA5" s="1962"/>
      <c r="QLB5" s="1962"/>
      <c r="QLC5" s="1962"/>
      <c r="QLD5" s="1962"/>
      <c r="QLE5" s="1962"/>
      <c r="QLF5" s="1962"/>
      <c r="QLG5" s="1962"/>
      <c r="QLH5" s="1962"/>
      <c r="QLI5" s="1962"/>
      <c r="QLJ5" s="1962"/>
      <c r="QLK5" s="1962"/>
      <c r="QLL5" s="1962"/>
      <c r="QLM5" s="1962"/>
      <c r="QLN5" s="1962"/>
      <c r="QLO5" s="1962"/>
      <c r="QLP5" s="1962"/>
      <c r="QLQ5" s="1962"/>
      <c r="QLR5" s="1962"/>
      <c r="QLS5" s="1962"/>
      <c r="QLT5" s="1962"/>
      <c r="QLU5" s="1962"/>
      <c r="QLV5" s="1962"/>
      <c r="QLW5" s="1962"/>
      <c r="QLX5" s="1962"/>
      <c r="QLY5" s="1962"/>
      <c r="QLZ5" s="1962"/>
      <c r="QMA5" s="1962"/>
      <c r="QMB5" s="1962"/>
      <c r="QMC5" s="1962"/>
      <c r="QMD5" s="1962"/>
      <c r="QME5" s="1962"/>
      <c r="QMF5" s="1962"/>
      <c r="QMG5" s="1962"/>
      <c r="QMH5" s="1962"/>
      <c r="QMI5" s="1962"/>
      <c r="QMJ5" s="1962"/>
      <c r="QMK5" s="1962"/>
      <c r="QML5" s="1962"/>
      <c r="QMM5" s="1962"/>
      <c r="QMN5" s="1962"/>
      <c r="QMO5" s="1962"/>
      <c r="QMP5" s="1962"/>
      <c r="QMQ5" s="1962"/>
      <c r="QMR5" s="1962"/>
      <c r="QMS5" s="1962"/>
      <c r="QMT5" s="1962"/>
      <c r="QMU5" s="1962"/>
      <c r="QMV5" s="1962"/>
      <c r="QMW5" s="1962"/>
      <c r="QMX5" s="1962"/>
      <c r="QMY5" s="1962"/>
      <c r="QMZ5" s="1962"/>
      <c r="QNA5" s="1962"/>
      <c r="QNB5" s="1962"/>
      <c r="QNC5" s="1962"/>
      <c r="QND5" s="1962"/>
      <c r="QNE5" s="1962"/>
      <c r="QNF5" s="1962"/>
      <c r="QNG5" s="1962"/>
      <c r="QNH5" s="1962"/>
      <c r="QNI5" s="1962"/>
      <c r="QNJ5" s="1962"/>
      <c r="QNK5" s="1962"/>
      <c r="QNL5" s="1962"/>
      <c r="QNM5" s="1962"/>
      <c r="QNN5" s="1962"/>
      <c r="QNO5" s="1962"/>
      <c r="QNP5" s="1962"/>
      <c r="QNQ5" s="1962"/>
      <c r="QNR5" s="1962"/>
      <c r="QNS5" s="1962"/>
      <c r="QNT5" s="1962"/>
      <c r="QNU5" s="1962"/>
      <c r="QNV5" s="1962"/>
      <c r="QNW5" s="1962"/>
      <c r="QNX5" s="1962"/>
      <c r="QNY5" s="1962"/>
      <c r="QNZ5" s="1962"/>
      <c r="QOA5" s="1962"/>
      <c r="QOB5" s="1962"/>
      <c r="QOC5" s="1962"/>
      <c r="QOD5" s="1962"/>
      <c r="QOE5" s="1962"/>
      <c r="QOF5" s="1962"/>
      <c r="QOG5" s="1962"/>
      <c r="QOH5" s="1962"/>
      <c r="QOI5" s="1962"/>
      <c r="QOJ5" s="1962"/>
      <c r="QOK5" s="1962"/>
      <c r="QOL5" s="1962"/>
      <c r="QOM5" s="1962"/>
      <c r="QON5" s="1962"/>
      <c r="QOO5" s="1962"/>
      <c r="QOP5" s="1962"/>
      <c r="QOQ5" s="1962"/>
      <c r="QOR5" s="1962"/>
      <c r="QOS5" s="1962"/>
      <c r="QOT5" s="1962"/>
      <c r="QOU5" s="1962"/>
      <c r="QOV5" s="1962"/>
      <c r="QOW5" s="1962"/>
      <c r="QOX5" s="1962"/>
      <c r="QOY5" s="1962"/>
      <c r="QOZ5" s="1962"/>
      <c r="QPA5" s="1962"/>
      <c r="QPB5" s="1962"/>
      <c r="QPC5" s="1962"/>
      <c r="QPD5" s="1962"/>
      <c r="QPE5" s="1962"/>
      <c r="QPF5" s="1962"/>
      <c r="QPG5" s="1962"/>
      <c r="QPH5" s="1962"/>
      <c r="QPI5" s="1962"/>
      <c r="QPJ5" s="1962"/>
      <c r="QPK5" s="1962"/>
      <c r="QPL5" s="1962"/>
      <c r="QPM5" s="1962"/>
      <c r="QPN5" s="1962"/>
      <c r="QPO5" s="1962"/>
      <c r="QPP5" s="1962"/>
      <c r="QPQ5" s="1962"/>
      <c r="QPR5" s="1962"/>
      <c r="QPS5" s="1962"/>
      <c r="QPT5" s="1962"/>
      <c r="QPU5" s="1962"/>
      <c r="QPV5" s="1962"/>
      <c r="QPW5" s="1962"/>
      <c r="QPX5" s="1962"/>
      <c r="QPY5" s="1962"/>
      <c r="QPZ5" s="1962"/>
      <c r="QQA5" s="1962"/>
      <c r="QQB5" s="1962"/>
      <c r="QQC5" s="1962"/>
      <c r="QQD5" s="1962"/>
      <c r="QQE5" s="1962"/>
      <c r="QQF5" s="1962"/>
      <c r="QQG5" s="1962"/>
      <c r="QQH5" s="1962"/>
      <c r="QQI5" s="1962"/>
      <c r="QQJ5" s="1962"/>
      <c r="QQK5" s="1962"/>
      <c r="QQL5" s="1962"/>
      <c r="QQM5" s="1962"/>
      <c r="QQN5" s="1962"/>
      <c r="QQO5" s="1962"/>
      <c r="QQP5" s="1962"/>
      <c r="QQQ5" s="1962"/>
      <c r="QQR5" s="1962"/>
      <c r="QQS5" s="1962"/>
      <c r="QQT5" s="1962"/>
      <c r="QQU5" s="1962"/>
      <c r="QQV5" s="1962"/>
      <c r="QQW5" s="1962"/>
      <c r="QQX5" s="1962"/>
      <c r="QQY5" s="1962"/>
      <c r="QQZ5" s="1962"/>
      <c r="QRA5" s="1962"/>
      <c r="QRB5" s="1962"/>
      <c r="QRC5" s="1962"/>
      <c r="QRD5" s="1962"/>
      <c r="QRE5" s="1962"/>
      <c r="QRF5" s="1962"/>
      <c r="QRG5" s="1962"/>
      <c r="QRH5" s="1962"/>
      <c r="QRI5" s="1962"/>
      <c r="QRJ5" s="1962"/>
      <c r="QRK5" s="1962"/>
      <c r="QRL5" s="1962"/>
      <c r="QRM5" s="1962"/>
      <c r="QRN5" s="1962"/>
      <c r="QRO5" s="1962"/>
      <c r="QRP5" s="1962"/>
      <c r="QRQ5" s="1962"/>
      <c r="QRR5" s="1962"/>
      <c r="QRS5" s="1962"/>
      <c r="QRT5" s="1962"/>
      <c r="QRU5" s="1962"/>
      <c r="QRV5" s="1962"/>
      <c r="QRW5" s="1962"/>
      <c r="QRX5" s="1962"/>
      <c r="QRY5" s="1962"/>
      <c r="QRZ5" s="1962"/>
      <c r="QSA5" s="1962"/>
      <c r="QSB5" s="1962"/>
      <c r="QSC5" s="1962"/>
      <c r="QSD5" s="1962"/>
      <c r="QSE5" s="1962"/>
      <c r="QSF5" s="1962"/>
      <c r="QSG5" s="1962"/>
      <c r="QSH5" s="1962"/>
      <c r="QSI5" s="1962"/>
      <c r="QSJ5" s="1962"/>
      <c r="QSK5" s="1962"/>
      <c r="QSL5" s="1962"/>
      <c r="QSM5" s="1962"/>
      <c r="QSN5" s="1962"/>
      <c r="QSO5" s="1962"/>
      <c r="QSP5" s="1962"/>
      <c r="QSQ5" s="1962"/>
      <c r="QSR5" s="1962"/>
      <c r="QSS5" s="1962"/>
      <c r="QST5" s="1962"/>
      <c r="QSU5" s="1962"/>
      <c r="QSV5" s="1962"/>
      <c r="QSW5" s="1962"/>
      <c r="QSX5" s="1962"/>
      <c r="QSY5" s="1962"/>
      <c r="QSZ5" s="1962"/>
      <c r="QTA5" s="1962"/>
      <c r="QTB5" s="1962"/>
      <c r="QTC5" s="1962"/>
      <c r="QTD5" s="1962"/>
      <c r="QTE5" s="1962"/>
      <c r="QTF5" s="1962"/>
      <c r="QTG5" s="1962"/>
      <c r="QTH5" s="1962"/>
      <c r="QTI5" s="1962"/>
      <c r="QTJ5" s="1962"/>
      <c r="QTK5" s="1962"/>
      <c r="QTL5" s="1962"/>
      <c r="QTM5" s="1962"/>
      <c r="QTN5" s="1962"/>
      <c r="QTO5" s="1962"/>
      <c r="QTP5" s="1962"/>
      <c r="QTQ5" s="1962"/>
      <c r="QTR5" s="1962"/>
      <c r="QTS5" s="1962"/>
      <c r="QTT5" s="1962"/>
      <c r="QTU5" s="1962"/>
      <c r="QTV5" s="1962"/>
      <c r="QTW5" s="1962"/>
      <c r="QTX5" s="1962"/>
      <c r="QTY5" s="1962"/>
      <c r="QTZ5" s="1962"/>
      <c r="QUA5" s="1962"/>
      <c r="QUB5" s="1962"/>
      <c r="QUC5" s="1962"/>
      <c r="QUD5" s="1962"/>
      <c r="QUE5" s="1962"/>
      <c r="QUF5" s="1962"/>
      <c r="QUG5" s="1962"/>
      <c r="QUH5" s="1962"/>
      <c r="QUI5" s="1962"/>
      <c r="QUJ5" s="1962"/>
      <c r="QUK5" s="1962"/>
      <c r="QUL5" s="1962"/>
      <c r="QUM5" s="1962"/>
      <c r="QUN5" s="1962"/>
      <c r="QUO5" s="1962"/>
      <c r="QUP5" s="1962"/>
      <c r="QUQ5" s="1962"/>
      <c r="QUR5" s="1962"/>
      <c r="QUS5" s="1962"/>
      <c r="QUT5" s="1962"/>
      <c r="QUU5" s="1962"/>
      <c r="QUV5" s="1962"/>
      <c r="QUW5" s="1962"/>
      <c r="QUX5" s="1962"/>
      <c r="QUY5" s="1962"/>
      <c r="QUZ5" s="1962"/>
      <c r="QVA5" s="1962"/>
      <c r="QVB5" s="1962"/>
      <c r="QVC5" s="1962"/>
      <c r="QVD5" s="1962"/>
      <c r="QVE5" s="1962"/>
      <c r="QVF5" s="1962"/>
      <c r="QVG5" s="1962"/>
      <c r="QVH5" s="1962"/>
      <c r="QVI5" s="1962"/>
      <c r="QVJ5" s="1962"/>
      <c r="QVK5" s="1962"/>
      <c r="QVL5" s="1962"/>
      <c r="QVM5" s="1962"/>
      <c r="QVN5" s="1962"/>
      <c r="QVO5" s="1962"/>
      <c r="QVP5" s="1962"/>
      <c r="QVQ5" s="1962"/>
      <c r="QVR5" s="1962"/>
      <c r="QVS5" s="1962"/>
      <c r="QVT5" s="1962"/>
      <c r="QVU5" s="1962"/>
      <c r="QVV5" s="1962"/>
      <c r="QVW5" s="1962"/>
      <c r="QVX5" s="1962"/>
      <c r="QVY5" s="1962"/>
      <c r="QVZ5" s="1962"/>
      <c r="QWA5" s="1962"/>
      <c r="QWB5" s="1962"/>
      <c r="QWC5" s="1962"/>
      <c r="QWD5" s="1962"/>
      <c r="QWE5" s="1962"/>
      <c r="QWF5" s="1962"/>
      <c r="QWG5" s="1962"/>
      <c r="QWH5" s="1962"/>
      <c r="QWI5" s="1962"/>
      <c r="QWJ5" s="1962"/>
      <c r="QWK5" s="1962"/>
      <c r="QWL5" s="1962"/>
      <c r="QWM5" s="1962"/>
      <c r="QWN5" s="1962"/>
      <c r="QWO5" s="1962"/>
      <c r="QWP5" s="1962"/>
      <c r="QWQ5" s="1962"/>
      <c r="QWR5" s="1962"/>
      <c r="QWS5" s="1962"/>
      <c r="QWT5" s="1962"/>
      <c r="QWU5" s="1962"/>
      <c r="QWV5" s="1962"/>
      <c r="QWW5" s="1962"/>
      <c r="QWX5" s="1962"/>
      <c r="QWY5" s="1962"/>
      <c r="QWZ5" s="1962"/>
      <c r="QXA5" s="1962"/>
      <c r="QXB5" s="1962"/>
      <c r="QXC5" s="1962"/>
      <c r="QXD5" s="1962"/>
      <c r="QXE5" s="1962"/>
      <c r="QXF5" s="1962"/>
      <c r="QXG5" s="1962"/>
      <c r="QXH5" s="1962"/>
      <c r="QXI5" s="1962"/>
      <c r="QXJ5" s="1962"/>
      <c r="QXK5" s="1962"/>
      <c r="QXL5" s="1962"/>
      <c r="QXM5" s="1962"/>
      <c r="QXN5" s="1962"/>
      <c r="QXO5" s="1962"/>
      <c r="QXP5" s="1962"/>
      <c r="QXQ5" s="1962"/>
      <c r="QXR5" s="1962"/>
      <c r="QXS5" s="1962"/>
      <c r="QXT5" s="1962"/>
      <c r="QXU5" s="1962"/>
      <c r="QXV5" s="1962"/>
      <c r="QXW5" s="1962"/>
      <c r="QXX5" s="1962"/>
      <c r="QXY5" s="1962"/>
      <c r="QXZ5" s="1962"/>
      <c r="QYA5" s="1962"/>
      <c r="QYB5" s="1962"/>
      <c r="QYC5" s="1962"/>
      <c r="QYD5" s="1962"/>
      <c r="QYE5" s="1962"/>
      <c r="QYF5" s="1962"/>
      <c r="QYG5" s="1962"/>
      <c r="QYH5" s="1962"/>
      <c r="QYI5" s="1962"/>
      <c r="QYJ5" s="1962"/>
      <c r="QYK5" s="1962"/>
      <c r="QYL5" s="1962"/>
      <c r="QYM5" s="1962"/>
      <c r="QYN5" s="1962"/>
      <c r="QYO5" s="1962"/>
      <c r="QYP5" s="1962"/>
      <c r="QYQ5" s="1962"/>
      <c r="QYR5" s="1962"/>
      <c r="QYS5" s="1962"/>
      <c r="QYT5" s="1962"/>
      <c r="QYU5" s="1962"/>
      <c r="QYV5" s="1962"/>
      <c r="QYW5" s="1962"/>
      <c r="QYX5" s="1962"/>
      <c r="QYY5" s="1962"/>
      <c r="QYZ5" s="1962"/>
      <c r="QZA5" s="1962"/>
      <c r="QZB5" s="1962"/>
      <c r="QZC5" s="1962"/>
      <c r="QZD5" s="1962"/>
      <c r="QZE5" s="1962"/>
      <c r="QZF5" s="1962"/>
      <c r="QZG5" s="1962"/>
      <c r="QZH5" s="1962"/>
      <c r="QZI5" s="1962"/>
      <c r="QZJ5" s="1962"/>
      <c r="QZK5" s="1962"/>
      <c r="QZL5" s="1962"/>
      <c r="QZM5" s="1962"/>
      <c r="QZN5" s="1962"/>
      <c r="QZO5" s="1962"/>
      <c r="QZP5" s="1962"/>
      <c r="QZQ5" s="1962"/>
      <c r="QZR5" s="1962"/>
      <c r="QZS5" s="1962"/>
      <c r="QZT5" s="1962"/>
      <c r="QZU5" s="1962"/>
      <c r="QZV5" s="1962"/>
      <c r="QZW5" s="1962"/>
      <c r="QZX5" s="1962"/>
      <c r="QZY5" s="1962"/>
      <c r="QZZ5" s="1962"/>
      <c r="RAA5" s="1962"/>
      <c r="RAB5" s="1962"/>
      <c r="RAC5" s="1962"/>
      <c r="RAD5" s="1962"/>
      <c r="RAE5" s="1962"/>
      <c r="RAF5" s="1962"/>
      <c r="RAG5" s="1962"/>
      <c r="RAH5" s="1962"/>
      <c r="RAI5" s="1962"/>
      <c r="RAJ5" s="1962"/>
      <c r="RAK5" s="1962"/>
      <c r="RAL5" s="1962"/>
      <c r="RAM5" s="1962"/>
      <c r="RAN5" s="1962"/>
      <c r="RAO5" s="1962"/>
      <c r="RAP5" s="1962"/>
      <c r="RAQ5" s="1962"/>
      <c r="RAR5" s="1962"/>
      <c r="RAS5" s="1962"/>
      <c r="RAT5" s="1962"/>
      <c r="RAU5" s="1962"/>
      <c r="RAV5" s="1962"/>
      <c r="RAW5" s="1962"/>
      <c r="RAX5" s="1962"/>
      <c r="RAY5" s="1962"/>
      <c r="RAZ5" s="1962"/>
      <c r="RBA5" s="1962"/>
      <c r="RBB5" s="1962"/>
      <c r="RBC5" s="1962"/>
      <c r="RBD5" s="1962"/>
      <c r="RBE5" s="1962"/>
      <c r="RBF5" s="1962"/>
      <c r="RBG5" s="1962"/>
      <c r="RBH5" s="1962"/>
      <c r="RBI5" s="1962"/>
      <c r="RBJ5" s="1962"/>
      <c r="RBK5" s="1962"/>
      <c r="RBL5" s="1962"/>
      <c r="RBM5" s="1962"/>
      <c r="RBN5" s="1962"/>
      <c r="RBO5" s="1962"/>
      <c r="RBP5" s="1962"/>
      <c r="RBQ5" s="1962"/>
      <c r="RBR5" s="1962"/>
      <c r="RBS5" s="1962"/>
      <c r="RBT5" s="1962"/>
      <c r="RBU5" s="1962"/>
      <c r="RBV5" s="1962"/>
      <c r="RBW5" s="1962"/>
      <c r="RBX5" s="1962"/>
      <c r="RBY5" s="1962"/>
      <c r="RBZ5" s="1962"/>
      <c r="RCA5" s="1962"/>
      <c r="RCB5" s="1962"/>
      <c r="RCC5" s="1962"/>
      <c r="RCD5" s="1962"/>
      <c r="RCE5" s="1962"/>
      <c r="RCF5" s="1962"/>
      <c r="RCG5" s="1962"/>
      <c r="RCH5" s="1962"/>
      <c r="RCI5" s="1962"/>
      <c r="RCJ5" s="1962"/>
      <c r="RCK5" s="1962"/>
      <c r="RCL5" s="1962"/>
      <c r="RCM5" s="1962"/>
      <c r="RCN5" s="1962"/>
      <c r="RCO5" s="1962"/>
      <c r="RCP5" s="1962"/>
      <c r="RCQ5" s="1962"/>
      <c r="RCR5" s="1962"/>
      <c r="RCS5" s="1962"/>
      <c r="RCT5" s="1962"/>
      <c r="RCU5" s="1962"/>
      <c r="RCV5" s="1962"/>
      <c r="RCW5" s="1962"/>
      <c r="RCX5" s="1962"/>
      <c r="RCY5" s="1962"/>
      <c r="RCZ5" s="1962"/>
      <c r="RDA5" s="1962"/>
      <c r="RDB5" s="1962"/>
      <c r="RDC5" s="1962"/>
      <c r="RDD5" s="1962"/>
      <c r="RDE5" s="1962"/>
      <c r="RDF5" s="1962"/>
      <c r="RDG5" s="1962"/>
      <c r="RDH5" s="1962"/>
      <c r="RDI5" s="1962"/>
      <c r="RDJ5" s="1962"/>
      <c r="RDK5" s="1962"/>
      <c r="RDL5" s="1962"/>
      <c r="RDM5" s="1962"/>
      <c r="RDN5" s="1962"/>
      <c r="RDO5" s="1962"/>
      <c r="RDP5" s="1962"/>
      <c r="RDQ5" s="1962"/>
      <c r="RDR5" s="1962"/>
      <c r="RDS5" s="1962"/>
      <c r="RDT5" s="1962"/>
      <c r="RDU5" s="1962"/>
      <c r="RDV5" s="1962"/>
      <c r="RDW5" s="1962"/>
      <c r="RDX5" s="1962"/>
      <c r="RDY5" s="1962"/>
      <c r="RDZ5" s="1962"/>
      <c r="REA5" s="1962"/>
      <c r="REB5" s="1962"/>
      <c r="REC5" s="1962"/>
      <c r="RED5" s="1962"/>
      <c r="REE5" s="1962"/>
      <c r="REF5" s="1962"/>
      <c r="REG5" s="1962"/>
      <c r="REH5" s="1962"/>
      <c r="REI5" s="1962"/>
      <c r="REJ5" s="1962"/>
      <c r="REK5" s="1962"/>
      <c r="REL5" s="1962"/>
      <c r="REM5" s="1962"/>
      <c r="REN5" s="1962"/>
      <c r="REO5" s="1962"/>
      <c r="REP5" s="1962"/>
      <c r="REQ5" s="1962"/>
      <c r="RER5" s="1962"/>
      <c r="RES5" s="1962"/>
      <c r="RET5" s="1962"/>
      <c r="REU5" s="1962"/>
      <c r="REV5" s="1962"/>
      <c r="REW5" s="1962"/>
      <c r="REX5" s="1962"/>
      <c r="REY5" s="1962"/>
      <c r="REZ5" s="1962"/>
      <c r="RFA5" s="1962"/>
      <c r="RFB5" s="1962"/>
      <c r="RFC5" s="1962"/>
      <c r="RFD5" s="1962"/>
      <c r="RFE5" s="1962"/>
      <c r="RFF5" s="1962"/>
      <c r="RFG5" s="1962"/>
      <c r="RFH5" s="1962"/>
      <c r="RFI5" s="1962"/>
      <c r="RFJ5" s="1962"/>
      <c r="RFK5" s="1962"/>
      <c r="RFL5" s="1962"/>
      <c r="RFM5" s="1962"/>
      <c r="RFN5" s="1962"/>
      <c r="RFO5" s="1962"/>
      <c r="RFP5" s="1962"/>
      <c r="RFQ5" s="1962"/>
      <c r="RFR5" s="1962"/>
      <c r="RFS5" s="1962"/>
      <c r="RFT5" s="1962"/>
      <c r="RFU5" s="1962"/>
      <c r="RFV5" s="1962"/>
      <c r="RFW5" s="1962"/>
      <c r="RFX5" s="1962"/>
      <c r="RFY5" s="1962"/>
      <c r="RFZ5" s="1962"/>
      <c r="RGA5" s="1962"/>
      <c r="RGB5" s="1962"/>
      <c r="RGC5" s="1962"/>
      <c r="RGD5" s="1962"/>
      <c r="RGE5" s="1962"/>
      <c r="RGF5" s="1962"/>
      <c r="RGG5" s="1962"/>
      <c r="RGH5" s="1962"/>
      <c r="RGI5" s="1962"/>
      <c r="RGJ5" s="1962"/>
      <c r="RGK5" s="1962"/>
      <c r="RGL5" s="1962"/>
      <c r="RGM5" s="1962"/>
      <c r="RGN5" s="1962"/>
      <c r="RGO5" s="1962"/>
      <c r="RGP5" s="1962"/>
      <c r="RGQ5" s="1962"/>
      <c r="RGR5" s="1962"/>
      <c r="RGS5" s="1962"/>
      <c r="RGT5" s="1962"/>
      <c r="RGU5" s="1962"/>
      <c r="RGV5" s="1962"/>
      <c r="RGW5" s="1962"/>
      <c r="RGX5" s="1962"/>
      <c r="RGY5" s="1962"/>
      <c r="RGZ5" s="1962"/>
      <c r="RHA5" s="1962"/>
      <c r="RHB5" s="1962"/>
      <c r="RHC5" s="1962"/>
      <c r="RHD5" s="1962"/>
      <c r="RHE5" s="1962"/>
      <c r="RHF5" s="1962"/>
      <c r="RHG5" s="1962"/>
      <c r="RHH5" s="1962"/>
      <c r="RHI5" s="1962"/>
      <c r="RHJ5" s="1962"/>
      <c r="RHK5" s="1962"/>
      <c r="RHL5" s="1962"/>
      <c r="RHM5" s="1962"/>
      <c r="RHN5" s="1962"/>
      <c r="RHO5" s="1962"/>
      <c r="RHP5" s="1962"/>
      <c r="RHQ5" s="1962"/>
      <c r="RHR5" s="1962"/>
      <c r="RHS5" s="1962"/>
      <c r="RHT5" s="1962"/>
      <c r="RHU5" s="1962"/>
      <c r="RHV5" s="1962"/>
      <c r="RHW5" s="1962"/>
      <c r="RHX5" s="1962"/>
      <c r="RHY5" s="1962"/>
      <c r="RHZ5" s="1962"/>
      <c r="RIA5" s="1962"/>
      <c r="RIB5" s="1962"/>
      <c r="RIC5" s="1962"/>
      <c r="RID5" s="1962"/>
      <c r="RIE5" s="1962"/>
      <c r="RIF5" s="1962"/>
      <c r="RIG5" s="1962"/>
      <c r="RIH5" s="1962"/>
      <c r="RII5" s="1962"/>
      <c r="RIJ5" s="1962"/>
      <c r="RIK5" s="1962"/>
      <c r="RIL5" s="1962"/>
      <c r="RIM5" s="1962"/>
      <c r="RIN5" s="1962"/>
      <c r="RIO5" s="1962"/>
      <c r="RIP5" s="1962"/>
      <c r="RIQ5" s="1962"/>
      <c r="RIR5" s="1962"/>
      <c r="RIS5" s="1962"/>
      <c r="RIT5" s="1962"/>
      <c r="RIU5" s="1962"/>
      <c r="RIV5" s="1962"/>
      <c r="RIW5" s="1962"/>
      <c r="RIX5" s="1962"/>
      <c r="RIY5" s="1962"/>
      <c r="RIZ5" s="1962"/>
      <c r="RJA5" s="1962"/>
      <c r="RJB5" s="1962"/>
      <c r="RJC5" s="1962"/>
      <c r="RJD5" s="1962"/>
      <c r="RJE5" s="1962"/>
      <c r="RJF5" s="1962"/>
      <c r="RJG5" s="1962"/>
      <c r="RJH5" s="1962"/>
      <c r="RJI5" s="1962"/>
      <c r="RJJ5" s="1962"/>
      <c r="RJK5" s="1962"/>
      <c r="RJL5" s="1962"/>
      <c r="RJM5" s="1962"/>
      <c r="RJN5" s="1962"/>
      <c r="RJO5" s="1962"/>
      <c r="RJP5" s="1962"/>
      <c r="RJQ5" s="1962"/>
      <c r="RJR5" s="1962"/>
      <c r="RJS5" s="1962"/>
      <c r="RJT5" s="1962"/>
      <c r="RJU5" s="1962"/>
      <c r="RJV5" s="1962"/>
      <c r="RJW5" s="1962"/>
      <c r="RJX5" s="1962"/>
      <c r="RJY5" s="1962"/>
      <c r="RJZ5" s="1962"/>
      <c r="RKA5" s="1962"/>
      <c r="RKB5" s="1962"/>
      <c r="RKC5" s="1962"/>
      <c r="RKD5" s="1962"/>
      <c r="RKE5" s="1962"/>
      <c r="RKF5" s="1962"/>
      <c r="RKG5" s="1962"/>
      <c r="RKH5" s="1962"/>
      <c r="RKI5" s="1962"/>
      <c r="RKJ5" s="1962"/>
      <c r="RKK5" s="1962"/>
      <c r="RKL5" s="1962"/>
      <c r="RKM5" s="1962"/>
      <c r="RKN5" s="1962"/>
      <c r="RKO5" s="1962"/>
      <c r="RKP5" s="1962"/>
      <c r="RKQ5" s="1962"/>
      <c r="RKR5" s="1962"/>
      <c r="RKS5" s="1962"/>
      <c r="RKT5" s="1962"/>
      <c r="RKU5" s="1962"/>
      <c r="RKV5" s="1962"/>
      <c r="RKW5" s="1962"/>
      <c r="RKX5" s="1962"/>
      <c r="RKY5" s="1962"/>
      <c r="RKZ5" s="1962"/>
      <c r="RLA5" s="1962"/>
      <c r="RLB5" s="1962"/>
      <c r="RLC5" s="1962"/>
      <c r="RLD5" s="1962"/>
      <c r="RLE5" s="1962"/>
      <c r="RLF5" s="1962"/>
      <c r="RLG5" s="1962"/>
      <c r="RLH5" s="1962"/>
      <c r="RLI5" s="1962"/>
      <c r="RLJ5" s="1962"/>
      <c r="RLK5" s="1962"/>
      <c r="RLL5" s="1962"/>
      <c r="RLM5" s="1962"/>
      <c r="RLN5" s="1962"/>
      <c r="RLO5" s="1962"/>
      <c r="RLP5" s="1962"/>
      <c r="RLQ5" s="1962"/>
      <c r="RLR5" s="1962"/>
      <c r="RLS5" s="1962"/>
      <c r="RLT5" s="1962"/>
      <c r="RLU5" s="1962"/>
      <c r="RLV5" s="1962"/>
      <c r="RLW5" s="1962"/>
      <c r="RLX5" s="1962"/>
      <c r="RLY5" s="1962"/>
      <c r="RLZ5" s="1962"/>
      <c r="RMA5" s="1962"/>
      <c r="RMB5" s="1962"/>
      <c r="RMC5" s="1962"/>
      <c r="RMD5" s="1962"/>
      <c r="RME5" s="1962"/>
      <c r="RMF5" s="1962"/>
      <c r="RMG5" s="1962"/>
      <c r="RMH5" s="1962"/>
      <c r="RMI5" s="1962"/>
      <c r="RMJ5" s="1962"/>
      <c r="RMK5" s="1962"/>
      <c r="RML5" s="1962"/>
      <c r="RMM5" s="1962"/>
      <c r="RMN5" s="1962"/>
      <c r="RMO5" s="1962"/>
      <c r="RMP5" s="1962"/>
      <c r="RMQ5" s="1962"/>
      <c r="RMR5" s="1962"/>
      <c r="RMS5" s="1962"/>
      <c r="RMT5" s="1962"/>
      <c r="RMU5" s="1962"/>
      <c r="RMV5" s="1962"/>
      <c r="RMW5" s="1962"/>
      <c r="RMX5" s="1962"/>
      <c r="RMY5" s="1962"/>
      <c r="RMZ5" s="1962"/>
      <c r="RNA5" s="1962"/>
      <c r="RNB5" s="1962"/>
      <c r="RNC5" s="1962"/>
      <c r="RND5" s="1962"/>
      <c r="RNE5" s="1962"/>
      <c r="RNF5" s="1962"/>
      <c r="RNG5" s="1962"/>
      <c r="RNH5" s="1962"/>
      <c r="RNI5" s="1962"/>
      <c r="RNJ5" s="1962"/>
      <c r="RNK5" s="1962"/>
      <c r="RNL5" s="1962"/>
      <c r="RNM5" s="1962"/>
      <c r="RNN5" s="1962"/>
      <c r="RNO5" s="1962"/>
      <c r="RNP5" s="1962"/>
      <c r="RNQ5" s="1962"/>
      <c r="RNR5" s="1962"/>
      <c r="RNS5" s="1962"/>
      <c r="RNT5" s="1962"/>
      <c r="RNU5" s="1962"/>
      <c r="RNV5" s="1962"/>
      <c r="RNW5" s="1962"/>
      <c r="RNX5" s="1962"/>
      <c r="RNY5" s="1962"/>
      <c r="RNZ5" s="1962"/>
      <c r="ROA5" s="1962"/>
      <c r="ROB5" s="1962"/>
      <c r="ROC5" s="1962"/>
      <c r="ROD5" s="1962"/>
      <c r="ROE5" s="1962"/>
      <c r="ROF5" s="1962"/>
      <c r="ROG5" s="1962"/>
      <c r="ROH5" s="1962"/>
      <c r="ROI5" s="1962"/>
      <c r="ROJ5" s="1962"/>
      <c r="ROK5" s="1962"/>
      <c r="ROL5" s="1962"/>
      <c r="ROM5" s="1962"/>
      <c r="RON5" s="1962"/>
      <c r="ROO5" s="1962"/>
      <c r="ROP5" s="1962"/>
      <c r="ROQ5" s="1962"/>
      <c r="ROR5" s="1962"/>
      <c r="ROS5" s="1962"/>
      <c r="ROT5" s="1962"/>
      <c r="ROU5" s="1962"/>
      <c r="ROV5" s="1962"/>
      <c r="ROW5" s="1962"/>
      <c r="ROX5" s="1962"/>
      <c r="ROY5" s="1962"/>
      <c r="ROZ5" s="1962"/>
      <c r="RPA5" s="1962"/>
      <c r="RPB5" s="1962"/>
      <c r="RPC5" s="1962"/>
      <c r="RPD5" s="1962"/>
      <c r="RPE5" s="1962"/>
      <c r="RPF5" s="1962"/>
      <c r="RPG5" s="1962"/>
      <c r="RPH5" s="1962"/>
      <c r="RPI5" s="1962"/>
      <c r="RPJ5" s="1962"/>
      <c r="RPK5" s="1962"/>
      <c r="RPL5" s="1962"/>
      <c r="RPM5" s="1962"/>
      <c r="RPN5" s="1962"/>
      <c r="RPO5" s="1962"/>
      <c r="RPP5" s="1962"/>
      <c r="RPQ5" s="1962"/>
      <c r="RPR5" s="1962"/>
      <c r="RPS5" s="1962"/>
      <c r="RPT5" s="1962"/>
      <c r="RPU5" s="1962"/>
      <c r="RPV5" s="1962"/>
      <c r="RPW5" s="1962"/>
      <c r="RPX5" s="1962"/>
      <c r="RPY5" s="1962"/>
      <c r="RPZ5" s="1962"/>
      <c r="RQA5" s="1962"/>
      <c r="RQB5" s="1962"/>
      <c r="RQC5" s="1962"/>
      <c r="RQD5" s="1962"/>
      <c r="RQE5" s="1962"/>
      <c r="RQF5" s="1962"/>
      <c r="RQG5" s="1962"/>
      <c r="RQH5" s="1962"/>
      <c r="RQI5" s="1962"/>
      <c r="RQJ5" s="1962"/>
      <c r="RQK5" s="1962"/>
      <c r="RQL5" s="1962"/>
      <c r="RQM5" s="1962"/>
      <c r="RQN5" s="1962"/>
      <c r="RQO5" s="1962"/>
      <c r="RQP5" s="1962"/>
      <c r="RQQ5" s="1962"/>
      <c r="RQR5" s="1962"/>
      <c r="RQS5" s="1962"/>
      <c r="RQT5" s="1962"/>
      <c r="RQU5" s="1962"/>
      <c r="RQV5" s="1962"/>
      <c r="RQW5" s="1962"/>
      <c r="RQX5" s="1962"/>
      <c r="RQY5" s="1962"/>
      <c r="RQZ5" s="1962"/>
      <c r="RRA5" s="1962"/>
      <c r="RRB5" s="1962"/>
      <c r="RRC5" s="1962"/>
      <c r="RRD5" s="1962"/>
      <c r="RRE5" s="1962"/>
      <c r="RRF5" s="1962"/>
      <c r="RRG5" s="1962"/>
      <c r="RRH5" s="1962"/>
      <c r="RRI5" s="1962"/>
      <c r="RRJ5" s="1962"/>
      <c r="RRK5" s="1962"/>
      <c r="RRL5" s="1962"/>
      <c r="RRM5" s="1962"/>
      <c r="RRN5" s="1962"/>
      <c r="RRO5" s="1962"/>
      <c r="RRP5" s="1962"/>
      <c r="RRQ5" s="1962"/>
      <c r="RRR5" s="1962"/>
      <c r="RRS5" s="1962"/>
      <c r="RRT5" s="1962"/>
      <c r="RRU5" s="1962"/>
      <c r="RRV5" s="1962"/>
      <c r="RRW5" s="1962"/>
      <c r="RRX5" s="1962"/>
      <c r="RRY5" s="1962"/>
      <c r="RRZ5" s="1962"/>
      <c r="RSA5" s="1962"/>
      <c r="RSB5" s="1962"/>
      <c r="RSC5" s="1962"/>
      <c r="RSD5" s="1962"/>
      <c r="RSE5" s="1962"/>
      <c r="RSF5" s="1962"/>
      <c r="RSG5" s="1962"/>
      <c r="RSH5" s="1962"/>
      <c r="RSI5" s="1962"/>
      <c r="RSJ5" s="1962"/>
      <c r="RSK5" s="1962"/>
      <c r="RSL5" s="1962"/>
      <c r="RSM5" s="1962"/>
      <c r="RSN5" s="1962"/>
      <c r="RSO5" s="1962"/>
      <c r="RSP5" s="1962"/>
      <c r="RSQ5" s="1962"/>
      <c r="RSR5" s="1962"/>
      <c r="RSS5" s="1962"/>
      <c r="RST5" s="1962"/>
      <c r="RSU5" s="1962"/>
      <c r="RSV5" s="1962"/>
      <c r="RSW5" s="1962"/>
      <c r="RSX5" s="1962"/>
      <c r="RSY5" s="1962"/>
      <c r="RSZ5" s="1962"/>
      <c r="RTA5" s="1962"/>
      <c r="RTB5" s="1962"/>
      <c r="RTC5" s="1962"/>
      <c r="RTD5" s="1962"/>
      <c r="RTE5" s="1962"/>
      <c r="RTF5" s="1962"/>
      <c r="RTG5" s="1962"/>
      <c r="RTH5" s="1962"/>
      <c r="RTI5" s="1962"/>
      <c r="RTJ5" s="1962"/>
      <c r="RTK5" s="1962"/>
      <c r="RTL5" s="1962"/>
      <c r="RTM5" s="1962"/>
      <c r="RTN5" s="1962"/>
      <c r="RTO5" s="1962"/>
      <c r="RTP5" s="1962"/>
      <c r="RTQ5" s="1962"/>
      <c r="RTR5" s="1962"/>
      <c r="RTS5" s="1962"/>
      <c r="RTT5" s="1962"/>
      <c r="RTU5" s="1962"/>
      <c r="RTV5" s="1962"/>
      <c r="RTW5" s="1962"/>
      <c r="RTX5" s="1962"/>
      <c r="RTY5" s="1962"/>
      <c r="RTZ5" s="1962"/>
      <c r="RUA5" s="1962"/>
      <c r="RUB5" s="1962"/>
      <c r="RUC5" s="1962"/>
      <c r="RUD5" s="1962"/>
      <c r="RUE5" s="1962"/>
      <c r="RUF5" s="1962"/>
      <c r="RUG5" s="1962"/>
      <c r="RUH5" s="1962"/>
      <c r="RUI5" s="1962"/>
      <c r="RUJ5" s="1962"/>
      <c r="RUK5" s="1962"/>
      <c r="RUL5" s="1962"/>
      <c r="RUM5" s="1962"/>
      <c r="RUN5" s="1962"/>
      <c r="RUO5" s="1962"/>
      <c r="RUP5" s="1962"/>
      <c r="RUQ5" s="1962"/>
      <c r="RUR5" s="1962"/>
      <c r="RUS5" s="1962"/>
      <c r="RUT5" s="1962"/>
      <c r="RUU5" s="1962"/>
      <c r="RUV5" s="1962"/>
      <c r="RUW5" s="1962"/>
      <c r="RUX5" s="1962"/>
      <c r="RUY5" s="1962"/>
      <c r="RUZ5" s="1962"/>
      <c r="RVA5" s="1962"/>
      <c r="RVB5" s="1962"/>
      <c r="RVC5" s="1962"/>
      <c r="RVD5" s="1962"/>
      <c r="RVE5" s="1962"/>
      <c r="RVF5" s="1962"/>
      <c r="RVG5" s="1962"/>
      <c r="RVH5" s="1962"/>
      <c r="RVI5" s="1962"/>
      <c r="RVJ5" s="1962"/>
      <c r="RVK5" s="1962"/>
      <c r="RVL5" s="1962"/>
      <c r="RVM5" s="1962"/>
      <c r="RVN5" s="1962"/>
      <c r="RVO5" s="1962"/>
      <c r="RVP5" s="1962"/>
      <c r="RVQ5" s="1962"/>
      <c r="RVR5" s="1962"/>
      <c r="RVS5" s="1962"/>
      <c r="RVT5" s="1962"/>
      <c r="RVU5" s="1962"/>
      <c r="RVV5" s="1962"/>
      <c r="RVW5" s="1962"/>
      <c r="RVX5" s="1962"/>
      <c r="RVY5" s="1962"/>
      <c r="RVZ5" s="1962"/>
      <c r="RWA5" s="1962"/>
      <c r="RWB5" s="1962"/>
      <c r="RWC5" s="1962"/>
      <c r="RWD5" s="1962"/>
      <c r="RWE5" s="1962"/>
      <c r="RWF5" s="1962"/>
      <c r="RWG5" s="1962"/>
      <c r="RWH5" s="1962"/>
      <c r="RWI5" s="1962"/>
      <c r="RWJ5" s="1962"/>
      <c r="RWK5" s="1962"/>
      <c r="RWL5" s="1962"/>
      <c r="RWM5" s="1962"/>
      <c r="RWN5" s="1962"/>
      <c r="RWO5" s="1962"/>
      <c r="RWP5" s="1962"/>
      <c r="RWQ5" s="1962"/>
      <c r="RWR5" s="1962"/>
      <c r="RWS5" s="1962"/>
      <c r="RWT5" s="1962"/>
      <c r="RWU5" s="1962"/>
      <c r="RWV5" s="1962"/>
      <c r="RWW5" s="1962"/>
      <c r="RWX5" s="1962"/>
      <c r="RWY5" s="1962"/>
      <c r="RWZ5" s="1962"/>
      <c r="RXA5" s="1962"/>
      <c r="RXB5" s="1962"/>
      <c r="RXC5" s="1962"/>
      <c r="RXD5" s="1962"/>
      <c r="RXE5" s="1962"/>
      <c r="RXF5" s="1962"/>
      <c r="RXG5" s="1962"/>
      <c r="RXH5" s="1962"/>
      <c r="RXI5" s="1962"/>
      <c r="RXJ5" s="1962"/>
      <c r="RXK5" s="1962"/>
      <c r="RXL5" s="1962"/>
      <c r="RXM5" s="1962"/>
      <c r="RXN5" s="1962"/>
      <c r="RXO5" s="1962"/>
      <c r="RXP5" s="1962"/>
      <c r="RXQ5" s="1962"/>
      <c r="RXR5" s="1962"/>
      <c r="RXS5" s="1962"/>
      <c r="RXT5" s="1962"/>
      <c r="RXU5" s="1962"/>
      <c r="RXV5" s="1962"/>
      <c r="RXW5" s="1962"/>
      <c r="RXX5" s="1962"/>
      <c r="RXY5" s="1962"/>
      <c r="RXZ5" s="1962"/>
      <c r="RYA5" s="1962"/>
      <c r="RYB5" s="1962"/>
      <c r="RYC5" s="1962"/>
      <c r="RYD5" s="1962"/>
      <c r="RYE5" s="1962"/>
      <c r="RYF5" s="1962"/>
      <c r="RYG5" s="1962"/>
      <c r="RYH5" s="1962"/>
      <c r="RYI5" s="1962"/>
      <c r="RYJ5" s="1962"/>
      <c r="RYK5" s="1962"/>
      <c r="RYL5" s="1962"/>
      <c r="RYM5" s="1962"/>
      <c r="RYN5" s="1962"/>
      <c r="RYO5" s="1962"/>
      <c r="RYP5" s="1962"/>
      <c r="RYQ5" s="1962"/>
      <c r="RYR5" s="1962"/>
      <c r="RYS5" s="1962"/>
      <c r="RYT5" s="1962"/>
      <c r="RYU5" s="1962"/>
      <c r="RYV5" s="1962"/>
      <c r="RYW5" s="1962"/>
      <c r="RYX5" s="1962"/>
      <c r="RYY5" s="1962"/>
      <c r="RYZ5" s="1962"/>
      <c r="RZA5" s="1962"/>
      <c r="RZB5" s="1962"/>
      <c r="RZC5" s="1962"/>
      <c r="RZD5" s="1962"/>
      <c r="RZE5" s="1962"/>
      <c r="RZF5" s="1962"/>
      <c r="RZG5" s="1962"/>
      <c r="RZH5" s="1962"/>
      <c r="RZI5" s="1962"/>
      <c r="RZJ5" s="1962"/>
      <c r="RZK5" s="1962"/>
      <c r="RZL5" s="1962"/>
      <c r="RZM5" s="1962"/>
      <c r="RZN5" s="1962"/>
      <c r="RZO5" s="1962"/>
      <c r="RZP5" s="1962"/>
      <c r="RZQ5" s="1962"/>
      <c r="RZR5" s="1962"/>
      <c r="RZS5" s="1962"/>
      <c r="RZT5" s="1962"/>
      <c r="RZU5" s="1962"/>
      <c r="RZV5" s="1962"/>
      <c r="RZW5" s="1962"/>
      <c r="RZX5" s="1962"/>
      <c r="RZY5" s="1962"/>
      <c r="RZZ5" s="1962"/>
      <c r="SAA5" s="1962"/>
      <c r="SAB5" s="1962"/>
      <c r="SAC5" s="1962"/>
      <c r="SAD5" s="1962"/>
      <c r="SAE5" s="1962"/>
      <c r="SAF5" s="1962"/>
      <c r="SAG5" s="1962"/>
      <c r="SAH5" s="1962"/>
      <c r="SAI5" s="1962"/>
      <c r="SAJ5" s="1962"/>
      <c r="SAK5" s="1962"/>
      <c r="SAL5" s="1962"/>
      <c r="SAM5" s="1962"/>
      <c r="SAN5" s="1962"/>
      <c r="SAO5" s="1962"/>
      <c r="SAP5" s="1962"/>
      <c r="SAQ5" s="1962"/>
      <c r="SAR5" s="1962"/>
      <c r="SAS5" s="1962"/>
      <c r="SAT5" s="1962"/>
      <c r="SAU5" s="1962"/>
      <c r="SAV5" s="1962"/>
      <c r="SAW5" s="1962"/>
      <c r="SAX5" s="1962"/>
      <c r="SAY5" s="1962"/>
      <c r="SAZ5" s="1962"/>
      <c r="SBA5" s="1962"/>
      <c r="SBB5" s="1962"/>
      <c r="SBC5" s="1962"/>
      <c r="SBD5" s="1962"/>
      <c r="SBE5" s="1962"/>
      <c r="SBF5" s="1962"/>
      <c r="SBG5" s="1962"/>
      <c r="SBH5" s="1962"/>
      <c r="SBI5" s="1962"/>
      <c r="SBJ5" s="1962"/>
      <c r="SBK5" s="1962"/>
      <c r="SBL5" s="1962"/>
      <c r="SBM5" s="1962"/>
      <c r="SBN5" s="1962"/>
      <c r="SBO5" s="1962"/>
      <c r="SBP5" s="1962"/>
      <c r="SBQ5" s="1962"/>
      <c r="SBR5" s="1962"/>
      <c r="SBS5" s="1962"/>
      <c r="SBT5" s="1962"/>
      <c r="SBU5" s="1962"/>
      <c r="SBV5" s="1962"/>
      <c r="SBW5" s="1962"/>
      <c r="SBX5" s="1962"/>
      <c r="SBY5" s="1962"/>
      <c r="SBZ5" s="1962"/>
      <c r="SCA5" s="1962"/>
      <c r="SCB5" s="1962"/>
      <c r="SCC5" s="1962"/>
      <c r="SCD5" s="1962"/>
      <c r="SCE5" s="1962"/>
      <c r="SCF5" s="1962"/>
      <c r="SCG5" s="1962"/>
      <c r="SCH5" s="1962"/>
      <c r="SCI5" s="1962"/>
      <c r="SCJ5" s="1962"/>
      <c r="SCK5" s="1962"/>
      <c r="SCL5" s="1962"/>
      <c r="SCM5" s="1962"/>
      <c r="SCN5" s="1962"/>
      <c r="SCO5" s="1962"/>
      <c r="SCP5" s="1962"/>
      <c r="SCQ5" s="1962"/>
      <c r="SCR5" s="1962"/>
      <c r="SCS5" s="1962"/>
      <c r="SCT5" s="1962"/>
      <c r="SCU5" s="1962"/>
      <c r="SCV5" s="1962"/>
      <c r="SCW5" s="1962"/>
      <c r="SCX5" s="1962"/>
      <c r="SCY5" s="1962"/>
      <c r="SCZ5" s="1962"/>
      <c r="SDA5" s="1962"/>
      <c r="SDB5" s="1962"/>
      <c r="SDC5" s="1962"/>
      <c r="SDD5" s="1962"/>
      <c r="SDE5" s="1962"/>
      <c r="SDF5" s="1962"/>
      <c r="SDG5" s="1962"/>
      <c r="SDH5" s="1962"/>
      <c r="SDI5" s="1962"/>
      <c r="SDJ5" s="1962"/>
      <c r="SDK5" s="1962"/>
      <c r="SDL5" s="1962"/>
      <c r="SDM5" s="1962"/>
      <c r="SDN5" s="1962"/>
      <c r="SDO5" s="1962"/>
      <c r="SDP5" s="1962"/>
      <c r="SDQ5" s="1962"/>
      <c r="SDR5" s="1962"/>
      <c r="SDS5" s="1962"/>
      <c r="SDT5" s="1962"/>
      <c r="SDU5" s="1962"/>
      <c r="SDV5" s="1962"/>
      <c r="SDW5" s="1962"/>
      <c r="SDX5" s="1962"/>
      <c r="SDY5" s="1962"/>
      <c r="SDZ5" s="1962"/>
      <c r="SEA5" s="1962"/>
      <c r="SEB5" s="1962"/>
      <c r="SEC5" s="1962"/>
      <c r="SED5" s="1962"/>
      <c r="SEE5" s="1962"/>
      <c r="SEF5" s="1962"/>
      <c r="SEG5" s="1962"/>
      <c r="SEH5" s="1962"/>
      <c r="SEI5" s="1962"/>
      <c r="SEJ5" s="1962"/>
      <c r="SEK5" s="1962"/>
      <c r="SEL5" s="1962"/>
      <c r="SEM5" s="1962"/>
      <c r="SEN5" s="1962"/>
      <c r="SEO5" s="1962"/>
      <c r="SEP5" s="1962"/>
      <c r="SEQ5" s="1962"/>
      <c r="SER5" s="1962"/>
      <c r="SES5" s="1962"/>
      <c r="SET5" s="1962"/>
      <c r="SEU5" s="1962"/>
      <c r="SEV5" s="1962"/>
      <c r="SEW5" s="1962"/>
      <c r="SEX5" s="1962"/>
      <c r="SEY5" s="1962"/>
      <c r="SEZ5" s="1962"/>
      <c r="SFA5" s="1962"/>
      <c r="SFB5" s="1962"/>
      <c r="SFC5" s="1962"/>
      <c r="SFD5" s="1962"/>
      <c r="SFE5" s="1962"/>
      <c r="SFF5" s="1962"/>
      <c r="SFG5" s="1962"/>
      <c r="SFH5" s="1962"/>
      <c r="SFI5" s="1962"/>
      <c r="SFJ5" s="1962"/>
      <c r="SFK5" s="1962"/>
      <c r="SFL5" s="1962"/>
      <c r="SFM5" s="1962"/>
      <c r="SFN5" s="1962"/>
      <c r="SFO5" s="1962"/>
      <c r="SFP5" s="1962"/>
      <c r="SFQ5" s="1962"/>
      <c r="SFR5" s="1962"/>
      <c r="SFS5" s="1962"/>
      <c r="SFT5" s="1962"/>
      <c r="SFU5" s="1962"/>
      <c r="SFV5" s="1962"/>
      <c r="SFW5" s="1962"/>
      <c r="SFX5" s="1962"/>
      <c r="SFY5" s="1962"/>
      <c r="SFZ5" s="1962"/>
      <c r="SGA5" s="1962"/>
      <c r="SGB5" s="1962"/>
      <c r="SGC5" s="1962"/>
      <c r="SGD5" s="1962"/>
      <c r="SGE5" s="1962"/>
      <c r="SGF5" s="1962"/>
      <c r="SGG5" s="1962"/>
      <c r="SGH5" s="1962"/>
      <c r="SGI5" s="1962"/>
      <c r="SGJ5" s="1962"/>
      <c r="SGK5" s="1962"/>
      <c r="SGL5" s="1962"/>
      <c r="SGM5" s="1962"/>
      <c r="SGN5" s="1962"/>
      <c r="SGO5" s="1962"/>
      <c r="SGP5" s="1962"/>
      <c r="SGQ5" s="1962"/>
      <c r="SGR5" s="1962"/>
      <c r="SGS5" s="1962"/>
      <c r="SGT5" s="1962"/>
      <c r="SGU5" s="1962"/>
      <c r="SGV5" s="1962"/>
      <c r="SGW5" s="1962"/>
      <c r="SGX5" s="1962"/>
      <c r="SGY5" s="1962"/>
      <c r="SGZ5" s="1962"/>
      <c r="SHA5" s="1962"/>
      <c r="SHB5" s="1962"/>
      <c r="SHC5" s="1962"/>
      <c r="SHD5" s="1962"/>
      <c r="SHE5" s="1962"/>
      <c r="SHF5" s="1962"/>
      <c r="SHG5" s="1962"/>
      <c r="SHH5" s="1962"/>
      <c r="SHI5" s="1962"/>
      <c r="SHJ5" s="1962"/>
      <c r="SHK5" s="1962"/>
      <c r="SHL5" s="1962"/>
      <c r="SHM5" s="1962"/>
      <c r="SHN5" s="1962"/>
      <c r="SHO5" s="1962"/>
      <c r="SHP5" s="1962"/>
      <c r="SHQ5" s="1962"/>
      <c r="SHR5" s="1962"/>
      <c r="SHS5" s="1962"/>
      <c r="SHT5" s="1962"/>
      <c r="SHU5" s="1962"/>
      <c r="SHV5" s="1962"/>
      <c r="SHW5" s="1962"/>
      <c r="SHX5" s="1962"/>
      <c r="SHY5" s="1962"/>
      <c r="SHZ5" s="1962"/>
      <c r="SIA5" s="1962"/>
      <c r="SIB5" s="1962"/>
      <c r="SIC5" s="1962"/>
      <c r="SID5" s="1962"/>
      <c r="SIE5" s="1962"/>
      <c r="SIF5" s="1962"/>
      <c r="SIG5" s="1962"/>
      <c r="SIH5" s="1962"/>
      <c r="SII5" s="1962"/>
      <c r="SIJ5" s="1962"/>
      <c r="SIK5" s="1962"/>
      <c r="SIL5" s="1962"/>
      <c r="SIM5" s="1962"/>
      <c r="SIN5" s="1962"/>
      <c r="SIO5" s="1962"/>
      <c r="SIP5" s="1962"/>
      <c r="SIQ5" s="1962"/>
      <c r="SIR5" s="1962"/>
      <c r="SIS5" s="1962"/>
      <c r="SIT5" s="1962"/>
      <c r="SIU5" s="1962"/>
      <c r="SIV5" s="1962"/>
      <c r="SIW5" s="1962"/>
      <c r="SIX5" s="1962"/>
      <c r="SIY5" s="1962"/>
      <c r="SIZ5" s="1962"/>
      <c r="SJA5" s="1962"/>
      <c r="SJB5" s="1962"/>
      <c r="SJC5" s="1962"/>
      <c r="SJD5" s="1962"/>
      <c r="SJE5" s="1962"/>
      <c r="SJF5" s="1962"/>
      <c r="SJG5" s="1962"/>
      <c r="SJH5" s="1962"/>
      <c r="SJI5" s="1962"/>
      <c r="SJJ5" s="1962"/>
      <c r="SJK5" s="1962"/>
      <c r="SJL5" s="1962"/>
      <c r="SJM5" s="1962"/>
      <c r="SJN5" s="1962"/>
      <c r="SJO5" s="1962"/>
      <c r="SJP5" s="1962"/>
      <c r="SJQ5" s="1962"/>
      <c r="SJR5" s="1962"/>
      <c r="SJS5" s="1962"/>
      <c r="SJT5" s="1962"/>
      <c r="SJU5" s="1962"/>
      <c r="SJV5" s="1962"/>
      <c r="SJW5" s="1962"/>
      <c r="SJX5" s="1962"/>
      <c r="SJY5" s="1962"/>
      <c r="SJZ5" s="1962"/>
      <c r="SKA5" s="1962"/>
      <c r="SKB5" s="1962"/>
      <c r="SKC5" s="1962"/>
      <c r="SKD5" s="1962"/>
      <c r="SKE5" s="1962"/>
      <c r="SKF5" s="1962"/>
      <c r="SKG5" s="1962"/>
      <c r="SKH5" s="1962"/>
      <c r="SKI5" s="1962"/>
      <c r="SKJ5" s="1962"/>
      <c r="SKK5" s="1962"/>
      <c r="SKL5" s="1962"/>
      <c r="SKM5" s="1962"/>
      <c r="SKN5" s="1962"/>
      <c r="SKO5" s="1962"/>
      <c r="SKP5" s="1962"/>
      <c r="SKQ5" s="1962"/>
      <c r="SKR5" s="1962"/>
      <c r="SKS5" s="1962"/>
      <c r="SKT5" s="1962"/>
      <c r="SKU5" s="1962"/>
      <c r="SKV5" s="1962"/>
      <c r="SKW5" s="1962"/>
      <c r="SKX5" s="1962"/>
      <c r="SKY5" s="1962"/>
      <c r="SKZ5" s="1962"/>
      <c r="SLA5" s="1962"/>
      <c r="SLB5" s="1962"/>
      <c r="SLC5" s="1962"/>
      <c r="SLD5" s="1962"/>
      <c r="SLE5" s="1962"/>
      <c r="SLF5" s="1962"/>
      <c r="SLG5" s="1962"/>
      <c r="SLH5" s="1962"/>
      <c r="SLI5" s="1962"/>
      <c r="SLJ5" s="1962"/>
      <c r="SLK5" s="1962"/>
      <c r="SLL5" s="1962"/>
      <c r="SLM5" s="1962"/>
      <c r="SLN5" s="1962"/>
      <c r="SLO5" s="1962"/>
      <c r="SLP5" s="1962"/>
      <c r="SLQ5" s="1962"/>
      <c r="SLR5" s="1962"/>
      <c r="SLS5" s="1962"/>
      <c r="SLT5" s="1962"/>
      <c r="SLU5" s="1962"/>
      <c r="SLV5" s="1962"/>
      <c r="SLW5" s="1962"/>
      <c r="SLX5" s="1962"/>
      <c r="SLY5" s="1962"/>
      <c r="SLZ5" s="1962"/>
      <c r="SMA5" s="1962"/>
      <c r="SMB5" s="1962"/>
      <c r="SMC5" s="1962"/>
      <c r="SMD5" s="1962"/>
      <c r="SME5" s="1962"/>
      <c r="SMF5" s="1962"/>
      <c r="SMG5" s="1962"/>
      <c r="SMH5" s="1962"/>
      <c r="SMI5" s="1962"/>
      <c r="SMJ5" s="1962"/>
      <c r="SMK5" s="1962"/>
      <c r="SML5" s="1962"/>
      <c r="SMM5" s="1962"/>
      <c r="SMN5" s="1962"/>
      <c r="SMO5" s="1962"/>
      <c r="SMP5" s="1962"/>
      <c r="SMQ5" s="1962"/>
      <c r="SMR5" s="1962"/>
      <c r="SMS5" s="1962"/>
      <c r="SMT5" s="1962"/>
      <c r="SMU5" s="1962"/>
      <c r="SMV5" s="1962"/>
      <c r="SMW5" s="1962"/>
      <c r="SMX5" s="1962"/>
      <c r="SMY5" s="1962"/>
      <c r="SMZ5" s="1962"/>
      <c r="SNA5" s="1962"/>
      <c r="SNB5" s="1962"/>
      <c r="SNC5" s="1962"/>
      <c r="SND5" s="1962"/>
      <c r="SNE5" s="1962"/>
      <c r="SNF5" s="1962"/>
      <c r="SNG5" s="1962"/>
      <c r="SNH5" s="1962"/>
      <c r="SNI5" s="1962"/>
      <c r="SNJ5" s="1962"/>
      <c r="SNK5" s="1962"/>
      <c r="SNL5" s="1962"/>
      <c r="SNM5" s="1962"/>
      <c r="SNN5" s="1962"/>
      <c r="SNO5" s="1962"/>
      <c r="SNP5" s="1962"/>
      <c r="SNQ5" s="1962"/>
      <c r="SNR5" s="1962"/>
      <c r="SNS5" s="1962"/>
      <c r="SNT5" s="1962"/>
      <c r="SNU5" s="1962"/>
      <c r="SNV5" s="1962"/>
      <c r="SNW5" s="1962"/>
      <c r="SNX5" s="1962"/>
      <c r="SNY5" s="1962"/>
      <c r="SNZ5" s="1962"/>
      <c r="SOA5" s="1962"/>
      <c r="SOB5" s="1962"/>
      <c r="SOC5" s="1962"/>
      <c r="SOD5" s="1962"/>
      <c r="SOE5" s="1962"/>
      <c r="SOF5" s="1962"/>
      <c r="SOG5" s="1962"/>
      <c r="SOH5" s="1962"/>
      <c r="SOI5" s="1962"/>
      <c r="SOJ5" s="1962"/>
      <c r="SOK5" s="1962"/>
      <c r="SOL5" s="1962"/>
      <c r="SOM5" s="1962"/>
      <c r="SON5" s="1962"/>
      <c r="SOO5" s="1962"/>
      <c r="SOP5" s="1962"/>
      <c r="SOQ5" s="1962"/>
      <c r="SOR5" s="1962"/>
      <c r="SOS5" s="1962"/>
      <c r="SOT5" s="1962"/>
      <c r="SOU5" s="1962"/>
      <c r="SOV5" s="1962"/>
      <c r="SOW5" s="1962"/>
      <c r="SOX5" s="1962"/>
      <c r="SOY5" s="1962"/>
      <c r="SOZ5" s="1962"/>
      <c r="SPA5" s="1962"/>
      <c r="SPB5" s="1962"/>
      <c r="SPC5" s="1962"/>
      <c r="SPD5" s="1962"/>
      <c r="SPE5" s="1962"/>
      <c r="SPF5" s="1962"/>
      <c r="SPG5" s="1962"/>
      <c r="SPH5" s="1962"/>
      <c r="SPI5" s="1962"/>
      <c r="SPJ5" s="1962"/>
      <c r="SPK5" s="1962"/>
      <c r="SPL5" s="1962"/>
      <c r="SPM5" s="1962"/>
      <c r="SPN5" s="1962"/>
      <c r="SPO5" s="1962"/>
      <c r="SPP5" s="1962"/>
      <c r="SPQ5" s="1962"/>
      <c r="SPR5" s="1962"/>
      <c r="SPS5" s="1962"/>
      <c r="SPT5" s="1962"/>
      <c r="SPU5" s="1962"/>
      <c r="SPV5" s="1962"/>
      <c r="SPW5" s="1962"/>
      <c r="SPX5" s="1962"/>
      <c r="SPY5" s="1962"/>
      <c r="SPZ5" s="1962"/>
      <c r="SQA5" s="1962"/>
      <c r="SQB5" s="1962"/>
      <c r="SQC5" s="1962"/>
      <c r="SQD5" s="1962"/>
      <c r="SQE5" s="1962"/>
      <c r="SQF5" s="1962"/>
      <c r="SQG5" s="1962"/>
      <c r="SQH5" s="1962"/>
      <c r="SQI5" s="1962"/>
      <c r="SQJ5" s="1962"/>
      <c r="SQK5" s="1962"/>
      <c r="SQL5" s="1962"/>
      <c r="SQM5" s="1962"/>
      <c r="SQN5" s="1962"/>
      <c r="SQO5" s="1962"/>
      <c r="SQP5" s="1962"/>
      <c r="SQQ5" s="1962"/>
      <c r="SQR5" s="1962"/>
      <c r="SQS5" s="1962"/>
      <c r="SQT5" s="1962"/>
      <c r="SQU5" s="1962"/>
      <c r="SQV5" s="1962"/>
      <c r="SQW5" s="1962"/>
      <c r="SQX5" s="1962"/>
      <c r="SQY5" s="1962"/>
      <c r="SQZ5" s="1962"/>
      <c r="SRA5" s="1962"/>
      <c r="SRB5" s="1962"/>
      <c r="SRC5" s="1962"/>
      <c r="SRD5" s="1962"/>
      <c r="SRE5" s="1962"/>
      <c r="SRF5" s="1962"/>
      <c r="SRG5" s="1962"/>
      <c r="SRH5" s="1962"/>
      <c r="SRI5" s="1962"/>
      <c r="SRJ5" s="1962"/>
      <c r="SRK5" s="1962"/>
      <c r="SRL5" s="1962"/>
      <c r="SRM5" s="1962"/>
      <c r="SRN5" s="1962"/>
      <c r="SRO5" s="1962"/>
      <c r="SRP5" s="1962"/>
      <c r="SRQ5" s="1962"/>
      <c r="SRR5" s="1962"/>
      <c r="SRS5" s="1962"/>
      <c r="SRT5" s="1962"/>
      <c r="SRU5" s="1962"/>
      <c r="SRV5" s="1962"/>
      <c r="SRW5" s="1962"/>
      <c r="SRX5" s="1962"/>
      <c r="SRY5" s="1962"/>
      <c r="SRZ5" s="1962"/>
      <c r="SSA5" s="1962"/>
      <c r="SSB5" s="1962"/>
      <c r="SSC5" s="1962"/>
      <c r="SSD5" s="1962"/>
      <c r="SSE5" s="1962"/>
      <c r="SSF5" s="1962"/>
      <c r="SSG5" s="1962"/>
      <c r="SSH5" s="1962"/>
      <c r="SSI5" s="1962"/>
      <c r="SSJ5" s="1962"/>
      <c r="SSK5" s="1962"/>
      <c r="SSL5" s="1962"/>
      <c r="SSM5" s="1962"/>
      <c r="SSN5" s="1962"/>
      <c r="SSO5" s="1962"/>
      <c r="SSP5" s="1962"/>
      <c r="SSQ5" s="1962"/>
      <c r="SSR5" s="1962"/>
      <c r="SSS5" s="1962"/>
      <c r="SST5" s="1962"/>
      <c r="SSU5" s="1962"/>
      <c r="SSV5" s="1962"/>
      <c r="SSW5" s="1962"/>
      <c r="SSX5" s="1962"/>
      <c r="SSY5" s="1962"/>
      <c r="SSZ5" s="1962"/>
      <c r="STA5" s="1962"/>
      <c r="STB5" s="1962"/>
      <c r="STC5" s="1962"/>
      <c r="STD5" s="1962"/>
      <c r="STE5" s="1962"/>
      <c r="STF5" s="1962"/>
      <c r="STG5" s="1962"/>
      <c r="STH5" s="1962"/>
      <c r="STI5" s="1962"/>
      <c r="STJ5" s="1962"/>
      <c r="STK5" s="1962"/>
      <c r="STL5" s="1962"/>
      <c r="STM5" s="1962"/>
      <c r="STN5" s="1962"/>
      <c r="STO5" s="1962"/>
      <c r="STP5" s="1962"/>
      <c r="STQ5" s="1962"/>
      <c r="STR5" s="1962"/>
      <c r="STS5" s="1962"/>
      <c r="STT5" s="1962"/>
      <c r="STU5" s="1962"/>
      <c r="STV5" s="1962"/>
      <c r="STW5" s="1962"/>
      <c r="STX5" s="1962"/>
      <c r="STY5" s="1962"/>
      <c r="STZ5" s="1962"/>
      <c r="SUA5" s="1962"/>
      <c r="SUB5" s="1962"/>
      <c r="SUC5" s="1962"/>
      <c r="SUD5" s="1962"/>
      <c r="SUE5" s="1962"/>
      <c r="SUF5" s="1962"/>
      <c r="SUG5" s="1962"/>
      <c r="SUH5" s="1962"/>
      <c r="SUI5" s="1962"/>
      <c r="SUJ5" s="1962"/>
      <c r="SUK5" s="1962"/>
      <c r="SUL5" s="1962"/>
      <c r="SUM5" s="1962"/>
      <c r="SUN5" s="1962"/>
      <c r="SUO5" s="1962"/>
      <c r="SUP5" s="1962"/>
      <c r="SUQ5" s="1962"/>
      <c r="SUR5" s="1962"/>
      <c r="SUS5" s="1962"/>
      <c r="SUT5" s="1962"/>
      <c r="SUU5" s="1962"/>
      <c r="SUV5" s="1962"/>
      <c r="SUW5" s="1962"/>
      <c r="SUX5" s="1962"/>
      <c r="SUY5" s="1962"/>
      <c r="SUZ5" s="1962"/>
      <c r="SVA5" s="1962"/>
      <c r="SVB5" s="1962"/>
      <c r="SVC5" s="1962"/>
      <c r="SVD5" s="1962"/>
      <c r="SVE5" s="1962"/>
      <c r="SVF5" s="1962"/>
      <c r="SVG5" s="1962"/>
      <c r="SVH5" s="1962"/>
      <c r="SVI5" s="1962"/>
      <c r="SVJ5" s="1962"/>
      <c r="SVK5" s="1962"/>
      <c r="SVL5" s="1962"/>
      <c r="SVM5" s="1962"/>
      <c r="SVN5" s="1962"/>
      <c r="SVO5" s="1962"/>
      <c r="SVP5" s="1962"/>
      <c r="SVQ5" s="1962"/>
      <c r="SVR5" s="1962"/>
      <c r="SVS5" s="1962"/>
      <c r="SVT5" s="1962"/>
      <c r="SVU5" s="1962"/>
      <c r="SVV5" s="1962"/>
      <c r="SVW5" s="1962"/>
      <c r="SVX5" s="1962"/>
      <c r="SVY5" s="1962"/>
      <c r="SVZ5" s="1962"/>
      <c r="SWA5" s="1962"/>
      <c r="SWB5" s="1962"/>
      <c r="SWC5" s="1962"/>
      <c r="SWD5" s="1962"/>
      <c r="SWE5" s="1962"/>
      <c r="SWF5" s="1962"/>
      <c r="SWG5" s="1962"/>
      <c r="SWH5" s="1962"/>
      <c r="SWI5" s="1962"/>
      <c r="SWJ5" s="1962"/>
      <c r="SWK5" s="1962"/>
      <c r="SWL5" s="1962"/>
      <c r="SWM5" s="1962"/>
      <c r="SWN5" s="1962"/>
      <c r="SWO5" s="1962"/>
      <c r="SWP5" s="1962"/>
      <c r="SWQ5" s="1962"/>
      <c r="SWR5" s="1962"/>
      <c r="SWS5" s="1962"/>
      <c r="SWT5" s="1962"/>
      <c r="SWU5" s="1962"/>
      <c r="SWV5" s="1962"/>
      <c r="SWW5" s="1962"/>
      <c r="SWX5" s="1962"/>
      <c r="SWY5" s="1962"/>
      <c r="SWZ5" s="1962"/>
      <c r="SXA5" s="1962"/>
      <c r="SXB5" s="1962"/>
      <c r="SXC5" s="1962"/>
      <c r="SXD5" s="1962"/>
      <c r="SXE5" s="1962"/>
      <c r="SXF5" s="1962"/>
      <c r="SXG5" s="1962"/>
      <c r="SXH5" s="1962"/>
      <c r="SXI5" s="1962"/>
      <c r="SXJ5" s="1962"/>
      <c r="SXK5" s="1962"/>
      <c r="SXL5" s="1962"/>
      <c r="SXM5" s="1962"/>
      <c r="SXN5" s="1962"/>
      <c r="SXO5" s="1962"/>
      <c r="SXP5" s="1962"/>
      <c r="SXQ5" s="1962"/>
      <c r="SXR5" s="1962"/>
      <c r="SXS5" s="1962"/>
      <c r="SXT5" s="1962"/>
      <c r="SXU5" s="1962"/>
      <c r="SXV5" s="1962"/>
      <c r="SXW5" s="1962"/>
      <c r="SXX5" s="1962"/>
      <c r="SXY5" s="1962"/>
      <c r="SXZ5" s="1962"/>
      <c r="SYA5" s="1962"/>
      <c r="SYB5" s="1962"/>
      <c r="SYC5" s="1962"/>
      <c r="SYD5" s="1962"/>
      <c r="SYE5" s="1962"/>
      <c r="SYF5" s="1962"/>
      <c r="SYG5" s="1962"/>
      <c r="SYH5" s="1962"/>
      <c r="SYI5" s="1962"/>
      <c r="SYJ5" s="1962"/>
      <c r="SYK5" s="1962"/>
      <c r="SYL5" s="1962"/>
      <c r="SYM5" s="1962"/>
      <c r="SYN5" s="1962"/>
      <c r="SYO5" s="1962"/>
      <c r="SYP5" s="1962"/>
      <c r="SYQ5" s="1962"/>
      <c r="SYR5" s="1962"/>
      <c r="SYS5" s="1962"/>
      <c r="SYT5" s="1962"/>
      <c r="SYU5" s="1962"/>
      <c r="SYV5" s="1962"/>
      <c r="SYW5" s="1962"/>
      <c r="SYX5" s="1962"/>
      <c r="SYY5" s="1962"/>
      <c r="SYZ5" s="1962"/>
      <c r="SZA5" s="1962"/>
      <c r="SZB5" s="1962"/>
      <c r="SZC5" s="1962"/>
      <c r="SZD5" s="1962"/>
      <c r="SZE5" s="1962"/>
      <c r="SZF5" s="1962"/>
      <c r="SZG5" s="1962"/>
      <c r="SZH5" s="1962"/>
      <c r="SZI5" s="1962"/>
      <c r="SZJ5" s="1962"/>
      <c r="SZK5" s="1962"/>
      <c r="SZL5" s="1962"/>
      <c r="SZM5" s="1962"/>
      <c r="SZN5" s="1962"/>
      <c r="SZO5" s="1962"/>
      <c r="SZP5" s="1962"/>
      <c r="SZQ5" s="1962"/>
      <c r="SZR5" s="1962"/>
      <c r="SZS5" s="1962"/>
      <c r="SZT5" s="1962"/>
      <c r="SZU5" s="1962"/>
      <c r="SZV5" s="1962"/>
      <c r="SZW5" s="1962"/>
      <c r="SZX5" s="1962"/>
      <c r="SZY5" s="1962"/>
      <c r="SZZ5" s="1962"/>
      <c r="TAA5" s="1962"/>
      <c r="TAB5" s="1962"/>
      <c r="TAC5" s="1962"/>
      <c r="TAD5" s="1962"/>
      <c r="TAE5" s="1962"/>
      <c r="TAF5" s="1962"/>
      <c r="TAG5" s="1962"/>
      <c r="TAH5" s="1962"/>
      <c r="TAI5" s="1962"/>
      <c r="TAJ5" s="1962"/>
      <c r="TAK5" s="1962"/>
      <c r="TAL5" s="1962"/>
      <c r="TAM5" s="1962"/>
      <c r="TAN5" s="1962"/>
      <c r="TAO5" s="1962"/>
      <c r="TAP5" s="1962"/>
      <c r="TAQ5" s="1962"/>
      <c r="TAR5" s="1962"/>
      <c r="TAS5" s="1962"/>
      <c r="TAT5" s="1962"/>
      <c r="TAU5" s="1962"/>
      <c r="TAV5" s="1962"/>
      <c r="TAW5" s="1962"/>
      <c r="TAX5" s="1962"/>
      <c r="TAY5" s="1962"/>
      <c r="TAZ5" s="1962"/>
      <c r="TBA5" s="1962"/>
      <c r="TBB5" s="1962"/>
      <c r="TBC5" s="1962"/>
      <c r="TBD5" s="1962"/>
      <c r="TBE5" s="1962"/>
      <c r="TBF5" s="1962"/>
      <c r="TBG5" s="1962"/>
      <c r="TBH5" s="1962"/>
      <c r="TBI5" s="1962"/>
      <c r="TBJ5" s="1962"/>
      <c r="TBK5" s="1962"/>
      <c r="TBL5" s="1962"/>
      <c r="TBM5" s="1962"/>
      <c r="TBN5" s="1962"/>
      <c r="TBO5" s="1962"/>
      <c r="TBP5" s="1962"/>
      <c r="TBQ5" s="1962"/>
      <c r="TBR5" s="1962"/>
      <c r="TBS5" s="1962"/>
      <c r="TBT5" s="1962"/>
      <c r="TBU5" s="1962"/>
      <c r="TBV5" s="1962"/>
      <c r="TBW5" s="1962"/>
      <c r="TBX5" s="1962"/>
      <c r="TBY5" s="1962"/>
      <c r="TBZ5" s="1962"/>
      <c r="TCA5" s="1962"/>
      <c r="TCB5" s="1962"/>
      <c r="TCC5" s="1962"/>
      <c r="TCD5" s="1962"/>
      <c r="TCE5" s="1962"/>
      <c r="TCF5" s="1962"/>
      <c r="TCG5" s="1962"/>
      <c r="TCH5" s="1962"/>
      <c r="TCI5" s="1962"/>
      <c r="TCJ5" s="1962"/>
      <c r="TCK5" s="1962"/>
      <c r="TCL5" s="1962"/>
      <c r="TCM5" s="1962"/>
      <c r="TCN5" s="1962"/>
      <c r="TCO5" s="1962"/>
      <c r="TCP5" s="1962"/>
      <c r="TCQ5" s="1962"/>
      <c r="TCR5" s="1962"/>
      <c r="TCS5" s="1962"/>
      <c r="TCT5" s="1962"/>
      <c r="TCU5" s="1962"/>
      <c r="TCV5" s="1962"/>
      <c r="TCW5" s="1962"/>
      <c r="TCX5" s="1962"/>
      <c r="TCY5" s="1962"/>
      <c r="TCZ5" s="1962"/>
      <c r="TDA5" s="1962"/>
      <c r="TDB5" s="1962"/>
      <c r="TDC5" s="1962"/>
      <c r="TDD5" s="1962"/>
      <c r="TDE5" s="1962"/>
      <c r="TDF5" s="1962"/>
      <c r="TDG5" s="1962"/>
      <c r="TDH5" s="1962"/>
      <c r="TDI5" s="1962"/>
      <c r="TDJ5" s="1962"/>
      <c r="TDK5" s="1962"/>
      <c r="TDL5" s="1962"/>
      <c r="TDM5" s="1962"/>
      <c r="TDN5" s="1962"/>
      <c r="TDO5" s="1962"/>
      <c r="TDP5" s="1962"/>
      <c r="TDQ5" s="1962"/>
      <c r="TDR5" s="1962"/>
      <c r="TDS5" s="1962"/>
      <c r="TDT5" s="1962"/>
      <c r="TDU5" s="1962"/>
      <c r="TDV5" s="1962"/>
      <c r="TDW5" s="1962"/>
      <c r="TDX5" s="1962"/>
      <c r="TDY5" s="1962"/>
      <c r="TDZ5" s="1962"/>
      <c r="TEA5" s="1962"/>
      <c r="TEB5" s="1962"/>
      <c r="TEC5" s="1962"/>
      <c r="TED5" s="1962"/>
      <c r="TEE5" s="1962"/>
      <c r="TEF5" s="1962"/>
      <c r="TEG5" s="1962"/>
      <c r="TEH5" s="1962"/>
      <c r="TEI5" s="1962"/>
      <c r="TEJ5" s="1962"/>
      <c r="TEK5" s="1962"/>
      <c r="TEL5" s="1962"/>
      <c r="TEM5" s="1962"/>
      <c r="TEN5" s="1962"/>
      <c r="TEO5" s="1962"/>
      <c r="TEP5" s="1962"/>
      <c r="TEQ5" s="1962"/>
      <c r="TER5" s="1962"/>
      <c r="TES5" s="1962"/>
      <c r="TET5" s="1962"/>
      <c r="TEU5" s="1962"/>
      <c r="TEV5" s="1962"/>
      <c r="TEW5" s="1962"/>
      <c r="TEX5" s="1962"/>
      <c r="TEY5" s="1962"/>
      <c r="TEZ5" s="1962"/>
      <c r="TFA5" s="1962"/>
      <c r="TFB5" s="1962"/>
      <c r="TFC5" s="1962"/>
      <c r="TFD5" s="1962"/>
      <c r="TFE5" s="1962"/>
      <c r="TFF5" s="1962"/>
      <c r="TFG5" s="1962"/>
      <c r="TFH5" s="1962"/>
      <c r="TFI5" s="1962"/>
      <c r="TFJ5" s="1962"/>
      <c r="TFK5" s="1962"/>
      <c r="TFL5" s="1962"/>
      <c r="TFM5" s="1962"/>
      <c r="TFN5" s="1962"/>
      <c r="TFO5" s="1962"/>
      <c r="TFP5" s="1962"/>
      <c r="TFQ5" s="1962"/>
      <c r="TFR5" s="1962"/>
      <c r="TFS5" s="1962"/>
      <c r="TFT5" s="1962"/>
      <c r="TFU5" s="1962"/>
      <c r="TFV5" s="1962"/>
      <c r="TFW5" s="1962"/>
      <c r="TFX5" s="1962"/>
      <c r="TFY5" s="1962"/>
      <c r="TFZ5" s="1962"/>
      <c r="TGA5" s="1962"/>
      <c r="TGB5" s="1962"/>
      <c r="TGC5" s="1962"/>
      <c r="TGD5" s="1962"/>
      <c r="TGE5" s="1962"/>
      <c r="TGF5" s="1962"/>
      <c r="TGG5" s="1962"/>
      <c r="TGH5" s="1962"/>
      <c r="TGI5" s="1962"/>
      <c r="TGJ5" s="1962"/>
      <c r="TGK5" s="1962"/>
      <c r="TGL5" s="1962"/>
      <c r="TGM5" s="1962"/>
      <c r="TGN5" s="1962"/>
      <c r="TGO5" s="1962"/>
      <c r="TGP5" s="1962"/>
      <c r="TGQ5" s="1962"/>
      <c r="TGR5" s="1962"/>
      <c r="TGS5" s="1962"/>
      <c r="TGT5" s="1962"/>
      <c r="TGU5" s="1962"/>
      <c r="TGV5" s="1962"/>
      <c r="TGW5" s="1962"/>
      <c r="TGX5" s="1962"/>
      <c r="TGY5" s="1962"/>
      <c r="TGZ5" s="1962"/>
      <c r="THA5" s="1962"/>
      <c r="THB5" s="1962"/>
      <c r="THC5" s="1962"/>
      <c r="THD5" s="1962"/>
      <c r="THE5" s="1962"/>
      <c r="THF5" s="1962"/>
      <c r="THG5" s="1962"/>
      <c r="THH5" s="1962"/>
      <c r="THI5" s="1962"/>
      <c r="THJ5" s="1962"/>
      <c r="THK5" s="1962"/>
      <c r="THL5" s="1962"/>
      <c r="THM5" s="1962"/>
      <c r="THN5" s="1962"/>
      <c r="THO5" s="1962"/>
      <c r="THP5" s="1962"/>
      <c r="THQ5" s="1962"/>
      <c r="THR5" s="1962"/>
      <c r="THS5" s="1962"/>
      <c r="THT5" s="1962"/>
      <c r="THU5" s="1962"/>
      <c r="THV5" s="1962"/>
      <c r="THW5" s="1962"/>
      <c r="THX5" s="1962"/>
      <c r="THY5" s="1962"/>
      <c r="THZ5" s="1962"/>
      <c r="TIA5" s="1962"/>
      <c r="TIB5" s="1962"/>
      <c r="TIC5" s="1962"/>
      <c r="TID5" s="1962"/>
      <c r="TIE5" s="1962"/>
      <c r="TIF5" s="1962"/>
      <c r="TIG5" s="1962"/>
      <c r="TIH5" s="1962"/>
      <c r="TII5" s="1962"/>
      <c r="TIJ5" s="1962"/>
      <c r="TIK5" s="1962"/>
      <c r="TIL5" s="1962"/>
      <c r="TIM5" s="1962"/>
      <c r="TIN5" s="1962"/>
      <c r="TIO5" s="1962"/>
      <c r="TIP5" s="1962"/>
      <c r="TIQ5" s="1962"/>
      <c r="TIR5" s="1962"/>
      <c r="TIS5" s="1962"/>
      <c r="TIT5" s="1962"/>
      <c r="TIU5" s="1962"/>
      <c r="TIV5" s="1962"/>
      <c r="TIW5" s="1962"/>
      <c r="TIX5" s="1962"/>
      <c r="TIY5" s="1962"/>
      <c r="TIZ5" s="1962"/>
      <c r="TJA5" s="1962"/>
      <c r="TJB5" s="1962"/>
      <c r="TJC5" s="1962"/>
      <c r="TJD5" s="1962"/>
      <c r="TJE5" s="1962"/>
      <c r="TJF5" s="1962"/>
      <c r="TJG5" s="1962"/>
      <c r="TJH5" s="1962"/>
      <c r="TJI5" s="1962"/>
      <c r="TJJ5" s="1962"/>
      <c r="TJK5" s="1962"/>
      <c r="TJL5" s="1962"/>
      <c r="TJM5" s="1962"/>
      <c r="TJN5" s="1962"/>
      <c r="TJO5" s="1962"/>
      <c r="TJP5" s="1962"/>
      <c r="TJQ5" s="1962"/>
      <c r="TJR5" s="1962"/>
      <c r="TJS5" s="1962"/>
      <c r="TJT5" s="1962"/>
      <c r="TJU5" s="1962"/>
      <c r="TJV5" s="1962"/>
      <c r="TJW5" s="1962"/>
      <c r="TJX5" s="1962"/>
      <c r="TJY5" s="1962"/>
      <c r="TJZ5" s="1962"/>
      <c r="TKA5" s="1962"/>
      <c r="TKB5" s="1962"/>
      <c r="TKC5" s="1962"/>
      <c r="TKD5" s="1962"/>
      <c r="TKE5" s="1962"/>
      <c r="TKF5" s="1962"/>
      <c r="TKG5" s="1962"/>
      <c r="TKH5" s="1962"/>
      <c r="TKI5" s="1962"/>
      <c r="TKJ5" s="1962"/>
      <c r="TKK5" s="1962"/>
      <c r="TKL5" s="1962"/>
      <c r="TKM5" s="1962"/>
      <c r="TKN5" s="1962"/>
      <c r="TKO5" s="1962"/>
      <c r="TKP5" s="1962"/>
      <c r="TKQ5" s="1962"/>
      <c r="TKR5" s="1962"/>
      <c r="TKS5" s="1962"/>
      <c r="TKT5" s="1962"/>
      <c r="TKU5" s="1962"/>
      <c r="TKV5" s="1962"/>
      <c r="TKW5" s="1962"/>
      <c r="TKX5" s="1962"/>
      <c r="TKY5" s="1962"/>
      <c r="TKZ5" s="1962"/>
      <c r="TLA5" s="1962"/>
      <c r="TLB5" s="1962"/>
      <c r="TLC5" s="1962"/>
      <c r="TLD5" s="1962"/>
      <c r="TLE5" s="1962"/>
      <c r="TLF5" s="1962"/>
      <c r="TLG5" s="1962"/>
      <c r="TLH5" s="1962"/>
      <c r="TLI5" s="1962"/>
      <c r="TLJ5" s="1962"/>
      <c r="TLK5" s="1962"/>
      <c r="TLL5" s="1962"/>
      <c r="TLM5" s="1962"/>
      <c r="TLN5" s="1962"/>
      <c r="TLO5" s="1962"/>
      <c r="TLP5" s="1962"/>
      <c r="TLQ5" s="1962"/>
      <c r="TLR5" s="1962"/>
      <c r="TLS5" s="1962"/>
      <c r="TLT5" s="1962"/>
      <c r="TLU5" s="1962"/>
      <c r="TLV5" s="1962"/>
      <c r="TLW5" s="1962"/>
      <c r="TLX5" s="1962"/>
      <c r="TLY5" s="1962"/>
      <c r="TLZ5" s="1962"/>
      <c r="TMA5" s="1962"/>
      <c r="TMB5" s="1962"/>
      <c r="TMC5" s="1962"/>
      <c r="TMD5" s="1962"/>
      <c r="TME5" s="1962"/>
      <c r="TMF5" s="1962"/>
      <c r="TMG5" s="1962"/>
      <c r="TMH5" s="1962"/>
      <c r="TMI5" s="1962"/>
      <c r="TMJ5" s="1962"/>
      <c r="TMK5" s="1962"/>
      <c r="TML5" s="1962"/>
      <c r="TMM5" s="1962"/>
      <c r="TMN5" s="1962"/>
      <c r="TMO5" s="1962"/>
      <c r="TMP5" s="1962"/>
      <c r="TMQ5" s="1962"/>
      <c r="TMR5" s="1962"/>
      <c r="TMS5" s="1962"/>
      <c r="TMT5" s="1962"/>
      <c r="TMU5" s="1962"/>
      <c r="TMV5" s="1962"/>
      <c r="TMW5" s="1962"/>
      <c r="TMX5" s="1962"/>
      <c r="TMY5" s="1962"/>
      <c r="TMZ5" s="1962"/>
      <c r="TNA5" s="1962"/>
      <c r="TNB5" s="1962"/>
      <c r="TNC5" s="1962"/>
      <c r="TND5" s="1962"/>
      <c r="TNE5" s="1962"/>
      <c r="TNF5" s="1962"/>
      <c r="TNG5" s="1962"/>
      <c r="TNH5" s="1962"/>
      <c r="TNI5" s="1962"/>
      <c r="TNJ5" s="1962"/>
      <c r="TNK5" s="1962"/>
      <c r="TNL5" s="1962"/>
      <c r="TNM5" s="1962"/>
      <c r="TNN5" s="1962"/>
      <c r="TNO5" s="1962"/>
      <c r="TNP5" s="1962"/>
      <c r="TNQ5" s="1962"/>
      <c r="TNR5" s="1962"/>
      <c r="TNS5" s="1962"/>
      <c r="TNT5" s="1962"/>
      <c r="TNU5" s="1962"/>
      <c r="TNV5" s="1962"/>
      <c r="TNW5" s="1962"/>
      <c r="TNX5" s="1962"/>
      <c r="TNY5" s="1962"/>
      <c r="TNZ5" s="1962"/>
      <c r="TOA5" s="1962"/>
      <c r="TOB5" s="1962"/>
      <c r="TOC5" s="1962"/>
      <c r="TOD5" s="1962"/>
      <c r="TOE5" s="1962"/>
      <c r="TOF5" s="1962"/>
      <c r="TOG5" s="1962"/>
      <c r="TOH5" s="1962"/>
      <c r="TOI5" s="1962"/>
      <c r="TOJ5" s="1962"/>
      <c r="TOK5" s="1962"/>
      <c r="TOL5" s="1962"/>
      <c r="TOM5" s="1962"/>
      <c r="TON5" s="1962"/>
      <c r="TOO5" s="1962"/>
      <c r="TOP5" s="1962"/>
      <c r="TOQ5" s="1962"/>
      <c r="TOR5" s="1962"/>
      <c r="TOS5" s="1962"/>
      <c r="TOT5" s="1962"/>
      <c r="TOU5" s="1962"/>
      <c r="TOV5" s="1962"/>
      <c r="TOW5" s="1962"/>
      <c r="TOX5" s="1962"/>
      <c r="TOY5" s="1962"/>
      <c r="TOZ5" s="1962"/>
      <c r="TPA5" s="1962"/>
      <c r="TPB5" s="1962"/>
      <c r="TPC5" s="1962"/>
      <c r="TPD5" s="1962"/>
      <c r="TPE5" s="1962"/>
      <c r="TPF5" s="1962"/>
      <c r="TPG5" s="1962"/>
      <c r="TPH5" s="1962"/>
      <c r="TPI5" s="1962"/>
      <c r="TPJ5" s="1962"/>
      <c r="TPK5" s="1962"/>
      <c r="TPL5" s="1962"/>
      <c r="TPM5" s="1962"/>
      <c r="TPN5" s="1962"/>
      <c r="TPO5" s="1962"/>
      <c r="TPP5" s="1962"/>
      <c r="TPQ5" s="1962"/>
      <c r="TPR5" s="1962"/>
      <c r="TPS5" s="1962"/>
      <c r="TPT5" s="1962"/>
      <c r="TPU5" s="1962"/>
      <c r="TPV5" s="1962"/>
      <c r="TPW5" s="1962"/>
      <c r="TPX5" s="1962"/>
      <c r="TPY5" s="1962"/>
      <c r="TPZ5" s="1962"/>
      <c r="TQA5" s="1962"/>
      <c r="TQB5" s="1962"/>
      <c r="TQC5" s="1962"/>
      <c r="TQD5" s="1962"/>
      <c r="TQE5" s="1962"/>
      <c r="TQF5" s="1962"/>
      <c r="TQG5" s="1962"/>
      <c r="TQH5" s="1962"/>
      <c r="TQI5" s="1962"/>
      <c r="TQJ5" s="1962"/>
      <c r="TQK5" s="1962"/>
      <c r="TQL5" s="1962"/>
      <c r="TQM5" s="1962"/>
      <c r="TQN5" s="1962"/>
      <c r="TQO5" s="1962"/>
      <c r="TQP5" s="1962"/>
      <c r="TQQ5" s="1962"/>
      <c r="TQR5" s="1962"/>
      <c r="TQS5" s="1962"/>
      <c r="TQT5" s="1962"/>
      <c r="TQU5" s="1962"/>
      <c r="TQV5" s="1962"/>
      <c r="TQW5" s="1962"/>
      <c r="TQX5" s="1962"/>
      <c r="TQY5" s="1962"/>
      <c r="TQZ5" s="1962"/>
      <c r="TRA5" s="1962"/>
      <c r="TRB5" s="1962"/>
      <c r="TRC5" s="1962"/>
      <c r="TRD5" s="1962"/>
      <c r="TRE5" s="1962"/>
      <c r="TRF5" s="1962"/>
      <c r="TRG5" s="1962"/>
      <c r="TRH5" s="1962"/>
      <c r="TRI5" s="1962"/>
      <c r="TRJ5" s="1962"/>
      <c r="TRK5" s="1962"/>
      <c r="TRL5" s="1962"/>
      <c r="TRM5" s="1962"/>
      <c r="TRN5" s="1962"/>
      <c r="TRO5" s="1962"/>
      <c r="TRP5" s="1962"/>
      <c r="TRQ5" s="1962"/>
      <c r="TRR5" s="1962"/>
      <c r="TRS5" s="1962"/>
      <c r="TRT5" s="1962"/>
      <c r="TRU5" s="1962"/>
      <c r="TRV5" s="1962"/>
      <c r="TRW5" s="1962"/>
      <c r="TRX5" s="1962"/>
      <c r="TRY5" s="1962"/>
      <c r="TRZ5" s="1962"/>
      <c r="TSA5" s="1962"/>
      <c r="TSB5" s="1962"/>
      <c r="TSC5" s="1962"/>
      <c r="TSD5" s="1962"/>
      <c r="TSE5" s="1962"/>
      <c r="TSF5" s="1962"/>
      <c r="TSG5" s="1962"/>
      <c r="TSH5" s="1962"/>
      <c r="TSI5" s="1962"/>
      <c r="TSJ5" s="1962"/>
      <c r="TSK5" s="1962"/>
      <c r="TSL5" s="1962"/>
      <c r="TSM5" s="1962"/>
      <c r="TSN5" s="1962"/>
      <c r="TSO5" s="1962"/>
      <c r="TSP5" s="1962"/>
      <c r="TSQ5" s="1962"/>
      <c r="TSR5" s="1962"/>
      <c r="TSS5" s="1962"/>
      <c r="TST5" s="1962"/>
      <c r="TSU5" s="1962"/>
      <c r="TSV5" s="1962"/>
      <c r="TSW5" s="1962"/>
      <c r="TSX5" s="1962"/>
      <c r="TSY5" s="1962"/>
      <c r="TSZ5" s="1962"/>
      <c r="TTA5" s="1962"/>
      <c r="TTB5" s="1962"/>
      <c r="TTC5" s="1962"/>
      <c r="TTD5" s="1962"/>
      <c r="TTE5" s="1962"/>
      <c r="TTF5" s="1962"/>
      <c r="TTG5" s="1962"/>
      <c r="TTH5" s="1962"/>
      <c r="TTI5" s="1962"/>
      <c r="TTJ5" s="1962"/>
      <c r="TTK5" s="1962"/>
      <c r="TTL5" s="1962"/>
      <c r="TTM5" s="1962"/>
      <c r="TTN5" s="1962"/>
      <c r="TTO5" s="1962"/>
      <c r="TTP5" s="1962"/>
      <c r="TTQ5" s="1962"/>
      <c r="TTR5" s="1962"/>
      <c r="TTS5" s="1962"/>
      <c r="TTT5" s="1962"/>
      <c r="TTU5" s="1962"/>
      <c r="TTV5" s="1962"/>
      <c r="TTW5" s="1962"/>
      <c r="TTX5" s="1962"/>
      <c r="TTY5" s="1962"/>
      <c r="TTZ5" s="1962"/>
      <c r="TUA5" s="1962"/>
      <c r="TUB5" s="1962"/>
      <c r="TUC5" s="1962"/>
      <c r="TUD5" s="1962"/>
      <c r="TUE5" s="1962"/>
      <c r="TUF5" s="1962"/>
      <c r="TUG5" s="1962"/>
      <c r="TUH5" s="1962"/>
      <c r="TUI5" s="1962"/>
      <c r="TUJ5" s="1962"/>
      <c r="TUK5" s="1962"/>
      <c r="TUL5" s="1962"/>
      <c r="TUM5" s="1962"/>
      <c r="TUN5" s="1962"/>
      <c r="TUO5" s="1962"/>
      <c r="TUP5" s="1962"/>
      <c r="TUQ5" s="1962"/>
      <c r="TUR5" s="1962"/>
      <c r="TUS5" s="1962"/>
      <c r="TUT5" s="1962"/>
      <c r="TUU5" s="1962"/>
      <c r="TUV5" s="1962"/>
      <c r="TUW5" s="1962"/>
      <c r="TUX5" s="1962"/>
      <c r="TUY5" s="1962"/>
      <c r="TUZ5" s="1962"/>
      <c r="TVA5" s="1962"/>
      <c r="TVB5" s="1962"/>
      <c r="TVC5" s="1962"/>
      <c r="TVD5" s="1962"/>
      <c r="TVE5" s="1962"/>
      <c r="TVF5" s="1962"/>
      <c r="TVG5" s="1962"/>
      <c r="TVH5" s="1962"/>
      <c r="TVI5" s="1962"/>
      <c r="TVJ5" s="1962"/>
      <c r="TVK5" s="1962"/>
      <c r="TVL5" s="1962"/>
      <c r="TVM5" s="1962"/>
      <c r="TVN5" s="1962"/>
      <c r="TVO5" s="1962"/>
      <c r="TVP5" s="1962"/>
      <c r="TVQ5" s="1962"/>
      <c r="TVR5" s="1962"/>
      <c r="TVS5" s="1962"/>
      <c r="TVT5" s="1962"/>
      <c r="TVU5" s="1962"/>
      <c r="TVV5" s="1962"/>
      <c r="TVW5" s="1962"/>
      <c r="TVX5" s="1962"/>
      <c r="TVY5" s="1962"/>
      <c r="TVZ5" s="1962"/>
      <c r="TWA5" s="1962"/>
      <c r="TWB5" s="1962"/>
      <c r="TWC5" s="1962"/>
      <c r="TWD5" s="1962"/>
      <c r="TWE5" s="1962"/>
      <c r="TWF5" s="1962"/>
      <c r="TWG5" s="1962"/>
      <c r="TWH5" s="1962"/>
      <c r="TWI5" s="1962"/>
      <c r="TWJ5" s="1962"/>
      <c r="TWK5" s="1962"/>
      <c r="TWL5" s="1962"/>
      <c r="TWM5" s="1962"/>
      <c r="TWN5" s="1962"/>
      <c r="TWO5" s="1962"/>
      <c r="TWP5" s="1962"/>
      <c r="TWQ5" s="1962"/>
      <c r="TWR5" s="1962"/>
      <c r="TWS5" s="1962"/>
      <c r="TWT5" s="1962"/>
      <c r="TWU5" s="1962"/>
      <c r="TWV5" s="1962"/>
      <c r="TWW5" s="1962"/>
      <c r="TWX5" s="1962"/>
      <c r="TWY5" s="1962"/>
      <c r="TWZ5" s="1962"/>
      <c r="TXA5" s="1962"/>
      <c r="TXB5" s="1962"/>
      <c r="TXC5" s="1962"/>
      <c r="TXD5" s="1962"/>
      <c r="TXE5" s="1962"/>
      <c r="TXF5" s="1962"/>
      <c r="TXG5" s="1962"/>
      <c r="TXH5" s="1962"/>
      <c r="TXI5" s="1962"/>
      <c r="TXJ5" s="1962"/>
      <c r="TXK5" s="1962"/>
      <c r="TXL5" s="1962"/>
      <c r="TXM5" s="1962"/>
      <c r="TXN5" s="1962"/>
      <c r="TXO5" s="1962"/>
      <c r="TXP5" s="1962"/>
      <c r="TXQ5" s="1962"/>
      <c r="TXR5" s="1962"/>
      <c r="TXS5" s="1962"/>
      <c r="TXT5" s="1962"/>
      <c r="TXU5" s="1962"/>
      <c r="TXV5" s="1962"/>
      <c r="TXW5" s="1962"/>
      <c r="TXX5" s="1962"/>
      <c r="TXY5" s="1962"/>
      <c r="TXZ5" s="1962"/>
      <c r="TYA5" s="1962"/>
      <c r="TYB5" s="1962"/>
      <c r="TYC5" s="1962"/>
      <c r="TYD5" s="1962"/>
      <c r="TYE5" s="1962"/>
      <c r="TYF5" s="1962"/>
      <c r="TYG5" s="1962"/>
      <c r="TYH5" s="1962"/>
      <c r="TYI5" s="1962"/>
      <c r="TYJ5" s="1962"/>
      <c r="TYK5" s="1962"/>
      <c r="TYL5" s="1962"/>
      <c r="TYM5" s="1962"/>
      <c r="TYN5" s="1962"/>
      <c r="TYO5" s="1962"/>
      <c r="TYP5" s="1962"/>
      <c r="TYQ5" s="1962"/>
      <c r="TYR5" s="1962"/>
      <c r="TYS5" s="1962"/>
      <c r="TYT5" s="1962"/>
      <c r="TYU5" s="1962"/>
      <c r="TYV5" s="1962"/>
      <c r="TYW5" s="1962"/>
      <c r="TYX5" s="1962"/>
      <c r="TYY5" s="1962"/>
      <c r="TYZ5" s="1962"/>
      <c r="TZA5" s="1962"/>
      <c r="TZB5" s="1962"/>
      <c r="TZC5" s="1962"/>
      <c r="TZD5" s="1962"/>
      <c r="TZE5" s="1962"/>
      <c r="TZF5" s="1962"/>
      <c r="TZG5" s="1962"/>
      <c r="TZH5" s="1962"/>
      <c r="TZI5" s="1962"/>
      <c r="TZJ5" s="1962"/>
      <c r="TZK5" s="1962"/>
      <c r="TZL5" s="1962"/>
      <c r="TZM5" s="1962"/>
      <c r="TZN5" s="1962"/>
      <c r="TZO5" s="1962"/>
      <c r="TZP5" s="1962"/>
      <c r="TZQ5" s="1962"/>
      <c r="TZR5" s="1962"/>
      <c r="TZS5" s="1962"/>
      <c r="TZT5" s="1962"/>
      <c r="TZU5" s="1962"/>
      <c r="TZV5" s="1962"/>
      <c r="TZW5" s="1962"/>
      <c r="TZX5" s="1962"/>
      <c r="TZY5" s="1962"/>
      <c r="TZZ5" s="1962"/>
      <c r="UAA5" s="1962"/>
      <c r="UAB5" s="1962"/>
      <c r="UAC5" s="1962"/>
      <c r="UAD5" s="1962"/>
      <c r="UAE5" s="1962"/>
      <c r="UAF5" s="1962"/>
      <c r="UAG5" s="1962"/>
      <c r="UAH5" s="1962"/>
      <c r="UAI5" s="1962"/>
      <c r="UAJ5" s="1962"/>
      <c r="UAK5" s="1962"/>
      <c r="UAL5" s="1962"/>
      <c r="UAM5" s="1962"/>
      <c r="UAN5" s="1962"/>
      <c r="UAO5" s="1962"/>
      <c r="UAP5" s="1962"/>
      <c r="UAQ5" s="1962"/>
      <c r="UAR5" s="1962"/>
      <c r="UAS5" s="1962"/>
      <c r="UAT5" s="1962"/>
      <c r="UAU5" s="1962"/>
      <c r="UAV5" s="1962"/>
      <c r="UAW5" s="1962"/>
      <c r="UAX5" s="1962"/>
      <c r="UAY5" s="1962"/>
      <c r="UAZ5" s="1962"/>
      <c r="UBA5" s="1962"/>
      <c r="UBB5" s="1962"/>
      <c r="UBC5" s="1962"/>
      <c r="UBD5" s="1962"/>
      <c r="UBE5" s="1962"/>
      <c r="UBF5" s="1962"/>
      <c r="UBG5" s="1962"/>
      <c r="UBH5" s="1962"/>
      <c r="UBI5" s="1962"/>
      <c r="UBJ5" s="1962"/>
      <c r="UBK5" s="1962"/>
      <c r="UBL5" s="1962"/>
      <c r="UBM5" s="1962"/>
      <c r="UBN5" s="1962"/>
      <c r="UBO5" s="1962"/>
      <c r="UBP5" s="1962"/>
      <c r="UBQ5" s="1962"/>
      <c r="UBR5" s="1962"/>
      <c r="UBS5" s="1962"/>
      <c r="UBT5" s="1962"/>
      <c r="UBU5" s="1962"/>
      <c r="UBV5" s="1962"/>
      <c r="UBW5" s="1962"/>
      <c r="UBX5" s="1962"/>
      <c r="UBY5" s="1962"/>
      <c r="UBZ5" s="1962"/>
      <c r="UCA5" s="1962"/>
      <c r="UCB5" s="1962"/>
      <c r="UCC5" s="1962"/>
      <c r="UCD5" s="1962"/>
      <c r="UCE5" s="1962"/>
      <c r="UCF5" s="1962"/>
      <c r="UCG5" s="1962"/>
      <c r="UCH5" s="1962"/>
      <c r="UCI5" s="1962"/>
      <c r="UCJ5" s="1962"/>
      <c r="UCK5" s="1962"/>
      <c r="UCL5" s="1962"/>
      <c r="UCM5" s="1962"/>
      <c r="UCN5" s="1962"/>
      <c r="UCO5" s="1962"/>
      <c r="UCP5" s="1962"/>
      <c r="UCQ5" s="1962"/>
      <c r="UCR5" s="1962"/>
      <c r="UCS5" s="1962"/>
      <c r="UCT5" s="1962"/>
      <c r="UCU5" s="1962"/>
      <c r="UCV5" s="1962"/>
      <c r="UCW5" s="1962"/>
      <c r="UCX5" s="1962"/>
      <c r="UCY5" s="1962"/>
      <c r="UCZ5" s="1962"/>
      <c r="UDA5" s="1962"/>
      <c r="UDB5" s="1962"/>
      <c r="UDC5" s="1962"/>
      <c r="UDD5" s="1962"/>
      <c r="UDE5" s="1962"/>
      <c r="UDF5" s="1962"/>
      <c r="UDG5" s="1962"/>
      <c r="UDH5" s="1962"/>
      <c r="UDI5" s="1962"/>
      <c r="UDJ5" s="1962"/>
      <c r="UDK5" s="1962"/>
      <c r="UDL5" s="1962"/>
      <c r="UDM5" s="1962"/>
      <c r="UDN5" s="1962"/>
      <c r="UDO5" s="1962"/>
      <c r="UDP5" s="1962"/>
      <c r="UDQ5" s="1962"/>
      <c r="UDR5" s="1962"/>
      <c r="UDS5" s="1962"/>
      <c r="UDT5" s="1962"/>
      <c r="UDU5" s="1962"/>
      <c r="UDV5" s="1962"/>
      <c r="UDW5" s="1962"/>
      <c r="UDX5" s="1962"/>
      <c r="UDY5" s="1962"/>
      <c r="UDZ5" s="1962"/>
      <c r="UEA5" s="1962"/>
      <c r="UEB5" s="1962"/>
      <c r="UEC5" s="1962"/>
      <c r="UED5" s="1962"/>
      <c r="UEE5" s="1962"/>
      <c r="UEF5" s="1962"/>
      <c r="UEG5" s="1962"/>
      <c r="UEH5" s="1962"/>
      <c r="UEI5" s="1962"/>
      <c r="UEJ5" s="1962"/>
      <c r="UEK5" s="1962"/>
      <c r="UEL5" s="1962"/>
      <c r="UEM5" s="1962"/>
      <c r="UEN5" s="1962"/>
      <c r="UEO5" s="1962"/>
      <c r="UEP5" s="1962"/>
      <c r="UEQ5" s="1962"/>
      <c r="UER5" s="1962"/>
      <c r="UES5" s="1962"/>
      <c r="UET5" s="1962"/>
      <c r="UEU5" s="1962"/>
      <c r="UEV5" s="1962"/>
      <c r="UEW5" s="1962"/>
      <c r="UEX5" s="1962"/>
      <c r="UEY5" s="1962"/>
      <c r="UEZ5" s="1962"/>
      <c r="UFA5" s="1962"/>
      <c r="UFB5" s="1962"/>
      <c r="UFC5" s="1962"/>
      <c r="UFD5" s="1962"/>
      <c r="UFE5" s="1962"/>
      <c r="UFF5" s="1962"/>
      <c r="UFG5" s="1962"/>
      <c r="UFH5" s="1962"/>
      <c r="UFI5" s="1962"/>
      <c r="UFJ5" s="1962"/>
      <c r="UFK5" s="1962"/>
      <c r="UFL5" s="1962"/>
      <c r="UFM5" s="1962"/>
      <c r="UFN5" s="1962"/>
      <c r="UFO5" s="1962"/>
      <c r="UFP5" s="1962"/>
      <c r="UFQ5" s="1962"/>
      <c r="UFR5" s="1962"/>
      <c r="UFS5" s="1962"/>
      <c r="UFT5" s="1962"/>
      <c r="UFU5" s="1962"/>
      <c r="UFV5" s="1962"/>
      <c r="UFW5" s="1962"/>
      <c r="UFX5" s="1962"/>
      <c r="UFY5" s="1962"/>
      <c r="UFZ5" s="1962"/>
      <c r="UGA5" s="1962"/>
      <c r="UGB5" s="1962"/>
      <c r="UGC5" s="1962"/>
      <c r="UGD5" s="1962"/>
      <c r="UGE5" s="1962"/>
      <c r="UGF5" s="1962"/>
      <c r="UGG5" s="1962"/>
      <c r="UGH5" s="1962"/>
      <c r="UGI5" s="1962"/>
      <c r="UGJ5" s="1962"/>
      <c r="UGK5" s="1962"/>
      <c r="UGL5" s="1962"/>
      <c r="UGM5" s="1962"/>
      <c r="UGN5" s="1962"/>
      <c r="UGO5" s="1962"/>
      <c r="UGP5" s="1962"/>
      <c r="UGQ5" s="1962"/>
      <c r="UGR5" s="1962"/>
      <c r="UGS5" s="1962"/>
      <c r="UGT5" s="1962"/>
      <c r="UGU5" s="1962"/>
      <c r="UGV5" s="1962"/>
      <c r="UGW5" s="1962"/>
      <c r="UGX5" s="1962"/>
      <c r="UGY5" s="1962"/>
      <c r="UGZ5" s="1962"/>
      <c r="UHA5" s="1962"/>
      <c r="UHB5" s="1962"/>
      <c r="UHC5" s="1962"/>
      <c r="UHD5" s="1962"/>
      <c r="UHE5" s="1962"/>
      <c r="UHF5" s="1962"/>
      <c r="UHG5" s="1962"/>
      <c r="UHH5" s="1962"/>
      <c r="UHI5" s="1962"/>
      <c r="UHJ5" s="1962"/>
      <c r="UHK5" s="1962"/>
      <c r="UHL5" s="1962"/>
      <c r="UHM5" s="1962"/>
      <c r="UHN5" s="1962"/>
      <c r="UHO5" s="1962"/>
      <c r="UHP5" s="1962"/>
      <c r="UHQ5" s="1962"/>
      <c r="UHR5" s="1962"/>
      <c r="UHS5" s="1962"/>
      <c r="UHT5" s="1962"/>
      <c r="UHU5" s="1962"/>
      <c r="UHV5" s="1962"/>
      <c r="UHW5" s="1962"/>
      <c r="UHX5" s="1962"/>
      <c r="UHY5" s="1962"/>
      <c r="UHZ5" s="1962"/>
      <c r="UIA5" s="1962"/>
      <c r="UIB5" s="1962"/>
      <c r="UIC5" s="1962"/>
      <c r="UID5" s="1962"/>
      <c r="UIE5" s="1962"/>
      <c r="UIF5" s="1962"/>
      <c r="UIG5" s="1962"/>
      <c r="UIH5" s="1962"/>
      <c r="UII5" s="1962"/>
      <c r="UIJ5" s="1962"/>
      <c r="UIK5" s="1962"/>
      <c r="UIL5" s="1962"/>
      <c r="UIM5" s="1962"/>
      <c r="UIN5" s="1962"/>
      <c r="UIO5" s="1962"/>
      <c r="UIP5" s="1962"/>
      <c r="UIQ5" s="1962"/>
      <c r="UIR5" s="1962"/>
      <c r="UIS5" s="1962"/>
      <c r="UIT5" s="1962"/>
      <c r="UIU5" s="1962"/>
      <c r="UIV5" s="1962"/>
      <c r="UIW5" s="1962"/>
      <c r="UIX5" s="1962"/>
      <c r="UIY5" s="1962"/>
      <c r="UIZ5" s="1962"/>
      <c r="UJA5" s="1962"/>
      <c r="UJB5" s="1962"/>
      <c r="UJC5" s="1962"/>
      <c r="UJD5" s="1962"/>
      <c r="UJE5" s="1962"/>
      <c r="UJF5" s="1962"/>
      <c r="UJG5" s="1962"/>
      <c r="UJH5" s="1962"/>
      <c r="UJI5" s="1962"/>
      <c r="UJJ5" s="1962"/>
      <c r="UJK5" s="1962"/>
      <c r="UJL5" s="1962"/>
      <c r="UJM5" s="1962"/>
      <c r="UJN5" s="1962"/>
      <c r="UJO5" s="1962"/>
      <c r="UJP5" s="1962"/>
      <c r="UJQ5" s="1962"/>
      <c r="UJR5" s="1962"/>
      <c r="UJS5" s="1962"/>
      <c r="UJT5" s="1962"/>
      <c r="UJU5" s="1962"/>
      <c r="UJV5" s="1962"/>
      <c r="UJW5" s="1962"/>
      <c r="UJX5" s="1962"/>
      <c r="UJY5" s="1962"/>
      <c r="UJZ5" s="1962"/>
      <c r="UKA5" s="1962"/>
      <c r="UKB5" s="1962"/>
      <c r="UKC5" s="1962"/>
      <c r="UKD5" s="1962"/>
      <c r="UKE5" s="1962"/>
      <c r="UKF5" s="1962"/>
      <c r="UKG5" s="1962"/>
      <c r="UKH5" s="1962"/>
      <c r="UKI5" s="1962"/>
      <c r="UKJ5" s="1962"/>
      <c r="UKK5" s="1962"/>
      <c r="UKL5" s="1962"/>
      <c r="UKM5" s="1962"/>
      <c r="UKN5" s="1962"/>
      <c r="UKO5" s="1962"/>
      <c r="UKP5" s="1962"/>
      <c r="UKQ5" s="1962"/>
      <c r="UKR5" s="1962"/>
      <c r="UKS5" s="1962"/>
      <c r="UKT5" s="1962"/>
      <c r="UKU5" s="1962"/>
      <c r="UKV5" s="1962"/>
      <c r="UKW5" s="1962"/>
      <c r="UKX5" s="1962"/>
      <c r="UKY5" s="1962"/>
      <c r="UKZ5" s="1962"/>
      <c r="ULA5" s="1962"/>
      <c r="ULB5" s="1962"/>
      <c r="ULC5" s="1962"/>
      <c r="ULD5" s="1962"/>
      <c r="ULE5" s="1962"/>
      <c r="ULF5" s="1962"/>
      <c r="ULG5" s="1962"/>
      <c r="ULH5" s="1962"/>
      <c r="ULI5" s="1962"/>
      <c r="ULJ5" s="1962"/>
      <c r="ULK5" s="1962"/>
      <c r="ULL5" s="1962"/>
      <c r="ULM5" s="1962"/>
      <c r="ULN5" s="1962"/>
      <c r="ULO5" s="1962"/>
      <c r="ULP5" s="1962"/>
      <c r="ULQ5" s="1962"/>
      <c r="ULR5" s="1962"/>
      <c r="ULS5" s="1962"/>
      <c r="ULT5" s="1962"/>
      <c r="ULU5" s="1962"/>
      <c r="ULV5" s="1962"/>
      <c r="ULW5" s="1962"/>
      <c r="ULX5" s="1962"/>
      <c r="ULY5" s="1962"/>
      <c r="ULZ5" s="1962"/>
      <c r="UMA5" s="1962"/>
      <c r="UMB5" s="1962"/>
      <c r="UMC5" s="1962"/>
      <c r="UMD5" s="1962"/>
      <c r="UME5" s="1962"/>
      <c r="UMF5" s="1962"/>
      <c r="UMG5" s="1962"/>
      <c r="UMH5" s="1962"/>
      <c r="UMI5" s="1962"/>
      <c r="UMJ5" s="1962"/>
      <c r="UMK5" s="1962"/>
      <c r="UML5" s="1962"/>
      <c r="UMM5" s="1962"/>
      <c r="UMN5" s="1962"/>
      <c r="UMO5" s="1962"/>
      <c r="UMP5" s="1962"/>
      <c r="UMQ5" s="1962"/>
      <c r="UMR5" s="1962"/>
      <c r="UMS5" s="1962"/>
      <c r="UMT5" s="1962"/>
      <c r="UMU5" s="1962"/>
      <c r="UMV5" s="1962"/>
      <c r="UMW5" s="1962"/>
      <c r="UMX5" s="1962"/>
      <c r="UMY5" s="1962"/>
      <c r="UMZ5" s="1962"/>
      <c r="UNA5" s="1962"/>
      <c r="UNB5" s="1962"/>
      <c r="UNC5" s="1962"/>
      <c r="UND5" s="1962"/>
      <c r="UNE5" s="1962"/>
      <c r="UNF5" s="1962"/>
      <c r="UNG5" s="1962"/>
      <c r="UNH5" s="1962"/>
      <c r="UNI5" s="1962"/>
      <c r="UNJ5" s="1962"/>
      <c r="UNK5" s="1962"/>
      <c r="UNL5" s="1962"/>
      <c r="UNM5" s="1962"/>
      <c r="UNN5" s="1962"/>
      <c r="UNO5" s="1962"/>
      <c r="UNP5" s="1962"/>
      <c r="UNQ5" s="1962"/>
      <c r="UNR5" s="1962"/>
      <c r="UNS5" s="1962"/>
      <c r="UNT5" s="1962"/>
      <c r="UNU5" s="1962"/>
      <c r="UNV5" s="1962"/>
      <c r="UNW5" s="1962"/>
      <c r="UNX5" s="1962"/>
      <c r="UNY5" s="1962"/>
      <c r="UNZ5" s="1962"/>
      <c r="UOA5" s="1962"/>
      <c r="UOB5" s="1962"/>
      <c r="UOC5" s="1962"/>
      <c r="UOD5" s="1962"/>
      <c r="UOE5" s="1962"/>
      <c r="UOF5" s="1962"/>
      <c r="UOG5" s="1962"/>
      <c r="UOH5" s="1962"/>
      <c r="UOI5" s="1962"/>
      <c r="UOJ5" s="1962"/>
      <c r="UOK5" s="1962"/>
      <c r="UOL5" s="1962"/>
      <c r="UOM5" s="1962"/>
      <c r="UON5" s="1962"/>
      <c r="UOO5" s="1962"/>
      <c r="UOP5" s="1962"/>
      <c r="UOQ5" s="1962"/>
      <c r="UOR5" s="1962"/>
      <c r="UOS5" s="1962"/>
      <c r="UOT5" s="1962"/>
      <c r="UOU5" s="1962"/>
      <c r="UOV5" s="1962"/>
      <c r="UOW5" s="1962"/>
      <c r="UOX5" s="1962"/>
      <c r="UOY5" s="1962"/>
      <c r="UOZ5" s="1962"/>
      <c r="UPA5" s="1962"/>
      <c r="UPB5" s="1962"/>
      <c r="UPC5" s="1962"/>
      <c r="UPD5" s="1962"/>
      <c r="UPE5" s="1962"/>
      <c r="UPF5" s="1962"/>
      <c r="UPG5" s="1962"/>
      <c r="UPH5" s="1962"/>
      <c r="UPI5" s="1962"/>
      <c r="UPJ5" s="1962"/>
      <c r="UPK5" s="1962"/>
      <c r="UPL5" s="1962"/>
      <c r="UPM5" s="1962"/>
      <c r="UPN5" s="1962"/>
      <c r="UPO5" s="1962"/>
      <c r="UPP5" s="1962"/>
      <c r="UPQ5" s="1962"/>
      <c r="UPR5" s="1962"/>
      <c r="UPS5" s="1962"/>
      <c r="UPT5" s="1962"/>
      <c r="UPU5" s="1962"/>
      <c r="UPV5" s="1962"/>
      <c r="UPW5" s="1962"/>
      <c r="UPX5" s="1962"/>
      <c r="UPY5" s="1962"/>
      <c r="UPZ5" s="1962"/>
      <c r="UQA5" s="1962"/>
      <c r="UQB5" s="1962"/>
      <c r="UQC5" s="1962"/>
      <c r="UQD5" s="1962"/>
      <c r="UQE5" s="1962"/>
      <c r="UQF5" s="1962"/>
      <c r="UQG5" s="1962"/>
      <c r="UQH5" s="1962"/>
      <c r="UQI5" s="1962"/>
      <c r="UQJ5" s="1962"/>
      <c r="UQK5" s="1962"/>
      <c r="UQL5" s="1962"/>
      <c r="UQM5" s="1962"/>
      <c r="UQN5" s="1962"/>
      <c r="UQO5" s="1962"/>
      <c r="UQP5" s="1962"/>
      <c r="UQQ5" s="1962"/>
      <c r="UQR5" s="1962"/>
      <c r="UQS5" s="1962"/>
      <c r="UQT5" s="1962"/>
      <c r="UQU5" s="1962"/>
      <c r="UQV5" s="1962"/>
      <c r="UQW5" s="1962"/>
      <c r="UQX5" s="1962"/>
      <c r="UQY5" s="1962"/>
      <c r="UQZ5" s="1962"/>
      <c r="URA5" s="1962"/>
      <c r="URB5" s="1962"/>
      <c r="URC5" s="1962"/>
      <c r="URD5" s="1962"/>
      <c r="URE5" s="1962"/>
      <c r="URF5" s="1962"/>
      <c r="URG5" s="1962"/>
      <c r="URH5" s="1962"/>
      <c r="URI5" s="1962"/>
      <c r="URJ5" s="1962"/>
      <c r="URK5" s="1962"/>
      <c r="URL5" s="1962"/>
      <c r="URM5" s="1962"/>
      <c r="URN5" s="1962"/>
      <c r="URO5" s="1962"/>
      <c r="URP5" s="1962"/>
      <c r="URQ5" s="1962"/>
      <c r="URR5" s="1962"/>
      <c r="URS5" s="1962"/>
      <c r="URT5" s="1962"/>
      <c r="URU5" s="1962"/>
      <c r="URV5" s="1962"/>
      <c r="URW5" s="1962"/>
      <c r="URX5" s="1962"/>
      <c r="URY5" s="1962"/>
      <c r="URZ5" s="1962"/>
      <c r="USA5" s="1962"/>
      <c r="USB5" s="1962"/>
      <c r="USC5" s="1962"/>
      <c r="USD5" s="1962"/>
      <c r="USE5" s="1962"/>
      <c r="USF5" s="1962"/>
      <c r="USG5" s="1962"/>
      <c r="USH5" s="1962"/>
      <c r="USI5" s="1962"/>
      <c r="USJ5" s="1962"/>
      <c r="USK5" s="1962"/>
      <c r="USL5" s="1962"/>
      <c r="USM5" s="1962"/>
      <c r="USN5" s="1962"/>
      <c r="USO5" s="1962"/>
      <c r="USP5" s="1962"/>
      <c r="USQ5" s="1962"/>
      <c r="USR5" s="1962"/>
      <c r="USS5" s="1962"/>
      <c r="UST5" s="1962"/>
      <c r="USU5" s="1962"/>
      <c r="USV5" s="1962"/>
      <c r="USW5" s="1962"/>
      <c r="USX5" s="1962"/>
      <c r="USY5" s="1962"/>
      <c r="USZ5" s="1962"/>
      <c r="UTA5" s="1962"/>
      <c r="UTB5" s="1962"/>
      <c r="UTC5" s="1962"/>
      <c r="UTD5" s="1962"/>
      <c r="UTE5" s="1962"/>
      <c r="UTF5" s="1962"/>
      <c r="UTG5" s="1962"/>
      <c r="UTH5" s="1962"/>
      <c r="UTI5" s="1962"/>
      <c r="UTJ5" s="1962"/>
      <c r="UTK5" s="1962"/>
      <c r="UTL5" s="1962"/>
      <c r="UTM5" s="1962"/>
      <c r="UTN5" s="1962"/>
      <c r="UTO5" s="1962"/>
      <c r="UTP5" s="1962"/>
      <c r="UTQ5" s="1962"/>
      <c r="UTR5" s="1962"/>
      <c r="UTS5" s="1962"/>
      <c r="UTT5" s="1962"/>
      <c r="UTU5" s="1962"/>
      <c r="UTV5" s="1962"/>
      <c r="UTW5" s="1962"/>
      <c r="UTX5" s="1962"/>
      <c r="UTY5" s="1962"/>
      <c r="UTZ5" s="1962"/>
      <c r="UUA5" s="1962"/>
      <c r="UUB5" s="1962"/>
      <c r="UUC5" s="1962"/>
      <c r="UUD5" s="1962"/>
      <c r="UUE5" s="1962"/>
      <c r="UUF5" s="1962"/>
      <c r="UUG5" s="1962"/>
      <c r="UUH5" s="1962"/>
      <c r="UUI5" s="1962"/>
      <c r="UUJ5" s="1962"/>
      <c r="UUK5" s="1962"/>
      <c r="UUL5" s="1962"/>
      <c r="UUM5" s="1962"/>
      <c r="UUN5" s="1962"/>
      <c r="UUO5" s="1962"/>
      <c r="UUP5" s="1962"/>
      <c r="UUQ5" s="1962"/>
      <c r="UUR5" s="1962"/>
      <c r="UUS5" s="1962"/>
      <c r="UUT5" s="1962"/>
      <c r="UUU5" s="1962"/>
      <c r="UUV5" s="1962"/>
      <c r="UUW5" s="1962"/>
      <c r="UUX5" s="1962"/>
      <c r="UUY5" s="1962"/>
      <c r="UUZ5" s="1962"/>
      <c r="UVA5" s="1962"/>
      <c r="UVB5" s="1962"/>
      <c r="UVC5" s="1962"/>
      <c r="UVD5" s="1962"/>
      <c r="UVE5" s="1962"/>
      <c r="UVF5" s="1962"/>
      <c r="UVG5" s="1962"/>
      <c r="UVH5" s="1962"/>
      <c r="UVI5" s="1962"/>
      <c r="UVJ5" s="1962"/>
      <c r="UVK5" s="1962"/>
      <c r="UVL5" s="1962"/>
      <c r="UVM5" s="1962"/>
      <c r="UVN5" s="1962"/>
      <c r="UVO5" s="1962"/>
      <c r="UVP5" s="1962"/>
      <c r="UVQ5" s="1962"/>
      <c r="UVR5" s="1962"/>
      <c r="UVS5" s="1962"/>
      <c r="UVT5" s="1962"/>
      <c r="UVU5" s="1962"/>
      <c r="UVV5" s="1962"/>
      <c r="UVW5" s="1962"/>
      <c r="UVX5" s="1962"/>
      <c r="UVY5" s="1962"/>
      <c r="UVZ5" s="1962"/>
      <c r="UWA5" s="1962"/>
      <c r="UWB5" s="1962"/>
      <c r="UWC5" s="1962"/>
      <c r="UWD5" s="1962"/>
      <c r="UWE5" s="1962"/>
      <c r="UWF5" s="1962"/>
      <c r="UWG5" s="1962"/>
      <c r="UWH5" s="1962"/>
      <c r="UWI5" s="1962"/>
      <c r="UWJ5" s="1962"/>
      <c r="UWK5" s="1962"/>
      <c r="UWL5" s="1962"/>
      <c r="UWM5" s="1962"/>
      <c r="UWN5" s="1962"/>
      <c r="UWO5" s="1962"/>
      <c r="UWP5" s="1962"/>
      <c r="UWQ5" s="1962"/>
      <c r="UWR5" s="1962"/>
      <c r="UWS5" s="1962"/>
      <c r="UWT5" s="1962"/>
      <c r="UWU5" s="1962"/>
      <c r="UWV5" s="1962"/>
      <c r="UWW5" s="1962"/>
      <c r="UWX5" s="1962"/>
      <c r="UWY5" s="1962"/>
      <c r="UWZ5" s="1962"/>
      <c r="UXA5" s="1962"/>
      <c r="UXB5" s="1962"/>
      <c r="UXC5" s="1962"/>
      <c r="UXD5" s="1962"/>
      <c r="UXE5" s="1962"/>
      <c r="UXF5" s="1962"/>
      <c r="UXG5" s="1962"/>
      <c r="UXH5" s="1962"/>
      <c r="UXI5" s="1962"/>
      <c r="UXJ5" s="1962"/>
      <c r="UXK5" s="1962"/>
      <c r="UXL5" s="1962"/>
      <c r="UXM5" s="1962"/>
      <c r="UXN5" s="1962"/>
      <c r="UXO5" s="1962"/>
      <c r="UXP5" s="1962"/>
      <c r="UXQ5" s="1962"/>
      <c r="UXR5" s="1962"/>
      <c r="UXS5" s="1962"/>
      <c r="UXT5" s="1962"/>
      <c r="UXU5" s="1962"/>
      <c r="UXV5" s="1962"/>
      <c r="UXW5" s="1962"/>
      <c r="UXX5" s="1962"/>
      <c r="UXY5" s="1962"/>
      <c r="UXZ5" s="1962"/>
      <c r="UYA5" s="1962"/>
      <c r="UYB5" s="1962"/>
      <c r="UYC5" s="1962"/>
      <c r="UYD5" s="1962"/>
      <c r="UYE5" s="1962"/>
      <c r="UYF5" s="1962"/>
      <c r="UYG5" s="1962"/>
      <c r="UYH5" s="1962"/>
      <c r="UYI5" s="1962"/>
      <c r="UYJ5" s="1962"/>
      <c r="UYK5" s="1962"/>
      <c r="UYL5" s="1962"/>
      <c r="UYM5" s="1962"/>
      <c r="UYN5" s="1962"/>
      <c r="UYO5" s="1962"/>
      <c r="UYP5" s="1962"/>
      <c r="UYQ5" s="1962"/>
      <c r="UYR5" s="1962"/>
      <c r="UYS5" s="1962"/>
      <c r="UYT5" s="1962"/>
      <c r="UYU5" s="1962"/>
      <c r="UYV5" s="1962"/>
      <c r="UYW5" s="1962"/>
      <c r="UYX5" s="1962"/>
      <c r="UYY5" s="1962"/>
      <c r="UYZ5" s="1962"/>
      <c r="UZA5" s="1962"/>
      <c r="UZB5" s="1962"/>
      <c r="UZC5" s="1962"/>
      <c r="UZD5" s="1962"/>
      <c r="UZE5" s="1962"/>
      <c r="UZF5" s="1962"/>
      <c r="UZG5" s="1962"/>
      <c r="UZH5" s="1962"/>
      <c r="UZI5" s="1962"/>
      <c r="UZJ5" s="1962"/>
      <c r="UZK5" s="1962"/>
      <c r="UZL5" s="1962"/>
      <c r="UZM5" s="1962"/>
      <c r="UZN5" s="1962"/>
      <c r="UZO5" s="1962"/>
      <c r="UZP5" s="1962"/>
      <c r="UZQ5" s="1962"/>
      <c r="UZR5" s="1962"/>
      <c r="UZS5" s="1962"/>
      <c r="UZT5" s="1962"/>
      <c r="UZU5" s="1962"/>
      <c r="UZV5" s="1962"/>
      <c r="UZW5" s="1962"/>
      <c r="UZX5" s="1962"/>
      <c r="UZY5" s="1962"/>
      <c r="UZZ5" s="1962"/>
      <c r="VAA5" s="1962"/>
      <c r="VAB5" s="1962"/>
      <c r="VAC5" s="1962"/>
      <c r="VAD5" s="1962"/>
      <c r="VAE5" s="1962"/>
      <c r="VAF5" s="1962"/>
      <c r="VAG5" s="1962"/>
      <c r="VAH5" s="1962"/>
      <c r="VAI5" s="1962"/>
      <c r="VAJ5" s="1962"/>
      <c r="VAK5" s="1962"/>
      <c r="VAL5" s="1962"/>
      <c r="VAM5" s="1962"/>
      <c r="VAN5" s="1962"/>
      <c r="VAO5" s="1962"/>
      <c r="VAP5" s="1962"/>
      <c r="VAQ5" s="1962"/>
      <c r="VAR5" s="1962"/>
      <c r="VAS5" s="1962"/>
      <c r="VAT5" s="1962"/>
      <c r="VAU5" s="1962"/>
      <c r="VAV5" s="1962"/>
      <c r="VAW5" s="1962"/>
      <c r="VAX5" s="1962"/>
      <c r="VAY5" s="1962"/>
      <c r="VAZ5" s="1962"/>
      <c r="VBA5" s="1962"/>
      <c r="VBB5" s="1962"/>
      <c r="VBC5" s="1962"/>
      <c r="VBD5" s="1962"/>
      <c r="VBE5" s="1962"/>
      <c r="VBF5" s="1962"/>
      <c r="VBG5" s="1962"/>
      <c r="VBH5" s="1962"/>
      <c r="VBI5" s="1962"/>
      <c r="VBJ5" s="1962"/>
      <c r="VBK5" s="1962"/>
      <c r="VBL5" s="1962"/>
      <c r="VBM5" s="1962"/>
      <c r="VBN5" s="1962"/>
      <c r="VBO5" s="1962"/>
      <c r="VBP5" s="1962"/>
      <c r="VBQ5" s="1962"/>
      <c r="VBR5" s="1962"/>
      <c r="VBS5" s="1962"/>
      <c r="VBT5" s="1962"/>
      <c r="VBU5" s="1962"/>
      <c r="VBV5" s="1962"/>
      <c r="VBW5" s="1962"/>
      <c r="VBX5" s="1962"/>
      <c r="VBY5" s="1962"/>
      <c r="VBZ5" s="1962"/>
      <c r="VCA5" s="1962"/>
      <c r="VCB5" s="1962"/>
      <c r="VCC5" s="1962"/>
      <c r="VCD5" s="1962"/>
      <c r="VCE5" s="1962"/>
      <c r="VCF5" s="1962"/>
      <c r="VCG5" s="1962"/>
      <c r="VCH5" s="1962"/>
      <c r="VCI5" s="1962"/>
      <c r="VCJ5" s="1962"/>
      <c r="VCK5" s="1962"/>
      <c r="VCL5" s="1962"/>
      <c r="VCM5" s="1962"/>
      <c r="VCN5" s="1962"/>
      <c r="VCO5" s="1962"/>
      <c r="VCP5" s="1962"/>
      <c r="VCQ5" s="1962"/>
      <c r="VCR5" s="1962"/>
      <c r="VCS5" s="1962"/>
      <c r="VCT5" s="1962"/>
      <c r="VCU5" s="1962"/>
      <c r="VCV5" s="1962"/>
      <c r="VCW5" s="1962"/>
      <c r="VCX5" s="1962"/>
      <c r="VCY5" s="1962"/>
      <c r="VCZ5" s="1962"/>
      <c r="VDA5" s="1962"/>
      <c r="VDB5" s="1962"/>
      <c r="VDC5" s="1962"/>
      <c r="VDD5" s="1962"/>
      <c r="VDE5" s="1962"/>
      <c r="VDF5" s="1962"/>
      <c r="VDG5" s="1962"/>
      <c r="VDH5" s="1962"/>
      <c r="VDI5" s="1962"/>
      <c r="VDJ5" s="1962"/>
      <c r="VDK5" s="1962"/>
      <c r="VDL5" s="1962"/>
      <c r="VDM5" s="1962"/>
      <c r="VDN5" s="1962"/>
      <c r="VDO5" s="1962"/>
      <c r="VDP5" s="1962"/>
      <c r="VDQ5" s="1962"/>
      <c r="VDR5" s="1962"/>
      <c r="VDS5" s="1962"/>
      <c r="VDT5" s="1962"/>
      <c r="VDU5" s="1962"/>
      <c r="VDV5" s="1962"/>
      <c r="VDW5" s="1962"/>
      <c r="VDX5" s="1962"/>
      <c r="VDY5" s="1962"/>
      <c r="VDZ5" s="1962"/>
      <c r="VEA5" s="1962"/>
      <c r="VEB5" s="1962"/>
      <c r="VEC5" s="1962"/>
      <c r="VED5" s="1962"/>
      <c r="VEE5" s="1962"/>
      <c r="VEF5" s="1962"/>
      <c r="VEG5" s="1962"/>
      <c r="VEH5" s="1962"/>
      <c r="VEI5" s="1962"/>
      <c r="VEJ5" s="1962"/>
      <c r="VEK5" s="1962"/>
      <c r="VEL5" s="1962"/>
      <c r="VEM5" s="1962"/>
      <c r="VEN5" s="1962"/>
      <c r="VEO5" s="1962"/>
      <c r="VEP5" s="1962"/>
      <c r="VEQ5" s="1962"/>
      <c r="VER5" s="1962"/>
      <c r="VES5" s="1962"/>
      <c r="VET5" s="1962"/>
      <c r="VEU5" s="1962"/>
      <c r="VEV5" s="1962"/>
      <c r="VEW5" s="1962"/>
      <c r="VEX5" s="1962"/>
      <c r="VEY5" s="1962"/>
      <c r="VEZ5" s="1962"/>
      <c r="VFA5" s="1962"/>
      <c r="VFB5" s="1962"/>
      <c r="VFC5" s="1962"/>
      <c r="VFD5" s="1962"/>
      <c r="VFE5" s="1962"/>
      <c r="VFF5" s="1962"/>
      <c r="VFG5" s="1962"/>
      <c r="VFH5" s="1962"/>
      <c r="VFI5" s="1962"/>
      <c r="VFJ5" s="1962"/>
      <c r="VFK5" s="1962"/>
      <c r="VFL5" s="1962"/>
      <c r="VFM5" s="1962"/>
      <c r="VFN5" s="1962"/>
      <c r="VFO5" s="1962"/>
      <c r="VFP5" s="1962"/>
      <c r="VFQ5" s="1962"/>
      <c r="VFR5" s="1962"/>
      <c r="VFS5" s="1962"/>
      <c r="VFT5" s="1962"/>
      <c r="VFU5" s="1962"/>
      <c r="VFV5" s="1962"/>
      <c r="VFW5" s="1962"/>
      <c r="VFX5" s="1962"/>
      <c r="VFY5" s="1962"/>
      <c r="VFZ5" s="1962"/>
      <c r="VGA5" s="1962"/>
      <c r="VGB5" s="1962"/>
      <c r="VGC5" s="1962"/>
      <c r="VGD5" s="1962"/>
      <c r="VGE5" s="1962"/>
      <c r="VGF5" s="1962"/>
      <c r="VGG5" s="1962"/>
      <c r="VGH5" s="1962"/>
      <c r="VGI5" s="1962"/>
      <c r="VGJ5" s="1962"/>
      <c r="VGK5" s="1962"/>
      <c r="VGL5" s="1962"/>
      <c r="VGM5" s="1962"/>
      <c r="VGN5" s="1962"/>
      <c r="VGO5" s="1962"/>
      <c r="VGP5" s="1962"/>
      <c r="VGQ5" s="1962"/>
      <c r="VGR5" s="1962"/>
      <c r="VGS5" s="1962"/>
      <c r="VGT5" s="1962"/>
      <c r="VGU5" s="1962"/>
      <c r="VGV5" s="1962"/>
      <c r="VGW5" s="1962"/>
      <c r="VGX5" s="1962"/>
      <c r="VGY5" s="1962"/>
      <c r="VGZ5" s="1962"/>
      <c r="VHA5" s="1962"/>
      <c r="VHB5" s="1962"/>
      <c r="VHC5" s="1962"/>
      <c r="VHD5" s="1962"/>
      <c r="VHE5" s="1962"/>
      <c r="VHF5" s="1962"/>
      <c r="VHG5" s="1962"/>
      <c r="VHH5" s="1962"/>
      <c r="VHI5" s="1962"/>
      <c r="VHJ5" s="1962"/>
      <c r="VHK5" s="1962"/>
      <c r="VHL5" s="1962"/>
      <c r="VHM5" s="1962"/>
      <c r="VHN5" s="1962"/>
      <c r="VHO5" s="1962"/>
      <c r="VHP5" s="1962"/>
      <c r="VHQ5" s="1962"/>
      <c r="VHR5" s="1962"/>
      <c r="VHS5" s="1962"/>
      <c r="VHT5" s="1962"/>
      <c r="VHU5" s="1962"/>
      <c r="VHV5" s="1962"/>
      <c r="VHW5" s="1962"/>
      <c r="VHX5" s="1962"/>
      <c r="VHY5" s="1962"/>
      <c r="VHZ5" s="1962"/>
      <c r="VIA5" s="1962"/>
      <c r="VIB5" s="1962"/>
      <c r="VIC5" s="1962"/>
      <c r="VID5" s="1962"/>
      <c r="VIE5" s="1962"/>
      <c r="VIF5" s="1962"/>
      <c r="VIG5" s="1962"/>
      <c r="VIH5" s="1962"/>
      <c r="VII5" s="1962"/>
      <c r="VIJ5" s="1962"/>
      <c r="VIK5" s="1962"/>
      <c r="VIL5" s="1962"/>
      <c r="VIM5" s="1962"/>
      <c r="VIN5" s="1962"/>
      <c r="VIO5" s="1962"/>
      <c r="VIP5" s="1962"/>
      <c r="VIQ5" s="1962"/>
      <c r="VIR5" s="1962"/>
      <c r="VIS5" s="1962"/>
      <c r="VIT5" s="1962"/>
      <c r="VIU5" s="1962"/>
      <c r="VIV5" s="1962"/>
      <c r="VIW5" s="1962"/>
      <c r="VIX5" s="1962"/>
      <c r="VIY5" s="1962"/>
      <c r="VIZ5" s="1962"/>
      <c r="VJA5" s="1962"/>
      <c r="VJB5" s="1962"/>
      <c r="VJC5" s="1962"/>
      <c r="VJD5" s="1962"/>
      <c r="VJE5" s="1962"/>
      <c r="VJF5" s="1962"/>
      <c r="VJG5" s="1962"/>
      <c r="VJH5" s="1962"/>
      <c r="VJI5" s="1962"/>
      <c r="VJJ5" s="1962"/>
      <c r="VJK5" s="1962"/>
      <c r="VJL5" s="1962"/>
      <c r="VJM5" s="1962"/>
      <c r="VJN5" s="1962"/>
      <c r="VJO5" s="1962"/>
      <c r="VJP5" s="1962"/>
      <c r="VJQ5" s="1962"/>
      <c r="VJR5" s="1962"/>
      <c r="VJS5" s="1962"/>
      <c r="VJT5" s="1962"/>
      <c r="VJU5" s="1962"/>
      <c r="VJV5" s="1962"/>
      <c r="VJW5" s="1962"/>
      <c r="VJX5" s="1962"/>
      <c r="VJY5" s="1962"/>
      <c r="VJZ5" s="1962"/>
      <c r="VKA5" s="1962"/>
      <c r="VKB5" s="1962"/>
      <c r="VKC5" s="1962"/>
      <c r="VKD5" s="1962"/>
      <c r="VKE5" s="1962"/>
      <c r="VKF5" s="1962"/>
      <c r="VKG5" s="1962"/>
      <c r="VKH5" s="1962"/>
      <c r="VKI5" s="1962"/>
      <c r="VKJ5" s="1962"/>
      <c r="VKK5" s="1962"/>
      <c r="VKL5" s="1962"/>
      <c r="VKM5" s="1962"/>
      <c r="VKN5" s="1962"/>
      <c r="VKO5" s="1962"/>
      <c r="VKP5" s="1962"/>
      <c r="VKQ5" s="1962"/>
      <c r="VKR5" s="1962"/>
      <c r="VKS5" s="1962"/>
      <c r="VKT5" s="1962"/>
      <c r="VKU5" s="1962"/>
      <c r="VKV5" s="1962"/>
      <c r="VKW5" s="1962"/>
      <c r="VKX5" s="1962"/>
      <c r="VKY5" s="1962"/>
      <c r="VKZ5" s="1962"/>
      <c r="VLA5" s="1962"/>
      <c r="VLB5" s="1962"/>
      <c r="VLC5" s="1962"/>
      <c r="VLD5" s="1962"/>
      <c r="VLE5" s="1962"/>
      <c r="VLF5" s="1962"/>
      <c r="VLG5" s="1962"/>
      <c r="VLH5" s="1962"/>
      <c r="VLI5" s="1962"/>
      <c r="VLJ5" s="1962"/>
      <c r="VLK5" s="1962"/>
      <c r="VLL5" s="1962"/>
      <c r="VLM5" s="1962"/>
      <c r="VLN5" s="1962"/>
      <c r="VLO5" s="1962"/>
      <c r="VLP5" s="1962"/>
      <c r="VLQ5" s="1962"/>
      <c r="VLR5" s="1962"/>
      <c r="VLS5" s="1962"/>
      <c r="VLT5" s="1962"/>
      <c r="VLU5" s="1962"/>
      <c r="VLV5" s="1962"/>
      <c r="VLW5" s="1962"/>
      <c r="VLX5" s="1962"/>
      <c r="VLY5" s="1962"/>
      <c r="VLZ5" s="1962"/>
      <c r="VMA5" s="1962"/>
      <c r="VMB5" s="1962"/>
      <c r="VMC5" s="1962"/>
      <c r="VMD5" s="1962"/>
      <c r="VME5" s="1962"/>
      <c r="VMF5" s="1962"/>
      <c r="VMG5" s="1962"/>
      <c r="VMH5" s="1962"/>
      <c r="VMI5" s="1962"/>
      <c r="VMJ5" s="1962"/>
      <c r="VMK5" s="1962"/>
      <c r="VML5" s="1962"/>
      <c r="VMM5" s="1962"/>
      <c r="VMN5" s="1962"/>
      <c r="VMO5" s="1962"/>
      <c r="VMP5" s="1962"/>
      <c r="VMQ5" s="1962"/>
      <c r="VMR5" s="1962"/>
      <c r="VMS5" s="1962"/>
      <c r="VMT5" s="1962"/>
      <c r="VMU5" s="1962"/>
      <c r="VMV5" s="1962"/>
      <c r="VMW5" s="1962"/>
      <c r="VMX5" s="1962"/>
      <c r="VMY5" s="1962"/>
      <c r="VMZ5" s="1962"/>
      <c r="VNA5" s="1962"/>
      <c r="VNB5" s="1962"/>
      <c r="VNC5" s="1962"/>
      <c r="VND5" s="1962"/>
      <c r="VNE5" s="1962"/>
      <c r="VNF5" s="1962"/>
      <c r="VNG5" s="1962"/>
      <c r="VNH5" s="1962"/>
      <c r="VNI5" s="1962"/>
      <c r="VNJ5" s="1962"/>
      <c r="VNK5" s="1962"/>
      <c r="VNL5" s="1962"/>
      <c r="VNM5" s="1962"/>
      <c r="VNN5" s="1962"/>
      <c r="VNO5" s="1962"/>
      <c r="VNP5" s="1962"/>
      <c r="VNQ5" s="1962"/>
      <c r="VNR5" s="1962"/>
      <c r="VNS5" s="1962"/>
      <c r="VNT5" s="1962"/>
      <c r="VNU5" s="1962"/>
      <c r="VNV5" s="1962"/>
      <c r="VNW5" s="1962"/>
      <c r="VNX5" s="1962"/>
      <c r="VNY5" s="1962"/>
      <c r="VNZ5" s="1962"/>
      <c r="VOA5" s="1962"/>
      <c r="VOB5" s="1962"/>
      <c r="VOC5" s="1962"/>
      <c r="VOD5" s="1962"/>
      <c r="VOE5" s="1962"/>
      <c r="VOF5" s="1962"/>
      <c r="VOG5" s="1962"/>
      <c r="VOH5" s="1962"/>
      <c r="VOI5" s="1962"/>
      <c r="VOJ5" s="1962"/>
      <c r="VOK5" s="1962"/>
      <c r="VOL5" s="1962"/>
      <c r="VOM5" s="1962"/>
      <c r="VON5" s="1962"/>
      <c r="VOO5" s="1962"/>
      <c r="VOP5" s="1962"/>
      <c r="VOQ5" s="1962"/>
      <c r="VOR5" s="1962"/>
      <c r="VOS5" s="1962"/>
      <c r="VOT5" s="1962"/>
      <c r="VOU5" s="1962"/>
      <c r="VOV5" s="1962"/>
      <c r="VOW5" s="1962"/>
      <c r="VOX5" s="1962"/>
      <c r="VOY5" s="1962"/>
      <c r="VOZ5" s="1962"/>
      <c r="VPA5" s="1962"/>
      <c r="VPB5" s="1962"/>
      <c r="VPC5" s="1962"/>
      <c r="VPD5" s="1962"/>
      <c r="VPE5" s="1962"/>
      <c r="VPF5" s="1962"/>
      <c r="VPG5" s="1962"/>
      <c r="VPH5" s="1962"/>
      <c r="VPI5" s="1962"/>
      <c r="VPJ5" s="1962"/>
      <c r="VPK5" s="1962"/>
      <c r="VPL5" s="1962"/>
      <c r="VPM5" s="1962"/>
      <c r="VPN5" s="1962"/>
      <c r="VPO5" s="1962"/>
      <c r="VPP5" s="1962"/>
      <c r="VPQ5" s="1962"/>
      <c r="VPR5" s="1962"/>
      <c r="VPS5" s="1962"/>
      <c r="VPT5" s="1962"/>
      <c r="VPU5" s="1962"/>
      <c r="VPV5" s="1962"/>
      <c r="VPW5" s="1962"/>
      <c r="VPX5" s="1962"/>
      <c r="VPY5" s="1962"/>
      <c r="VPZ5" s="1962"/>
      <c r="VQA5" s="1962"/>
      <c r="VQB5" s="1962"/>
      <c r="VQC5" s="1962"/>
      <c r="VQD5" s="1962"/>
      <c r="VQE5" s="1962"/>
      <c r="VQF5" s="1962"/>
      <c r="VQG5" s="1962"/>
      <c r="VQH5" s="1962"/>
      <c r="VQI5" s="1962"/>
      <c r="VQJ5" s="1962"/>
      <c r="VQK5" s="1962"/>
      <c r="VQL5" s="1962"/>
      <c r="VQM5" s="1962"/>
      <c r="VQN5" s="1962"/>
      <c r="VQO5" s="1962"/>
      <c r="VQP5" s="1962"/>
      <c r="VQQ5" s="1962"/>
      <c r="VQR5" s="1962"/>
      <c r="VQS5" s="1962"/>
      <c r="VQT5" s="1962"/>
      <c r="VQU5" s="1962"/>
      <c r="VQV5" s="1962"/>
      <c r="VQW5" s="1962"/>
      <c r="VQX5" s="1962"/>
      <c r="VQY5" s="1962"/>
      <c r="VQZ5" s="1962"/>
      <c r="VRA5" s="1962"/>
      <c r="VRB5" s="1962"/>
      <c r="VRC5" s="1962"/>
      <c r="VRD5" s="1962"/>
      <c r="VRE5" s="1962"/>
      <c r="VRF5" s="1962"/>
      <c r="VRG5" s="1962"/>
      <c r="VRH5" s="1962"/>
      <c r="VRI5" s="1962"/>
      <c r="VRJ5" s="1962"/>
      <c r="VRK5" s="1962"/>
      <c r="VRL5" s="1962"/>
      <c r="VRM5" s="1962"/>
      <c r="VRN5" s="1962"/>
      <c r="VRO5" s="1962"/>
      <c r="VRP5" s="1962"/>
      <c r="VRQ5" s="1962"/>
      <c r="VRR5" s="1962"/>
      <c r="VRS5" s="1962"/>
      <c r="VRT5" s="1962"/>
      <c r="VRU5" s="1962"/>
      <c r="VRV5" s="1962"/>
      <c r="VRW5" s="1962"/>
      <c r="VRX5" s="1962"/>
      <c r="VRY5" s="1962"/>
      <c r="VRZ5" s="1962"/>
      <c r="VSA5" s="1962"/>
      <c r="VSB5" s="1962"/>
      <c r="VSC5" s="1962"/>
      <c r="VSD5" s="1962"/>
      <c r="VSE5" s="1962"/>
      <c r="VSF5" s="1962"/>
      <c r="VSG5" s="1962"/>
      <c r="VSH5" s="1962"/>
      <c r="VSI5" s="1962"/>
      <c r="VSJ5" s="1962"/>
      <c r="VSK5" s="1962"/>
      <c r="VSL5" s="1962"/>
      <c r="VSM5" s="1962"/>
      <c r="VSN5" s="1962"/>
      <c r="VSO5" s="1962"/>
      <c r="VSP5" s="1962"/>
      <c r="VSQ5" s="1962"/>
      <c r="VSR5" s="1962"/>
      <c r="VSS5" s="1962"/>
      <c r="VST5" s="1962"/>
      <c r="VSU5" s="1962"/>
      <c r="VSV5" s="1962"/>
      <c r="VSW5" s="1962"/>
      <c r="VSX5" s="1962"/>
      <c r="VSY5" s="1962"/>
      <c r="VSZ5" s="1962"/>
      <c r="VTA5" s="1962"/>
      <c r="VTB5" s="1962"/>
      <c r="VTC5" s="1962"/>
      <c r="VTD5" s="1962"/>
      <c r="VTE5" s="1962"/>
      <c r="VTF5" s="1962"/>
      <c r="VTG5" s="1962"/>
      <c r="VTH5" s="1962"/>
      <c r="VTI5" s="1962"/>
      <c r="VTJ5" s="1962"/>
      <c r="VTK5" s="1962"/>
      <c r="VTL5" s="1962"/>
      <c r="VTM5" s="1962"/>
      <c r="VTN5" s="1962"/>
      <c r="VTO5" s="1962"/>
      <c r="VTP5" s="1962"/>
      <c r="VTQ5" s="1962"/>
      <c r="VTR5" s="1962"/>
      <c r="VTS5" s="1962"/>
      <c r="VTT5" s="1962"/>
      <c r="VTU5" s="1962"/>
      <c r="VTV5" s="1962"/>
      <c r="VTW5" s="1962"/>
      <c r="VTX5" s="1962"/>
      <c r="VTY5" s="1962"/>
      <c r="VTZ5" s="1962"/>
      <c r="VUA5" s="1962"/>
      <c r="VUB5" s="1962"/>
      <c r="VUC5" s="1962"/>
      <c r="VUD5" s="1962"/>
      <c r="VUE5" s="1962"/>
      <c r="VUF5" s="1962"/>
      <c r="VUG5" s="1962"/>
      <c r="VUH5" s="1962"/>
      <c r="VUI5" s="1962"/>
      <c r="VUJ5" s="1962"/>
      <c r="VUK5" s="1962"/>
      <c r="VUL5" s="1962"/>
      <c r="VUM5" s="1962"/>
      <c r="VUN5" s="1962"/>
      <c r="VUO5" s="1962"/>
      <c r="VUP5" s="1962"/>
      <c r="VUQ5" s="1962"/>
      <c r="VUR5" s="1962"/>
      <c r="VUS5" s="1962"/>
      <c r="VUT5" s="1962"/>
      <c r="VUU5" s="1962"/>
      <c r="VUV5" s="1962"/>
      <c r="VUW5" s="1962"/>
      <c r="VUX5" s="1962"/>
      <c r="VUY5" s="1962"/>
      <c r="VUZ5" s="1962"/>
      <c r="VVA5" s="1962"/>
      <c r="VVB5" s="1962"/>
      <c r="VVC5" s="1962"/>
      <c r="VVD5" s="1962"/>
      <c r="VVE5" s="1962"/>
      <c r="VVF5" s="1962"/>
      <c r="VVG5" s="1962"/>
      <c r="VVH5" s="1962"/>
      <c r="VVI5" s="1962"/>
      <c r="VVJ5" s="1962"/>
      <c r="VVK5" s="1962"/>
      <c r="VVL5" s="1962"/>
      <c r="VVM5" s="1962"/>
      <c r="VVN5" s="1962"/>
      <c r="VVO5" s="1962"/>
      <c r="VVP5" s="1962"/>
      <c r="VVQ5" s="1962"/>
      <c r="VVR5" s="1962"/>
      <c r="VVS5" s="1962"/>
      <c r="VVT5" s="1962"/>
      <c r="VVU5" s="1962"/>
      <c r="VVV5" s="1962"/>
      <c r="VVW5" s="1962"/>
      <c r="VVX5" s="1962"/>
      <c r="VVY5" s="1962"/>
      <c r="VVZ5" s="1962"/>
      <c r="VWA5" s="1962"/>
      <c r="VWB5" s="1962"/>
      <c r="VWC5" s="1962"/>
      <c r="VWD5" s="1962"/>
      <c r="VWE5" s="1962"/>
      <c r="VWF5" s="1962"/>
      <c r="VWG5" s="1962"/>
      <c r="VWH5" s="1962"/>
      <c r="VWI5" s="1962"/>
      <c r="VWJ5" s="1962"/>
      <c r="VWK5" s="1962"/>
      <c r="VWL5" s="1962"/>
      <c r="VWM5" s="1962"/>
      <c r="VWN5" s="1962"/>
      <c r="VWO5" s="1962"/>
      <c r="VWP5" s="1962"/>
      <c r="VWQ5" s="1962"/>
      <c r="VWR5" s="1962"/>
      <c r="VWS5" s="1962"/>
      <c r="VWT5" s="1962"/>
      <c r="VWU5" s="1962"/>
      <c r="VWV5" s="1962"/>
      <c r="VWW5" s="1962"/>
      <c r="VWX5" s="1962"/>
      <c r="VWY5" s="1962"/>
      <c r="VWZ5" s="1962"/>
      <c r="VXA5" s="1962"/>
      <c r="VXB5" s="1962"/>
      <c r="VXC5" s="1962"/>
      <c r="VXD5" s="1962"/>
      <c r="VXE5" s="1962"/>
      <c r="VXF5" s="1962"/>
      <c r="VXG5" s="1962"/>
      <c r="VXH5" s="1962"/>
      <c r="VXI5" s="1962"/>
      <c r="VXJ5" s="1962"/>
      <c r="VXK5" s="1962"/>
      <c r="VXL5" s="1962"/>
      <c r="VXM5" s="1962"/>
      <c r="VXN5" s="1962"/>
      <c r="VXO5" s="1962"/>
      <c r="VXP5" s="1962"/>
      <c r="VXQ5" s="1962"/>
      <c r="VXR5" s="1962"/>
      <c r="VXS5" s="1962"/>
      <c r="VXT5" s="1962"/>
      <c r="VXU5" s="1962"/>
      <c r="VXV5" s="1962"/>
      <c r="VXW5" s="1962"/>
      <c r="VXX5" s="1962"/>
      <c r="VXY5" s="1962"/>
      <c r="VXZ5" s="1962"/>
      <c r="VYA5" s="1962"/>
      <c r="VYB5" s="1962"/>
      <c r="VYC5" s="1962"/>
      <c r="VYD5" s="1962"/>
      <c r="VYE5" s="1962"/>
      <c r="VYF5" s="1962"/>
      <c r="VYG5" s="1962"/>
      <c r="VYH5" s="1962"/>
      <c r="VYI5" s="1962"/>
      <c r="VYJ5" s="1962"/>
      <c r="VYK5" s="1962"/>
      <c r="VYL5" s="1962"/>
      <c r="VYM5" s="1962"/>
      <c r="VYN5" s="1962"/>
      <c r="VYO5" s="1962"/>
      <c r="VYP5" s="1962"/>
      <c r="VYQ5" s="1962"/>
      <c r="VYR5" s="1962"/>
      <c r="VYS5" s="1962"/>
      <c r="VYT5" s="1962"/>
      <c r="VYU5" s="1962"/>
      <c r="VYV5" s="1962"/>
      <c r="VYW5" s="1962"/>
      <c r="VYX5" s="1962"/>
      <c r="VYY5" s="1962"/>
      <c r="VYZ5" s="1962"/>
      <c r="VZA5" s="1962"/>
      <c r="VZB5" s="1962"/>
      <c r="VZC5" s="1962"/>
      <c r="VZD5" s="1962"/>
      <c r="VZE5" s="1962"/>
      <c r="VZF5" s="1962"/>
      <c r="VZG5" s="1962"/>
      <c r="VZH5" s="1962"/>
      <c r="VZI5" s="1962"/>
      <c r="VZJ5" s="1962"/>
      <c r="VZK5" s="1962"/>
      <c r="VZL5" s="1962"/>
      <c r="VZM5" s="1962"/>
      <c r="VZN5" s="1962"/>
      <c r="VZO5" s="1962"/>
      <c r="VZP5" s="1962"/>
      <c r="VZQ5" s="1962"/>
      <c r="VZR5" s="1962"/>
      <c r="VZS5" s="1962"/>
      <c r="VZT5" s="1962"/>
      <c r="VZU5" s="1962"/>
      <c r="VZV5" s="1962"/>
      <c r="VZW5" s="1962"/>
      <c r="VZX5" s="1962"/>
      <c r="VZY5" s="1962"/>
      <c r="VZZ5" s="1962"/>
      <c r="WAA5" s="1962"/>
      <c r="WAB5" s="1962"/>
      <c r="WAC5" s="1962"/>
      <c r="WAD5" s="1962"/>
      <c r="WAE5" s="1962"/>
      <c r="WAF5" s="1962"/>
      <c r="WAG5" s="1962"/>
      <c r="WAH5" s="1962"/>
      <c r="WAI5" s="1962"/>
      <c r="WAJ5" s="1962"/>
      <c r="WAK5" s="1962"/>
      <c r="WAL5" s="1962"/>
      <c r="WAM5" s="1962"/>
      <c r="WAN5" s="1962"/>
      <c r="WAO5" s="1962"/>
      <c r="WAP5" s="1962"/>
      <c r="WAQ5" s="1962"/>
      <c r="WAR5" s="1962"/>
      <c r="WAS5" s="1962"/>
      <c r="WAT5" s="1962"/>
      <c r="WAU5" s="1962"/>
      <c r="WAV5" s="1962"/>
      <c r="WAW5" s="1962"/>
      <c r="WAX5" s="1962"/>
      <c r="WAY5" s="1962"/>
      <c r="WAZ5" s="1962"/>
      <c r="WBA5" s="1962"/>
      <c r="WBB5" s="1962"/>
      <c r="WBC5" s="1962"/>
      <c r="WBD5" s="1962"/>
      <c r="WBE5" s="1962"/>
      <c r="WBF5" s="1962"/>
      <c r="WBG5" s="1962"/>
      <c r="WBH5" s="1962"/>
      <c r="WBI5" s="1962"/>
      <c r="WBJ5" s="1962"/>
      <c r="WBK5" s="1962"/>
      <c r="WBL5" s="1962"/>
      <c r="WBM5" s="1962"/>
      <c r="WBN5" s="1962"/>
      <c r="WBO5" s="1962"/>
      <c r="WBP5" s="1962"/>
      <c r="WBQ5" s="1962"/>
      <c r="WBR5" s="1962"/>
      <c r="WBS5" s="1962"/>
      <c r="WBT5" s="1962"/>
      <c r="WBU5" s="1962"/>
      <c r="WBV5" s="1962"/>
      <c r="WBW5" s="1962"/>
      <c r="WBX5" s="1962"/>
      <c r="WBY5" s="1962"/>
      <c r="WBZ5" s="1962"/>
      <c r="WCA5" s="1962"/>
      <c r="WCB5" s="1962"/>
      <c r="WCC5" s="1962"/>
      <c r="WCD5" s="1962"/>
      <c r="WCE5" s="1962"/>
      <c r="WCF5" s="1962"/>
      <c r="WCG5" s="1962"/>
      <c r="WCH5" s="1962"/>
      <c r="WCI5" s="1962"/>
      <c r="WCJ5" s="1962"/>
      <c r="WCK5" s="1962"/>
      <c r="WCL5" s="1962"/>
      <c r="WCM5" s="1962"/>
      <c r="WCN5" s="1962"/>
      <c r="WCO5" s="1962"/>
      <c r="WCP5" s="1962"/>
      <c r="WCQ5" s="1962"/>
      <c r="WCR5" s="1962"/>
      <c r="WCS5" s="1962"/>
      <c r="WCT5" s="1962"/>
      <c r="WCU5" s="1962"/>
      <c r="WCV5" s="1962"/>
      <c r="WCW5" s="1962"/>
      <c r="WCX5" s="1962"/>
      <c r="WCY5" s="1962"/>
      <c r="WCZ5" s="1962"/>
      <c r="WDA5" s="1962"/>
      <c r="WDB5" s="1962"/>
      <c r="WDC5" s="1962"/>
      <c r="WDD5" s="1962"/>
      <c r="WDE5" s="1962"/>
      <c r="WDF5" s="1962"/>
      <c r="WDG5" s="1962"/>
      <c r="WDH5" s="1962"/>
      <c r="WDI5" s="1962"/>
      <c r="WDJ5" s="1962"/>
      <c r="WDK5" s="1962"/>
      <c r="WDL5" s="1962"/>
      <c r="WDM5" s="1962"/>
      <c r="WDN5" s="1962"/>
      <c r="WDO5" s="1962"/>
      <c r="WDP5" s="1962"/>
      <c r="WDQ5" s="1962"/>
      <c r="WDR5" s="1962"/>
      <c r="WDS5" s="1962"/>
      <c r="WDT5" s="1962"/>
      <c r="WDU5" s="1962"/>
      <c r="WDV5" s="1962"/>
      <c r="WDW5" s="1962"/>
      <c r="WDX5" s="1962"/>
      <c r="WDY5" s="1962"/>
      <c r="WDZ5" s="1962"/>
      <c r="WEA5" s="1962"/>
      <c r="WEB5" s="1962"/>
      <c r="WEC5" s="1962"/>
      <c r="WED5" s="1962"/>
      <c r="WEE5" s="1962"/>
      <c r="WEF5" s="1962"/>
      <c r="WEG5" s="1962"/>
      <c r="WEH5" s="1962"/>
      <c r="WEI5" s="1962"/>
      <c r="WEJ5" s="1962"/>
      <c r="WEK5" s="1962"/>
      <c r="WEL5" s="1962"/>
      <c r="WEM5" s="1962"/>
      <c r="WEN5" s="1962"/>
      <c r="WEO5" s="1962"/>
      <c r="WEP5" s="1962"/>
      <c r="WEQ5" s="1962"/>
      <c r="WER5" s="1962"/>
      <c r="WES5" s="1962"/>
      <c r="WET5" s="1962"/>
      <c r="WEU5" s="1962"/>
      <c r="WEV5" s="1962"/>
      <c r="WEW5" s="1962"/>
      <c r="WEX5" s="1962"/>
      <c r="WEY5" s="1962"/>
      <c r="WEZ5" s="1962"/>
      <c r="WFA5" s="1962"/>
      <c r="WFB5" s="1962"/>
      <c r="WFC5" s="1962"/>
      <c r="WFD5" s="1962"/>
      <c r="WFE5" s="1962"/>
      <c r="WFF5" s="1962"/>
      <c r="WFG5" s="1962"/>
      <c r="WFH5" s="1962"/>
      <c r="WFI5" s="1962"/>
      <c r="WFJ5" s="1962"/>
      <c r="WFK5" s="1962"/>
      <c r="WFL5" s="1962"/>
      <c r="WFM5" s="1962"/>
      <c r="WFN5" s="1962"/>
      <c r="WFO5" s="1962"/>
      <c r="WFP5" s="1962"/>
      <c r="WFQ5" s="1962"/>
      <c r="WFR5" s="1962"/>
      <c r="WFS5" s="1962"/>
      <c r="WFT5" s="1962"/>
      <c r="WFU5" s="1962"/>
      <c r="WFV5" s="1962"/>
      <c r="WFW5" s="1962"/>
      <c r="WFX5" s="1962"/>
      <c r="WFY5" s="1962"/>
      <c r="WFZ5" s="1962"/>
      <c r="WGA5" s="1962"/>
      <c r="WGB5" s="1962"/>
      <c r="WGC5" s="1962"/>
      <c r="WGD5" s="1962"/>
      <c r="WGE5" s="1962"/>
      <c r="WGF5" s="1962"/>
      <c r="WGG5" s="1962"/>
      <c r="WGH5" s="1962"/>
      <c r="WGI5" s="1962"/>
      <c r="WGJ5" s="1962"/>
      <c r="WGK5" s="1962"/>
      <c r="WGL5" s="1962"/>
      <c r="WGM5" s="1962"/>
      <c r="WGN5" s="1962"/>
      <c r="WGO5" s="1962"/>
      <c r="WGP5" s="1962"/>
      <c r="WGQ5" s="1962"/>
      <c r="WGR5" s="1962"/>
      <c r="WGS5" s="1962"/>
      <c r="WGT5" s="1962"/>
      <c r="WGU5" s="1962"/>
      <c r="WGV5" s="1962"/>
      <c r="WGW5" s="1962"/>
      <c r="WGX5" s="1962"/>
      <c r="WGY5" s="1962"/>
      <c r="WGZ5" s="1962"/>
      <c r="WHA5" s="1962"/>
      <c r="WHB5" s="1962"/>
      <c r="WHC5" s="1962"/>
      <c r="WHD5" s="1962"/>
      <c r="WHE5" s="1962"/>
      <c r="WHF5" s="1962"/>
      <c r="WHG5" s="1962"/>
      <c r="WHH5" s="1962"/>
      <c r="WHI5" s="1962"/>
      <c r="WHJ5" s="1962"/>
      <c r="WHK5" s="1962"/>
      <c r="WHL5" s="1962"/>
      <c r="WHM5" s="1962"/>
      <c r="WHN5" s="1962"/>
      <c r="WHO5" s="1962"/>
      <c r="WHP5" s="1962"/>
      <c r="WHQ5" s="1962"/>
      <c r="WHR5" s="1962"/>
      <c r="WHS5" s="1962"/>
      <c r="WHT5" s="1962"/>
      <c r="WHU5" s="1962"/>
      <c r="WHV5" s="1962"/>
      <c r="WHW5" s="1962"/>
      <c r="WHX5" s="1962"/>
      <c r="WHY5" s="1962"/>
      <c r="WHZ5" s="1962"/>
      <c r="WIA5" s="1962"/>
      <c r="WIB5" s="1962"/>
      <c r="WIC5" s="1962"/>
      <c r="WID5" s="1962"/>
      <c r="WIE5" s="1962"/>
      <c r="WIF5" s="1962"/>
      <c r="WIG5" s="1962"/>
      <c r="WIH5" s="1962"/>
      <c r="WII5" s="1962"/>
      <c r="WIJ5" s="1962"/>
      <c r="WIK5" s="1962"/>
      <c r="WIL5" s="1962"/>
      <c r="WIM5" s="1962"/>
      <c r="WIN5" s="1962"/>
      <c r="WIO5" s="1962"/>
      <c r="WIP5" s="1962"/>
      <c r="WIQ5" s="1962"/>
      <c r="WIR5" s="1962"/>
      <c r="WIS5" s="1962"/>
      <c r="WIT5" s="1962"/>
      <c r="WIU5" s="1962"/>
      <c r="WIV5" s="1962"/>
      <c r="WIW5" s="1962"/>
      <c r="WIX5" s="1962"/>
      <c r="WIY5" s="1962"/>
      <c r="WIZ5" s="1962"/>
      <c r="WJA5" s="1962"/>
      <c r="WJB5" s="1962"/>
      <c r="WJC5" s="1962"/>
      <c r="WJD5" s="1962"/>
      <c r="WJE5" s="1962"/>
      <c r="WJF5" s="1962"/>
      <c r="WJG5" s="1962"/>
      <c r="WJH5" s="1962"/>
      <c r="WJI5" s="1962"/>
      <c r="WJJ5" s="1962"/>
      <c r="WJK5" s="1962"/>
      <c r="WJL5" s="1962"/>
      <c r="WJM5" s="1962"/>
      <c r="WJN5" s="1962"/>
      <c r="WJO5" s="1962"/>
      <c r="WJP5" s="1962"/>
      <c r="WJQ5" s="1962"/>
      <c r="WJR5" s="1962"/>
      <c r="WJS5" s="1962"/>
      <c r="WJT5" s="1962"/>
      <c r="WJU5" s="1962"/>
      <c r="WJV5" s="1962"/>
      <c r="WJW5" s="1962"/>
      <c r="WJX5" s="1962"/>
      <c r="WJY5" s="1962"/>
      <c r="WJZ5" s="1962"/>
      <c r="WKA5" s="1962"/>
      <c r="WKB5" s="1962"/>
      <c r="WKC5" s="1962"/>
      <c r="WKD5" s="1962"/>
      <c r="WKE5" s="1962"/>
      <c r="WKF5" s="1962"/>
      <c r="WKG5" s="1962"/>
      <c r="WKH5" s="1962"/>
      <c r="WKI5" s="1962"/>
      <c r="WKJ5" s="1962"/>
      <c r="WKK5" s="1962"/>
      <c r="WKL5" s="1962"/>
      <c r="WKM5" s="1962"/>
      <c r="WKN5" s="1962"/>
      <c r="WKO5" s="1962"/>
      <c r="WKP5" s="1962"/>
      <c r="WKQ5" s="1962"/>
      <c r="WKR5" s="1962"/>
      <c r="WKS5" s="1962"/>
      <c r="WKT5" s="1962"/>
      <c r="WKU5" s="1962"/>
      <c r="WKV5" s="1962"/>
      <c r="WKW5" s="1962"/>
      <c r="WKX5" s="1962"/>
      <c r="WKY5" s="1962"/>
      <c r="WKZ5" s="1962"/>
      <c r="WLA5" s="1962"/>
      <c r="WLB5" s="1962"/>
      <c r="WLC5" s="1962"/>
      <c r="WLD5" s="1962"/>
      <c r="WLE5" s="1962"/>
      <c r="WLF5" s="1962"/>
      <c r="WLG5" s="1962"/>
      <c r="WLH5" s="1962"/>
      <c r="WLI5" s="1962"/>
      <c r="WLJ5" s="1962"/>
      <c r="WLK5" s="1962"/>
      <c r="WLL5" s="1962"/>
      <c r="WLM5" s="1962"/>
      <c r="WLN5" s="1962"/>
      <c r="WLO5" s="1962"/>
      <c r="WLP5" s="1962"/>
      <c r="WLQ5" s="1962"/>
      <c r="WLR5" s="1962"/>
      <c r="WLS5" s="1962"/>
      <c r="WLT5" s="1962"/>
      <c r="WLU5" s="1962"/>
      <c r="WLV5" s="1962"/>
      <c r="WLW5" s="1962"/>
      <c r="WLX5" s="1962"/>
      <c r="WLY5" s="1962"/>
      <c r="WLZ5" s="1962"/>
      <c r="WMA5" s="1962"/>
      <c r="WMB5" s="1962"/>
      <c r="WMC5" s="1962"/>
      <c r="WMD5" s="1962"/>
      <c r="WME5" s="1962"/>
      <c r="WMF5" s="1962"/>
      <c r="WMG5" s="1962"/>
      <c r="WMH5" s="1962"/>
      <c r="WMI5" s="1962"/>
      <c r="WMJ5" s="1962"/>
      <c r="WMK5" s="1962"/>
      <c r="WML5" s="1962"/>
      <c r="WMM5" s="1962"/>
      <c r="WMN5" s="1962"/>
      <c r="WMO5" s="1962"/>
      <c r="WMP5" s="1962"/>
      <c r="WMQ5" s="1962"/>
      <c r="WMR5" s="1962"/>
      <c r="WMS5" s="1962"/>
      <c r="WMT5" s="1962"/>
      <c r="WMU5" s="1962"/>
      <c r="WMV5" s="1962"/>
      <c r="WMW5" s="1962"/>
      <c r="WMX5" s="1962"/>
      <c r="WMY5" s="1962"/>
      <c r="WMZ5" s="1962"/>
      <c r="WNA5" s="1962"/>
      <c r="WNB5" s="1962"/>
      <c r="WNC5" s="1962"/>
      <c r="WND5" s="1962"/>
      <c r="WNE5" s="1962"/>
      <c r="WNF5" s="1962"/>
      <c r="WNG5" s="1962"/>
      <c r="WNH5" s="1962"/>
      <c r="WNI5" s="1962"/>
      <c r="WNJ5" s="1962"/>
      <c r="WNK5" s="1962"/>
      <c r="WNL5" s="1962"/>
      <c r="WNM5" s="1962"/>
      <c r="WNN5" s="1962"/>
      <c r="WNO5" s="1962"/>
      <c r="WNP5" s="1962"/>
      <c r="WNQ5" s="1962"/>
      <c r="WNR5" s="1962"/>
      <c r="WNS5" s="1962"/>
      <c r="WNT5" s="1962"/>
      <c r="WNU5" s="1962"/>
      <c r="WNV5" s="1962"/>
      <c r="WNW5" s="1962"/>
      <c r="WNX5" s="1962"/>
      <c r="WNY5" s="1962"/>
      <c r="WNZ5" s="1962"/>
      <c r="WOA5" s="1962"/>
      <c r="WOB5" s="1962"/>
      <c r="WOC5" s="1962"/>
      <c r="WOD5" s="1962"/>
      <c r="WOE5" s="1962"/>
      <c r="WOF5" s="1962"/>
      <c r="WOG5" s="1962"/>
      <c r="WOH5" s="1962"/>
      <c r="WOI5" s="1962"/>
      <c r="WOJ5" s="1962"/>
      <c r="WOK5" s="1962"/>
      <c r="WOL5" s="1962"/>
      <c r="WOM5" s="1962"/>
      <c r="WON5" s="1962"/>
      <c r="WOO5" s="1962"/>
      <c r="WOP5" s="1962"/>
      <c r="WOQ5" s="1962"/>
      <c r="WOR5" s="1962"/>
      <c r="WOS5" s="1962"/>
      <c r="WOT5" s="1962"/>
      <c r="WOU5" s="1962"/>
      <c r="WOV5" s="1962"/>
      <c r="WOW5" s="1962"/>
      <c r="WOX5" s="1962"/>
      <c r="WOY5" s="1962"/>
      <c r="WOZ5" s="1962"/>
      <c r="WPA5" s="1962"/>
      <c r="WPB5" s="1962"/>
      <c r="WPC5" s="1962"/>
      <c r="WPD5" s="1962"/>
      <c r="WPE5" s="1962"/>
      <c r="WPF5" s="1962"/>
      <c r="WPG5" s="1962"/>
      <c r="WPH5" s="1962"/>
      <c r="WPI5" s="1962"/>
      <c r="WPJ5" s="1962"/>
      <c r="WPK5" s="1962"/>
      <c r="WPL5" s="1962"/>
      <c r="WPM5" s="1962"/>
      <c r="WPN5" s="1962"/>
      <c r="WPO5" s="1962"/>
      <c r="WPP5" s="1962"/>
      <c r="WPQ5" s="1962"/>
      <c r="WPR5" s="1962"/>
      <c r="WPS5" s="1962"/>
      <c r="WPT5" s="1962"/>
      <c r="WPU5" s="1962"/>
      <c r="WPV5" s="1962"/>
      <c r="WPW5" s="1962"/>
      <c r="WPX5" s="1962"/>
      <c r="WPY5" s="1962"/>
      <c r="WPZ5" s="1962"/>
      <c r="WQA5" s="1962"/>
      <c r="WQB5" s="1962"/>
      <c r="WQC5" s="1962"/>
      <c r="WQD5" s="1962"/>
      <c r="WQE5" s="1962"/>
      <c r="WQF5" s="1962"/>
      <c r="WQG5" s="1962"/>
      <c r="WQH5" s="1962"/>
      <c r="WQI5" s="1962"/>
      <c r="WQJ5" s="1962"/>
      <c r="WQK5" s="1962"/>
      <c r="WQL5" s="1962"/>
      <c r="WQM5" s="1962"/>
      <c r="WQN5" s="1962"/>
      <c r="WQO5" s="1962"/>
      <c r="WQP5" s="1962"/>
      <c r="WQQ5" s="1962"/>
      <c r="WQR5" s="1962"/>
      <c r="WQS5" s="1962"/>
      <c r="WQT5" s="1962"/>
      <c r="WQU5" s="1962"/>
      <c r="WQV5" s="1962"/>
      <c r="WQW5" s="1962"/>
      <c r="WQX5" s="1962"/>
      <c r="WQY5" s="1962"/>
      <c r="WQZ5" s="1962"/>
      <c r="WRA5" s="1962"/>
      <c r="WRB5" s="1962"/>
      <c r="WRC5" s="1962"/>
      <c r="WRD5" s="1962"/>
      <c r="WRE5" s="1962"/>
      <c r="WRF5" s="1962"/>
      <c r="WRG5" s="1962"/>
      <c r="WRH5" s="1962"/>
      <c r="WRI5" s="1962"/>
      <c r="WRJ5" s="1962"/>
      <c r="WRK5" s="1962"/>
      <c r="WRL5" s="1962"/>
      <c r="WRM5" s="1962"/>
      <c r="WRN5" s="1962"/>
      <c r="WRO5" s="1962"/>
      <c r="WRP5" s="1962"/>
      <c r="WRQ5" s="1962"/>
      <c r="WRR5" s="1962"/>
      <c r="WRS5" s="1962"/>
      <c r="WRT5" s="1962"/>
      <c r="WRU5" s="1962"/>
      <c r="WRV5" s="1962"/>
      <c r="WRW5" s="1962"/>
      <c r="WRX5" s="1962"/>
      <c r="WRY5" s="1962"/>
      <c r="WRZ5" s="1962"/>
      <c r="WSA5" s="1962"/>
      <c r="WSB5" s="1962"/>
      <c r="WSC5" s="1962"/>
      <c r="WSD5" s="1962"/>
      <c r="WSE5" s="1962"/>
      <c r="WSF5" s="1962"/>
      <c r="WSG5" s="1962"/>
      <c r="WSH5" s="1962"/>
      <c r="WSI5" s="1962"/>
      <c r="WSJ5" s="1962"/>
      <c r="WSK5" s="1962"/>
      <c r="WSL5" s="1962"/>
      <c r="WSM5" s="1962"/>
      <c r="WSN5" s="1962"/>
      <c r="WSO5" s="1962"/>
      <c r="WSP5" s="1962"/>
      <c r="WSQ5" s="1962"/>
      <c r="WSR5" s="1962"/>
      <c r="WSS5" s="1962"/>
      <c r="WST5" s="1962"/>
      <c r="WSU5" s="1962"/>
      <c r="WSV5" s="1962"/>
      <c r="WSW5" s="1962"/>
      <c r="WSX5" s="1962"/>
      <c r="WSY5" s="1962"/>
      <c r="WSZ5" s="1962"/>
      <c r="WTA5" s="1962"/>
      <c r="WTB5" s="1962"/>
      <c r="WTC5" s="1962"/>
      <c r="WTD5" s="1962"/>
      <c r="WTE5" s="1962"/>
      <c r="WTF5" s="1962"/>
      <c r="WTG5" s="1962"/>
      <c r="WTH5" s="1962"/>
      <c r="WTI5" s="1962"/>
      <c r="WTJ5" s="1962"/>
      <c r="WTK5" s="1962"/>
      <c r="WTL5" s="1962"/>
      <c r="WTM5" s="1962"/>
      <c r="WTN5" s="1962"/>
      <c r="WTO5" s="1962"/>
      <c r="WTP5" s="1962"/>
      <c r="WTQ5" s="1962"/>
      <c r="WTR5" s="1962"/>
      <c r="WTS5" s="1962"/>
      <c r="WTT5" s="1962"/>
      <c r="WTU5" s="1962"/>
      <c r="WTV5" s="1962"/>
      <c r="WTW5" s="1962"/>
      <c r="WTX5" s="1962"/>
      <c r="WTY5" s="1962"/>
      <c r="WTZ5" s="1962"/>
      <c r="WUA5" s="1962"/>
      <c r="WUB5" s="1962"/>
      <c r="WUC5" s="1962"/>
      <c r="WUD5" s="1962"/>
      <c r="WUE5" s="1962"/>
      <c r="WUF5" s="1962"/>
      <c r="WUG5" s="1962"/>
      <c r="WUH5" s="1962"/>
      <c r="WUI5" s="1962"/>
      <c r="WUJ5" s="1962"/>
      <c r="WUK5" s="1962"/>
      <c r="WUL5" s="1962"/>
      <c r="WUM5" s="1962"/>
      <c r="WUN5" s="1962"/>
      <c r="WUO5" s="1962"/>
      <c r="WUP5" s="1962"/>
      <c r="WUQ5" s="1962"/>
      <c r="WUR5" s="1962"/>
      <c r="WUS5" s="1962"/>
      <c r="WUT5" s="1962"/>
      <c r="WUU5" s="1962"/>
      <c r="WUV5" s="1962"/>
      <c r="WUW5" s="1962"/>
      <c r="WUX5" s="1962"/>
      <c r="WUY5" s="1962"/>
      <c r="WUZ5" s="1962"/>
      <c r="WVA5" s="1962"/>
      <c r="WVB5" s="1962"/>
      <c r="WVC5" s="1962"/>
      <c r="WVD5" s="1962"/>
      <c r="WVE5" s="1962"/>
      <c r="WVF5" s="1962"/>
      <c r="WVG5" s="1962"/>
      <c r="WVH5" s="1962"/>
      <c r="WVI5" s="1962"/>
      <c r="WVJ5" s="1962"/>
      <c r="WVK5" s="1962"/>
      <c r="WVL5" s="1962"/>
      <c r="WVM5" s="1962"/>
      <c r="WVN5" s="1962"/>
      <c r="WVO5" s="1962"/>
      <c r="WVP5" s="1962"/>
      <c r="WVQ5" s="1962"/>
      <c r="WVR5" s="1962"/>
      <c r="WVS5" s="1962"/>
      <c r="WVT5" s="1962"/>
      <c r="WVU5" s="1962"/>
      <c r="WVV5" s="1962"/>
      <c r="WVW5" s="1962"/>
      <c r="WVX5" s="1962"/>
      <c r="WVY5" s="1962"/>
      <c r="WVZ5" s="1962"/>
      <c r="WWA5" s="1962"/>
      <c r="WWB5" s="1962"/>
      <c r="WWC5" s="1962"/>
      <c r="WWD5" s="1962"/>
      <c r="WWE5" s="1962"/>
      <c r="WWF5" s="1962"/>
      <c r="WWG5" s="1962"/>
      <c r="WWH5" s="1962"/>
      <c r="WWI5" s="1962"/>
      <c r="WWJ5" s="1962"/>
      <c r="WWK5" s="1962"/>
      <c r="WWL5" s="1962"/>
      <c r="WWM5" s="1962"/>
      <c r="WWN5" s="1962"/>
      <c r="WWO5" s="1962"/>
      <c r="WWP5" s="1962"/>
      <c r="WWQ5" s="1962"/>
      <c r="WWR5" s="1962"/>
      <c r="WWS5" s="1962"/>
      <c r="WWT5" s="1962"/>
      <c r="WWU5" s="1962"/>
      <c r="WWV5" s="1962"/>
      <c r="WWW5" s="1962"/>
      <c r="WWX5" s="1962"/>
      <c r="WWY5" s="1962"/>
      <c r="WWZ5" s="1962"/>
      <c r="WXA5" s="1962"/>
      <c r="WXB5" s="1962"/>
      <c r="WXC5" s="1962"/>
      <c r="WXD5" s="1962"/>
      <c r="WXE5" s="1962"/>
      <c r="WXF5" s="1962"/>
      <c r="WXG5" s="1962"/>
      <c r="WXH5" s="1962"/>
      <c r="WXI5" s="1962"/>
      <c r="WXJ5" s="1962"/>
      <c r="WXK5" s="1962"/>
      <c r="WXL5" s="1962"/>
      <c r="WXM5" s="1962"/>
      <c r="WXN5" s="1962"/>
      <c r="WXO5" s="1962"/>
      <c r="WXP5" s="1962"/>
      <c r="WXQ5" s="1962"/>
      <c r="WXR5" s="1962"/>
      <c r="WXS5" s="1962"/>
      <c r="WXT5" s="1962"/>
      <c r="WXU5" s="1962"/>
      <c r="WXV5" s="1962"/>
      <c r="WXW5" s="1962"/>
      <c r="WXX5" s="1962"/>
      <c r="WXY5" s="1962"/>
      <c r="WXZ5" s="1962"/>
      <c r="WYA5" s="1962"/>
      <c r="WYB5" s="1962"/>
      <c r="WYC5" s="1962"/>
      <c r="WYD5" s="1962"/>
      <c r="WYE5" s="1962"/>
      <c r="WYF5" s="1962"/>
      <c r="WYG5" s="1962"/>
      <c r="WYH5" s="1962"/>
      <c r="WYI5" s="1962"/>
      <c r="WYJ5" s="1962"/>
      <c r="WYK5" s="1962"/>
      <c r="WYL5" s="1962"/>
      <c r="WYM5" s="1962"/>
      <c r="WYN5" s="1962"/>
      <c r="WYO5" s="1962"/>
      <c r="WYP5" s="1962"/>
      <c r="WYQ5" s="1962"/>
      <c r="WYR5" s="1962"/>
      <c r="WYS5" s="1962"/>
      <c r="WYT5" s="1962"/>
      <c r="WYU5" s="1962"/>
      <c r="WYV5" s="1962"/>
      <c r="WYW5" s="1962"/>
      <c r="WYX5" s="1962"/>
      <c r="WYY5" s="1962"/>
      <c r="WYZ5" s="1962"/>
      <c r="WZA5" s="1962"/>
      <c r="WZB5" s="1962"/>
      <c r="WZC5" s="1962"/>
      <c r="WZD5" s="1962"/>
      <c r="WZE5" s="1962"/>
      <c r="WZF5" s="1962"/>
      <c r="WZG5" s="1962"/>
      <c r="WZH5" s="1962"/>
      <c r="WZI5" s="1962"/>
      <c r="WZJ5" s="1962"/>
      <c r="WZK5" s="1962"/>
      <c r="WZL5" s="1962"/>
      <c r="WZM5" s="1962"/>
      <c r="WZN5" s="1962"/>
      <c r="WZO5" s="1962"/>
      <c r="WZP5" s="1962"/>
      <c r="WZQ5" s="1962"/>
      <c r="WZR5" s="1962"/>
      <c r="WZS5" s="1962"/>
      <c r="WZT5" s="1962"/>
      <c r="WZU5" s="1962"/>
      <c r="WZV5" s="1962"/>
      <c r="WZW5" s="1962"/>
      <c r="WZX5" s="1962"/>
      <c r="WZY5" s="1962"/>
      <c r="WZZ5" s="1962"/>
      <c r="XAA5" s="1962"/>
      <c r="XAB5" s="1962"/>
      <c r="XAC5" s="1962"/>
      <c r="XAD5" s="1962"/>
      <c r="XAE5" s="1962"/>
      <c r="XAF5" s="1962"/>
      <c r="XAG5" s="1962"/>
      <c r="XAH5" s="1962"/>
      <c r="XAI5" s="1962"/>
      <c r="XAJ5" s="1962"/>
      <c r="XAK5" s="1962"/>
      <c r="XAL5" s="1962"/>
      <c r="XAM5" s="1962"/>
      <c r="XAN5" s="1962"/>
      <c r="XAO5" s="1962"/>
      <c r="XAP5" s="1962"/>
      <c r="XAQ5" s="1962"/>
      <c r="XAR5" s="1962"/>
      <c r="XAS5" s="1962"/>
      <c r="XAT5" s="1962"/>
      <c r="XAU5" s="1962"/>
      <c r="XAV5" s="1962"/>
      <c r="XAW5" s="1962"/>
      <c r="XAX5" s="1962"/>
      <c r="XAY5" s="1962"/>
      <c r="XAZ5" s="1962"/>
      <c r="XBA5" s="1962"/>
      <c r="XBB5" s="1962"/>
      <c r="XBC5" s="1962"/>
      <c r="XBD5" s="1962"/>
      <c r="XBE5" s="1962"/>
      <c r="XBF5" s="1962"/>
      <c r="XBG5" s="1962"/>
      <c r="XBH5" s="1962"/>
      <c r="XBI5" s="1962"/>
      <c r="XBJ5" s="1962"/>
      <c r="XBK5" s="1962"/>
      <c r="XBL5" s="1962"/>
      <c r="XBM5" s="1962"/>
      <c r="XBN5" s="1962"/>
      <c r="XBO5" s="1962"/>
      <c r="XBP5" s="1962"/>
      <c r="XBQ5" s="1962"/>
      <c r="XBR5" s="1962"/>
      <c r="XBS5" s="1962"/>
      <c r="XBT5" s="1962"/>
      <c r="XBU5" s="1962"/>
      <c r="XBV5" s="1962"/>
      <c r="XBW5" s="1962"/>
      <c r="XBX5" s="1962"/>
      <c r="XBY5" s="1962"/>
      <c r="XBZ5" s="1962"/>
      <c r="XCA5" s="1962"/>
      <c r="XCB5" s="1962"/>
      <c r="XCC5" s="1962"/>
      <c r="XCD5" s="1962"/>
      <c r="XCE5" s="1962"/>
      <c r="XCF5" s="1962"/>
      <c r="XCG5" s="1962"/>
      <c r="XCH5" s="1962"/>
      <c r="XCI5" s="1962"/>
      <c r="XCJ5" s="1962"/>
      <c r="XCK5" s="1962"/>
      <c r="XCL5" s="1962"/>
      <c r="XCM5" s="1962"/>
      <c r="XCN5" s="1962"/>
      <c r="XCO5" s="1962"/>
      <c r="XCP5" s="1962"/>
      <c r="XCQ5" s="1962"/>
      <c r="XCR5" s="1962"/>
      <c r="XCS5" s="1962"/>
      <c r="XCT5" s="1962"/>
      <c r="XCU5" s="1962"/>
      <c r="XCV5" s="1962"/>
      <c r="XCW5" s="1962"/>
      <c r="XCX5" s="1962"/>
      <c r="XCY5" s="1962"/>
      <c r="XCZ5" s="1962"/>
      <c r="XDA5" s="1962"/>
      <c r="XDB5" s="1962"/>
      <c r="XDC5" s="1962"/>
      <c r="XDD5" s="1962"/>
      <c r="XDE5" s="1962"/>
      <c r="XDF5" s="1962"/>
      <c r="XDG5" s="1962"/>
      <c r="XDH5" s="1962"/>
      <c r="XDI5" s="1962"/>
      <c r="XDJ5" s="1962"/>
      <c r="XDK5" s="1962"/>
      <c r="XDL5" s="1962"/>
      <c r="XDM5" s="1962"/>
      <c r="XDN5" s="1962"/>
      <c r="XDO5" s="1962"/>
      <c r="XDP5" s="1962"/>
      <c r="XDQ5" s="1962"/>
      <c r="XDR5" s="1962"/>
      <c r="XDS5" s="1962"/>
      <c r="XDT5" s="1962"/>
      <c r="XDU5" s="1962"/>
      <c r="XDV5" s="1962"/>
      <c r="XDW5" s="1962"/>
      <c r="XDX5" s="1962"/>
      <c r="XDY5" s="1962"/>
      <c r="XDZ5" s="1962"/>
      <c r="XEA5" s="1962"/>
      <c r="XEB5" s="1962"/>
      <c r="XEC5" s="1962"/>
      <c r="XED5" s="1962"/>
      <c r="XEE5" s="1962"/>
      <c r="XEF5" s="1962"/>
      <c r="XEG5" s="1962"/>
      <c r="XEH5" s="1962"/>
      <c r="XEI5" s="1962"/>
      <c r="XEJ5" s="1962"/>
      <c r="XEK5" s="1962"/>
      <c r="XEL5" s="1962"/>
      <c r="XEM5" s="1962"/>
      <c r="XEN5" s="1962"/>
      <c r="XEO5" s="1962"/>
      <c r="XEP5" s="1962"/>
      <c r="XEQ5" s="1962"/>
      <c r="XER5" s="1962"/>
      <c r="XES5" s="1962"/>
      <c r="XET5" s="1962"/>
      <c r="XEU5" s="1962"/>
      <c r="XEV5" s="1962"/>
      <c r="XEW5" s="1962"/>
      <c r="XEX5" s="1962"/>
      <c r="XEY5" s="1962"/>
      <c r="XEZ5" s="1962"/>
      <c r="XFA5" s="1962"/>
      <c r="XFB5" s="1962"/>
      <c r="XFC5" s="1972"/>
      <c r="XFD5" s="1972"/>
    </row>
    <row r="6" s="1964" customFormat="1" ht="15" spans="1:16384">
      <c r="A6" s="1969" t="s">
        <v>1703</v>
      </c>
      <c r="B6" s="1969" t="s">
        <v>1704</v>
      </c>
      <c r="C6" s="1969">
        <v>22594</v>
      </c>
      <c r="D6" s="1969">
        <v>90376</v>
      </c>
      <c r="E6" s="1969" t="s">
        <v>1686</v>
      </c>
      <c r="F6" s="1969" t="s">
        <v>1687</v>
      </c>
      <c r="G6" s="1969" t="s">
        <v>1705</v>
      </c>
      <c r="H6" s="1969" t="s">
        <v>1689</v>
      </c>
      <c r="I6" s="1969" t="s">
        <v>1690</v>
      </c>
      <c r="J6" s="1969" t="s">
        <v>1691</v>
      </c>
      <c r="K6" s="1969" t="s">
        <v>1706</v>
      </c>
      <c r="L6" s="1969">
        <v>27200</v>
      </c>
      <c r="M6" s="1969">
        <v>12038.59</v>
      </c>
      <c r="N6" s="1969">
        <v>802.57</v>
      </c>
      <c r="O6" s="1969">
        <v>3010</v>
      </c>
      <c r="P6" s="1969">
        <v>49.45</v>
      </c>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1962"/>
      <c r="BV6" s="1962"/>
      <c r="BW6" s="1962"/>
      <c r="BX6" s="1962"/>
      <c r="BY6" s="1962"/>
      <c r="BZ6" s="1962"/>
      <c r="CA6" s="1962"/>
      <c r="CB6" s="1962"/>
      <c r="CC6" s="1962"/>
      <c r="CD6" s="1962"/>
      <c r="CE6" s="1962"/>
      <c r="CF6" s="1962"/>
      <c r="CG6" s="1962"/>
      <c r="CH6" s="1962"/>
      <c r="CI6" s="1962"/>
      <c r="CJ6" s="1962"/>
      <c r="CK6" s="1962"/>
      <c r="CL6" s="1962"/>
      <c r="CM6" s="1962"/>
      <c r="CN6" s="1962"/>
      <c r="CO6" s="1962"/>
      <c r="CP6" s="1962"/>
      <c r="CQ6" s="1962"/>
      <c r="CR6" s="1962"/>
      <c r="CS6" s="1962"/>
      <c r="CT6" s="1962"/>
      <c r="CU6" s="1962"/>
      <c r="CV6" s="1962"/>
      <c r="CW6" s="1962"/>
      <c r="CX6" s="1962"/>
      <c r="CY6" s="1962"/>
      <c r="CZ6" s="1962"/>
      <c r="DA6" s="1962"/>
      <c r="DB6" s="1962"/>
      <c r="DC6" s="1962"/>
      <c r="DD6" s="1962"/>
      <c r="DE6" s="1962"/>
      <c r="DF6" s="1962"/>
      <c r="DG6" s="1962"/>
      <c r="DH6" s="1962"/>
      <c r="DI6" s="1962"/>
      <c r="DJ6" s="1962"/>
      <c r="DK6" s="1962"/>
      <c r="DL6" s="1962"/>
      <c r="DM6" s="1962"/>
      <c r="DN6" s="1962"/>
      <c r="DO6" s="1962"/>
      <c r="DP6" s="1962"/>
      <c r="DQ6" s="1962"/>
      <c r="DR6" s="1962"/>
      <c r="DS6" s="1962"/>
      <c r="DT6" s="1962"/>
      <c r="DU6" s="1962"/>
      <c r="DV6" s="1962"/>
      <c r="DW6" s="1962"/>
      <c r="DX6" s="1962"/>
      <c r="DY6" s="1962"/>
      <c r="DZ6" s="1962"/>
      <c r="EA6" s="1962"/>
      <c r="EB6" s="1962"/>
      <c r="EC6" s="1962"/>
      <c r="ED6" s="1962"/>
      <c r="EE6" s="1962"/>
      <c r="EF6" s="1962"/>
      <c r="EG6" s="1962"/>
      <c r="EH6" s="1962"/>
      <c r="EI6" s="1962"/>
      <c r="EJ6" s="1962"/>
      <c r="EK6" s="1962"/>
      <c r="EL6" s="1962"/>
      <c r="EM6" s="1962"/>
      <c r="EN6" s="1962"/>
      <c r="EO6" s="1962"/>
      <c r="EP6" s="1962"/>
      <c r="EQ6" s="1962"/>
      <c r="ER6" s="1962"/>
      <c r="ES6" s="1962"/>
      <c r="ET6" s="1962"/>
      <c r="EU6" s="1962"/>
      <c r="EV6" s="1962"/>
      <c r="EW6" s="1962"/>
      <c r="EX6" s="1962"/>
      <c r="EY6" s="1962"/>
      <c r="EZ6" s="1962"/>
      <c r="FA6" s="1962"/>
      <c r="FB6" s="1962"/>
      <c r="FC6" s="1962"/>
      <c r="FD6" s="1962"/>
      <c r="FE6" s="1962"/>
      <c r="FF6" s="1962"/>
      <c r="FG6" s="1962"/>
      <c r="FH6" s="1962"/>
      <c r="FI6" s="1962"/>
      <c r="FJ6" s="1962"/>
      <c r="FK6" s="1962"/>
      <c r="FL6" s="1962"/>
      <c r="FM6" s="1962"/>
      <c r="FN6" s="1962"/>
      <c r="FO6" s="1962"/>
      <c r="FP6" s="1962"/>
      <c r="FQ6" s="1962"/>
      <c r="FR6" s="1962"/>
      <c r="FS6" s="1962"/>
      <c r="FT6" s="1962"/>
      <c r="FU6" s="1962"/>
      <c r="FV6" s="1962"/>
      <c r="FW6" s="1962"/>
      <c r="FX6" s="1962"/>
      <c r="FY6" s="1962"/>
      <c r="FZ6" s="1962"/>
      <c r="GA6" s="1962"/>
      <c r="GB6" s="1962"/>
      <c r="GC6" s="1962"/>
      <c r="GD6" s="1962"/>
      <c r="GE6" s="1962"/>
      <c r="GF6" s="1962"/>
      <c r="GG6" s="1962"/>
      <c r="GH6" s="1962"/>
      <c r="GI6" s="1962"/>
      <c r="GJ6" s="1962"/>
      <c r="GK6" s="1962"/>
      <c r="GL6" s="1962"/>
      <c r="GM6" s="1962"/>
      <c r="GN6" s="1962"/>
      <c r="GO6" s="1962"/>
      <c r="GP6" s="1962"/>
      <c r="GQ6" s="1962"/>
      <c r="GR6" s="1962"/>
      <c r="GS6" s="1962"/>
      <c r="GT6" s="1962"/>
      <c r="GU6" s="1962"/>
      <c r="GV6" s="1962"/>
      <c r="GW6" s="1962"/>
      <c r="GX6" s="1962"/>
      <c r="GY6" s="1962"/>
      <c r="GZ6" s="1962"/>
      <c r="HA6" s="1962"/>
      <c r="HB6" s="1962"/>
      <c r="HC6" s="1962"/>
      <c r="HD6" s="1962"/>
      <c r="HE6" s="1962"/>
      <c r="HF6" s="1962"/>
      <c r="HG6" s="1962"/>
      <c r="HH6" s="1962"/>
      <c r="HI6" s="1962"/>
      <c r="HJ6" s="1962"/>
      <c r="HK6" s="1962"/>
      <c r="HL6" s="1962"/>
      <c r="HM6" s="1962"/>
      <c r="HN6" s="1962"/>
      <c r="HO6" s="1962"/>
      <c r="HP6" s="1962"/>
      <c r="HQ6" s="1962"/>
      <c r="HR6" s="1962"/>
      <c r="HS6" s="1962"/>
      <c r="HT6" s="1962"/>
      <c r="HU6" s="1962"/>
      <c r="HV6" s="1962"/>
      <c r="HW6" s="1962"/>
      <c r="HX6" s="1962"/>
      <c r="HY6" s="1962"/>
      <c r="HZ6" s="1962"/>
      <c r="IA6" s="1962"/>
      <c r="IB6" s="1962"/>
      <c r="IC6" s="1962"/>
      <c r="ID6" s="1962"/>
      <c r="IE6" s="1962"/>
      <c r="IF6" s="1962"/>
      <c r="IG6" s="1962"/>
      <c r="IH6" s="1962"/>
      <c r="II6" s="1962"/>
      <c r="IJ6" s="1962"/>
      <c r="IK6" s="1962"/>
      <c r="IL6" s="1962"/>
      <c r="IM6" s="1962"/>
      <c r="IN6" s="1962"/>
      <c r="IO6" s="1962"/>
      <c r="IP6" s="1962"/>
      <c r="IQ6" s="1962"/>
      <c r="IR6" s="1962"/>
      <c r="IS6" s="1962"/>
      <c r="IT6" s="1962"/>
      <c r="IU6" s="1962"/>
      <c r="IV6" s="1962"/>
      <c r="IW6" s="1962"/>
      <c r="IX6" s="1962"/>
      <c r="IY6" s="1962"/>
      <c r="IZ6" s="1962"/>
      <c r="JA6" s="1962"/>
      <c r="JB6" s="1962"/>
      <c r="JC6" s="1962"/>
      <c r="JD6" s="1962"/>
      <c r="JE6" s="1962"/>
      <c r="JF6" s="1962"/>
      <c r="JG6" s="1962"/>
      <c r="JH6" s="1962"/>
      <c r="JI6" s="1962"/>
      <c r="JJ6" s="1962"/>
      <c r="JK6" s="1962"/>
      <c r="JL6" s="1962"/>
      <c r="JM6" s="1962"/>
      <c r="JN6" s="1962"/>
      <c r="JO6" s="1962"/>
      <c r="JP6" s="1962"/>
      <c r="JQ6" s="1962"/>
      <c r="JR6" s="1962"/>
      <c r="JS6" s="1962"/>
      <c r="JT6" s="1962"/>
      <c r="JU6" s="1962"/>
      <c r="JV6" s="1962"/>
      <c r="JW6" s="1962"/>
      <c r="JX6" s="1962"/>
      <c r="JY6" s="1962"/>
      <c r="JZ6" s="1962"/>
      <c r="KA6" s="1962"/>
      <c r="KB6" s="1962"/>
      <c r="KC6" s="1962"/>
      <c r="KD6" s="1962"/>
      <c r="KE6" s="1962"/>
      <c r="KF6" s="1962"/>
      <c r="KG6" s="1962"/>
      <c r="KH6" s="1962"/>
      <c r="KI6" s="1962"/>
      <c r="KJ6" s="1962"/>
      <c r="KK6" s="1962"/>
      <c r="KL6" s="1962"/>
      <c r="KM6" s="1962"/>
      <c r="KN6" s="1962"/>
      <c r="KO6" s="1962"/>
      <c r="KP6" s="1962"/>
      <c r="KQ6" s="1962"/>
      <c r="KR6" s="1962"/>
      <c r="KS6" s="1962"/>
      <c r="KT6" s="1962"/>
      <c r="KU6" s="1962"/>
      <c r="KV6" s="1962"/>
      <c r="KW6" s="1962"/>
      <c r="KX6" s="1962"/>
      <c r="KY6" s="1962"/>
      <c r="KZ6" s="1962"/>
      <c r="LA6" s="1962"/>
      <c r="LB6" s="1962"/>
      <c r="LC6" s="1962"/>
      <c r="LD6" s="1962"/>
      <c r="LE6" s="1962"/>
      <c r="LF6" s="1962"/>
      <c r="LG6" s="1962"/>
      <c r="LH6" s="1962"/>
      <c r="LI6" s="1962"/>
      <c r="LJ6" s="1962"/>
      <c r="LK6" s="1962"/>
      <c r="LL6" s="1962"/>
      <c r="LM6" s="1962"/>
      <c r="LN6" s="1962"/>
      <c r="LO6" s="1962"/>
      <c r="LP6" s="1962"/>
      <c r="LQ6" s="1962"/>
      <c r="LR6" s="1962"/>
      <c r="LS6" s="1962"/>
      <c r="LT6" s="1962"/>
      <c r="LU6" s="1962"/>
      <c r="LV6" s="1962"/>
      <c r="LW6" s="1962"/>
      <c r="LX6" s="1962"/>
      <c r="LY6" s="1962"/>
      <c r="LZ6" s="1962"/>
      <c r="MA6" s="1962"/>
      <c r="MB6" s="1962"/>
      <c r="MC6" s="1962"/>
      <c r="MD6" s="1962"/>
      <c r="ME6" s="1962"/>
      <c r="MF6" s="1962"/>
      <c r="MG6" s="1962"/>
      <c r="MH6" s="1962"/>
      <c r="MI6" s="1962"/>
      <c r="MJ6" s="1962"/>
      <c r="MK6" s="1962"/>
      <c r="ML6" s="1962"/>
      <c r="MM6" s="1962"/>
      <c r="MN6" s="1962"/>
      <c r="MO6" s="1962"/>
      <c r="MP6" s="1962"/>
      <c r="MQ6" s="1962"/>
      <c r="MR6" s="1962"/>
      <c r="MS6" s="1962"/>
      <c r="MT6" s="1962"/>
      <c r="MU6" s="1962"/>
      <c r="MV6" s="1962"/>
      <c r="MW6" s="1962"/>
      <c r="MX6" s="1962"/>
      <c r="MY6" s="1962"/>
      <c r="MZ6" s="1962"/>
      <c r="NA6" s="1962"/>
      <c r="NB6" s="1962"/>
      <c r="NC6" s="1962"/>
      <c r="ND6" s="1962"/>
      <c r="NE6" s="1962"/>
      <c r="NF6" s="1962"/>
      <c r="NG6" s="1962"/>
      <c r="NH6" s="1962"/>
      <c r="NI6" s="1962"/>
      <c r="NJ6" s="1962"/>
      <c r="NK6" s="1962"/>
      <c r="NL6" s="1962"/>
      <c r="NM6" s="1962"/>
      <c r="NN6" s="1962"/>
      <c r="NO6" s="1962"/>
      <c r="NP6" s="1962"/>
      <c r="NQ6" s="1962"/>
      <c r="NR6" s="1962"/>
      <c r="NS6" s="1962"/>
      <c r="NT6" s="1962"/>
      <c r="NU6" s="1962"/>
      <c r="NV6" s="1962"/>
      <c r="NW6" s="1962"/>
      <c r="NX6" s="1962"/>
      <c r="NY6" s="1962"/>
      <c r="NZ6" s="1962"/>
      <c r="OA6" s="1962"/>
      <c r="OB6" s="1962"/>
      <c r="OC6" s="1962"/>
      <c r="OD6" s="1962"/>
      <c r="OE6" s="1962"/>
      <c r="OF6" s="1962"/>
      <c r="OG6" s="1962"/>
      <c r="OH6" s="1962"/>
      <c r="OI6" s="1962"/>
      <c r="OJ6" s="1962"/>
      <c r="OK6" s="1962"/>
      <c r="OL6" s="1962"/>
      <c r="OM6" s="1962"/>
      <c r="ON6" s="1962"/>
      <c r="OO6" s="1962"/>
      <c r="OP6" s="1962"/>
      <c r="OQ6" s="1962"/>
      <c r="OR6" s="1962"/>
      <c r="OS6" s="1962"/>
      <c r="OT6" s="1962"/>
      <c r="OU6" s="1962"/>
      <c r="OV6" s="1962"/>
      <c r="OW6" s="1962"/>
      <c r="OX6" s="1962"/>
      <c r="OY6" s="1962"/>
      <c r="OZ6" s="1962"/>
      <c r="PA6" s="1962"/>
      <c r="PB6" s="1962"/>
      <c r="PC6" s="1962"/>
      <c r="PD6" s="1962"/>
      <c r="PE6" s="1962"/>
      <c r="PF6" s="1962"/>
      <c r="PG6" s="1962"/>
      <c r="PH6" s="1962"/>
      <c r="PI6" s="1962"/>
      <c r="PJ6" s="1962"/>
      <c r="PK6" s="1962"/>
      <c r="PL6" s="1962"/>
      <c r="PM6" s="1962"/>
      <c r="PN6" s="1962"/>
      <c r="PO6" s="1962"/>
      <c r="PP6" s="1962"/>
      <c r="PQ6" s="1962"/>
      <c r="PR6" s="1962"/>
      <c r="PS6" s="1962"/>
      <c r="PT6" s="1962"/>
      <c r="PU6" s="1962"/>
      <c r="PV6" s="1962"/>
      <c r="PW6" s="1962"/>
      <c r="PX6" s="1962"/>
      <c r="PY6" s="1962"/>
      <c r="PZ6" s="1962"/>
      <c r="QA6" s="1962"/>
      <c r="QB6" s="1962"/>
      <c r="QC6" s="1962"/>
      <c r="QD6" s="1962"/>
      <c r="QE6" s="1962"/>
      <c r="QF6" s="1962"/>
      <c r="QG6" s="1962"/>
      <c r="QH6" s="1962"/>
      <c r="QI6" s="1962"/>
      <c r="QJ6" s="1962"/>
      <c r="QK6" s="1962"/>
      <c r="QL6" s="1962"/>
      <c r="QM6" s="1962"/>
      <c r="QN6" s="1962"/>
      <c r="QO6" s="1962"/>
      <c r="QP6" s="1962"/>
      <c r="QQ6" s="1962"/>
      <c r="QR6" s="1962"/>
      <c r="QS6" s="1962"/>
      <c r="QT6" s="1962"/>
      <c r="QU6" s="1962"/>
      <c r="QV6" s="1962"/>
      <c r="QW6" s="1962"/>
      <c r="QX6" s="1962"/>
      <c r="QY6" s="1962"/>
      <c r="QZ6" s="1962"/>
      <c r="RA6" s="1962"/>
      <c r="RB6" s="1962"/>
      <c r="RC6" s="1962"/>
      <c r="RD6" s="1962"/>
      <c r="RE6" s="1962"/>
      <c r="RF6" s="1962"/>
      <c r="RG6" s="1962"/>
      <c r="RH6" s="1962"/>
      <c r="RI6" s="1962"/>
      <c r="RJ6" s="1962"/>
      <c r="RK6" s="1962"/>
      <c r="RL6" s="1962"/>
      <c r="RM6" s="1962"/>
      <c r="RN6" s="1962"/>
      <c r="RO6" s="1962"/>
      <c r="RP6" s="1962"/>
      <c r="RQ6" s="1962"/>
      <c r="RR6" s="1962"/>
      <c r="RS6" s="1962"/>
      <c r="RT6" s="1962"/>
      <c r="RU6" s="1962"/>
      <c r="RV6" s="1962"/>
      <c r="RW6" s="1962"/>
      <c r="RX6" s="1962"/>
      <c r="RY6" s="1962"/>
      <c r="RZ6" s="1962"/>
      <c r="SA6" s="1962"/>
      <c r="SB6" s="1962"/>
      <c r="SC6" s="1962"/>
      <c r="SD6" s="1962"/>
      <c r="SE6" s="1962"/>
      <c r="SF6" s="1962"/>
      <c r="SG6" s="1962"/>
      <c r="SH6" s="1962"/>
      <c r="SI6" s="1962"/>
      <c r="SJ6" s="1962"/>
      <c r="SK6" s="1962"/>
      <c r="SL6" s="1962"/>
      <c r="SM6" s="1962"/>
      <c r="SN6" s="1962"/>
      <c r="SO6" s="1962"/>
      <c r="SP6" s="1962"/>
      <c r="SQ6" s="1962"/>
      <c r="SR6" s="1962"/>
      <c r="SS6" s="1962"/>
      <c r="ST6" s="1962"/>
      <c r="SU6" s="1962"/>
      <c r="SV6" s="1962"/>
      <c r="SW6" s="1962"/>
      <c r="SX6" s="1962"/>
      <c r="SY6" s="1962"/>
      <c r="SZ6" s="1962"/>
      <c r="TA6" s="1962"/>
      <c r="TB6" s="1962"/>
      <c r="TC6" s="1962"/>
      <c r="TD6" s="1962"/>
      <c r="TE6" s="1962"/>
      <c r="TF6" s="1962"/>
      <c r="TG6" s="1962"/>
      <c r="TH6" s="1962"/>
      <c r="TI6" s="1962"/>
      <c r="TJ6" s="1962"/>
      <c r="TK6" s="1962"/>
      <c r="TL6" s="1962"/>
      <c r="TM6" s="1962"/>
      <c r="TN6" s="1962"/>
      <c r="TO6" s="1962"/>
      <c r="TP6" s="1962"/>
      <c r="TQ6" s="1962"/>
      <c r="TR6" s="1962"/>
      <c r="TS6" s="1962"/>
      <c r="TT6" s="1962"/>
      <c r="TU6" s="1962"/>
      <c r="TV6" s="1962"/>
      <c r="TW6" s="1962"/>
      <c r="TX6" s="1962"/>
      <c r="TY6" s="1962"/>
      <c r="TZ6" s="1962"/>
      <c r="UA6" s="1962"/>
      <c r="UB6" s="1962"/>
      <c r="UC6" s="1962"/>
      <c r="UD6" s="1962"/>
      <c r="UE6" s="1962"/>
      <c r="UF6" s="1962"/>
      <c r="UG6" s="1962"/>
      <c r="UH6" s="1962"/>
      <c r="UI6" s="1962"/>
      <c r="UJ6" s="1962"/>
      <c r="UK6" s="1962"/>
      <c r="UL6" s="1962"/>
      <c r="UM6" s="1962"/>
      <c r="UN6" s="1962"/>
      <c r="UO6" s="1962"/>
      <c r="UP6" s="1962"/>
      <c r="UQ6" s="1962"/>
      <c r="UR6" s="1962"/>
      <c r="US6" s="1962"/>
      <c r="UT6" s="1962"/>
      <c r="UU6" s="1962"/>
      <c r="UV6" s="1962"/>
      <c r="UW6" s="1962"/>
      <c r="UX6" s="1962"/>
      <c r="UY6" s="1962"/>
      <c r="UZ6" s="1962"/>
      <c r="VA6" s="1962"/>
      <c r="VB6" s="1962"/>
      <c r="VC6" s="1962"/>
      <c r="VD6" s="1962"/>
      <c r="VE6" s="1962"/>
      <c r="VF6" s="1962"/>
      <c r="VG6" s="1962"/>
      <c r="VH6" s="1962"/>
      <c r="VI6" s="1962"/>
      <c r="VJ6" s="1962"/>
      <c r="VK6" s="1962"/>
      <c r="VL6" s="1962"/>
      <c r="VM6" s="1962"/>
      <c r="VN6" s="1962"/>
      <c r="VO6" s="1962"/>
      <c r="VP6" s="1962"/>
      <c r="VQ6" s="1962"/>
      <c r="VR6" s="1962"/>
      <c r="VS6" s="1962"/>
      <c r="VT6" s="1962"/>
      <c r="VU6" s="1962"/>
      <c r="VV6" s="1962"/>
      <c r="VW6" s="1962"/>
      <c r="VX6" s="1962"/>
      <c r="VY6" s="1962"/>
      <c r="VZ6" s="1962"/>
      <c r="WA6" s="1962"/>
      <c r="WB6" s="1962"/>
      <c r="WC6" s="1962"/>
      <c r="WD6" s="1962"/>
      <c r="WE6" s="1962"/>
      <c r="WF6" s="1962"/>
      <c r="WG6" s="1962"/>
      <c r="WH6" s="1962"/>
      <c r="WI6" s="1962"/>
      <c r="WJ6" s="1962"/>
      <c r="WK6" s="1962"/>
      <c r="WL6" s="1962"/>
      <c r="WM6" s="1962"/>
      <c r="WN6" s="1962"/>
      <c r="WO6" s="1962"/>
      <c r="WP6" s="1962"/>
      <c r="WQ6" s="1962"/>
      <c r="WR6" s="1962"/>
      <c r="WS6" s="1962"/>
      <c r="WT6" s="1962"/>
      <c r="WU6" s="1962"/>
      <c r="WV6" s="1962"/>
      <c r="WW6" s="1962"/>
      <c r="WX6" s="1962"/>
      <c r="WY6" s="1962"/>
      <c r="WZ6" s="1962"/>
      <c r="XA6" s="1962"/>
      <c r="XB6" s="1962"/>
      <c r="XC6" s="1962"/>
      <c r="XD6" s="1962"/>
      <c r="XE6" s="1962"/>
      <c r="XF6" s="1962"/>
      <c r="XG6" s="1962"/>
      <c r="XH6" s="1962"/>
      <c r="XI6" s="1962"/>
      <c r="XJ6" s="1962"/>
      <c r="XK6" s="1962"/>
      <c r="XL6" s="1962"/>
      <c r="XM6" s="1962"/>
      <c r="XN6" s="1962"/>
      <c r="XO6" s="1962"/>
      <c r="XP6" s="1962"/>
      <c r="XQ6" s="1962"/>
      <c r="XR6" s="1962"/>
      <c r="XS6" s="1962"/>
      <c r="XT6" s="1962"/>
      <c r="XU6" s="1962"/>
      <c r="XV6" s="1962"/>
      <c r="XW6" s="1962"/>
      <c r="XX6" s="1962"/>
      <c r="XY6" s="1962"/>
      <c r="XZ6" s="1962"/>
      <c r="YA6" s="1962"/>
      <c r="YB6" s="1962"/>
      <c r="YC6" s="1962"/>
      <c r="YD6" s="1962"/>
      <c r="YE6" s="1962"/>
      <c r="YF6" s="1962"/>
      <c r="YG6" s="1962"/>
      <c r="YH6" s="1962"/>
      <c r="YI6" s="1962"/>
      <c r="YJ6" s="1962"/>
      <c r="YK6" s="1962"/>
      <c r="YL6" s="1962"/>
      <c r="YM6" s="1962"/>
      <c r="YN6" s="1962"/>
      <c r="YO6" s="1962"/>
      <c r="YP6" s="1962"/>
      <c r="YQ6" s="1962"/>
      <c r="YR6" s="1962"/>
      <c r="YS6" s="1962"/>
      <c r="YT6" s="1962"/>
      <c r="YU6" s="1962"/>
      <c r="YV6" s="1962"/>
      <c r="YW6" s="1962"/>
      <c r="YX6" s="1962"/>
      <c r="YY6" s="1962"/>
      <c r="YZ6" s="1962"/>
      <c r="ZA6" s="1962"/>
      <c r="ZB6" s="1962"/>
      <c r="ZC6" s="1962"/>
      <c r="ZD6" s="1962"/>
      <c r="ZE6" s="1962"/>
      <c r="ZF6" s="1962"/>
      <c r="ZG6" s="1962"/>
      <c r="ZH6" s="1962"/>
      <c r="ZI6" s="1962"/>
      <c r="ZJ6" s="1962"/>
      <c r="ZK6" s="1962"/>
      <c r="ZL6" s="1962"/>
      <c r="ZM6" s="1962"/>
      <c r="ZN6" s="1962"/>
      <c r="ZO6" s="1962"/>
      <c r="ZP6" s="1962"/>
      <c r="ZQ6" s="1962"/>
      <c r="ZR6" s="1962"/>
      <c r="ZS6" s="1962"/>
      <c r="ZT6" s="1962"/>
      <c r="ZU6" s="1962"/>
      <c r="ZV6" s="1962"/>
      <c r="ZW6" s="1962"/>
      <c r="ZX6" s="1962"/>
      <c r="ZY6" s="1962"/>
      <c r="ZZ6" s="1962"/>
      <c r="AAA6" s="1962"/>
      <c r="AAB6" s="1962"/>
      <c r="AAC6" s="1962"/>
      <c r="AAD6" s="1962"/>
      <c r="AAE6" s="1962"/>
      <c r="AAF6" s="1962"/>
      <c r="AAG6" s="1962"/>
      <c r="AAH6" s="1962"/>
      <c r="AAI6" s="1962"/>
      <c r="AAJ6" s="1962"/>
      <c r="AAK6" s="1962"/>
      <c r="AAL6" s="1962"/>
      <c r="AAM6" s="1962"/>
      <c r="AAN6" s="1962"/>
      <c r="AAO6" s="1962"/>
      <c r="AAP6" s="1962"/>
      <c r="AAQ6" s="1962"/>
      <c r="AAR6" s="1962"/>
      <c r="AAS6" s="1962"/>
      <c r="AAT6" s="1962"/>
      <c r="AAU6" s="1962"/>
      <c r="AAV6" s="1962"/>
      <c r="AAW6" s="1962"/>
      <c r="AAX6" s="1962"/>
      <c r="AAY6" s="1962"/>
      <c r="AAZ6" s="1962"/>
      <c r="ABA6" s="1962"/>
      <c r="ABB6" s="1962"/>
      <c r="ABC6" s="1962"/>
      <c r="ABD6" s="1962"/>
      <c r="ABE6" s="1962"/>
      <c r="ABF6" s="1962"/>
      <c r="ABG6" s="1962"/>
      <c r="ABH6" s="1962"/>
      <c r="ABI6" s="1962"/>
      <c r="ABJ6" s="1962"/>
      <c r="ABK6" s="1962"/>
      <c r="ABL6" s="1962"/>
      <c r="ABM6" s="1962"/>
      <c r="ABN6" s="1962"/>
      <c r="ABO6" s="1962"/>
      <c r="ABP6" s="1962"/>
      <c r="ABQ6" s="1962"/>
      <c r="ABR6" s="1962"/>
      <c r="ABS6" s="1962"/>
      <c r="ABT6" s="1962"/>
      <c r="ABU6" s="1962"/>
      <c r="ABV6" s="1962"/>
      <c r="ABW6" s="1962"/>
      <c r="ABX6" s="1962"/>
      <c r="ABY6" s="1962"/>
      <c r="ABZ6" s="1962"/>
      <c r="ACA6" s="1962"/>
      <c r="ACB6" s="1962"/>
      <c r="ACC6" s="1962"/>
      <c r="ACD6" s="1962"/>
      <c r="ACE6" s="1962"/>
      <c r="ACF6" s="1962"/>
      <c r="ACG6" s="1962"/>
      <c r="ACH6" s="1962"/>
      <c r="ACI6" s="1962"/>
      <c r="ACJ6" s="1962"/>
      <c r="ACK6" s="1962"/>
      <c r="ACL6" s="1962"/>
      <c r="ACM6" s="1962"/>
      <c r="ACN6" s="1962"/>
      <c r="ACO6" s="1962"/>
      <c r="ACP6" s="1962"/>
      <c r="ACQ6" s="1962"/>
      <c r="ACR6" s="1962"/>
      <c r="ACS6" s="1962"/>
      <c r="ACT6" s="1962"/>
      <c r="ACU6" s="1962"/>
      <c r="ACV6" s="1962"/>
      <c r="ACW6" s="1962"/>
      <c r="ACX6" s="1962"/>
      <c r="ACY6" s="1962"/>
      <c r="ACZ6" s="1962"/>
      <c r="ADA6" s="1962"/>
      <c r="ADB6" s="1962"/>
      <c r="ADC6" s="1962"/>
      <c r="ADD6" s="1962"/>
      <c r="ADE6" s="1962"/>
      <c r="ADF6" s="1962"/>
      <c r="ADG6" s="1962"/>
      <c r="ADH6" s="1962"/>
      <c r="ADI6" s="1962"/>
      <c r="ADJ6" s="1962"/>
      <c r="ADK6" s="1962"/>
      <c r="ADL6" s="1962"/>
      <c r="ADM6" s="1962"/>
      <c r="ADN6" s="1962"/>
      <c r="ADO6" s="1962"/>
      <c r="ADP6" s="1962"/>
      <c r="ADQ6" s="1962"/>
      <c r="ADR6" s="1962"/>
      <c r="ADS6" s="1962"/>
      <c r="ADT6" s="1962"/>
      <c r="ADU6" s="1962"/>
      <c r="ADV6" s="1962"/>
      <c r="ADW6" s="1962"/>
      <c r="ADX6" s="1962"/>
      <c r="ADY6" s="1962"/>
      <c r="ADZ6" s="1962"/>
      <c r="AEA6" s="1962"/>
      <c r="AEB6" s="1962"/>
      <c r="AEC6" s="1962"/>
      <c r="AED6" s="1962"/>
      <c r="AEE6" s="1962"/>
      <c r="AEF6" s="1962"/>
      <c r="AEG6" s="1962"/>
      <c r="AEH6" s="1962"/>
      <c r="AEI6" s="1962"/>
      <c r="AEJ6" s="1962"/>
      <c r="AEK6" s="1962"/>
      <c r="AEL6" s="1962"/>
      <c r="AEM6" s="1962"/>
      <c r="AEN6" s="1962"/>
      <c r="AEO6" s="1962"/>
      <c r="AEP6" s="1962"/>
      <c r="AEQ6" s="1962"/>
      <c r="AER6" s="1962"/>
      <c r="AES6" s="1962"/>
      <c r="AET6" s="1962"/>
      <c r="AEU6" s="1962"/>
      <c r="AEV6" s="1962"/>
      <c r="AEW6" s="1962"/>
      <c r="AEX6" s="1962"/>
      <c r="AEY6" s="1962"/>
      <c r="AEZ6" s="1962"/>
      <c r="AFA6" s="1962"/>
      <c r="AFB6" s="1962"/>
      <c r="AFC6" s="1962"/>
      <c r="AFD6" s="1962"/>
      <c r="AFE6" s="1962"/>
      <c r="AFF6" s="1962"/>
      <c r="AFG6" s="1962"/>
      <c r="AFH6" s="1962"/>
      <c r="AFI6" s="1962"/>
      <c r="AFJ6" s="1962"/>
      <c r="AFK6" s="1962"/>
      <c r="AFL6" s="1962"/>
      <c r="AFM6" s="1962"/>
      <c r="AFN6" s="1962"/>
      <c r="AFO6" s="1962"/>
      <c r="AFP6" s="1962"/>
      <c r="AFQ6" s="1962"/>
      <c r="AFR6" s="1962"/>
      <c r="AFS6" s="1962"/>
      <c r="AFT6" s="1962"/>
      <c r="AFU6" s="1962"/>
      <c r="AFV6" s="1962"/>
      <c r="AFW6" s="1962"/>
      <c r="AFX6" s="1962"/>
      <c r="AFY6" s="1962"/>
      <c r="AFZ6" s="1962"/>
      <c r="AGA6" s="1962"/>
      <c r="AGB6" s="1962"/>
      <c r="AGC6" s="1962"/>
      <c r="AGD6" s="1962"/>
      <c r="AGE6" s="1962"/>
      <c r="AGF6" s="1962"/>
      <c r="AGG6" s="1962"/>
      <c r="AGH6" s="1962"/>
      <c r="AGI6" s="1962"/>
      <c r="AGJ6" s="1962"/>
      <c r="AGK6" s="1962"/>
      <c r="AGL6" s="1962"/>
      <c r="AGM6" s="1962"/>
      <c r="AGN6" s="1962"/>
      <c r="AGO6" s="1962"/>
      <c r="AGP6" s="1962"/>
      <c r="AGQ6" s="1962"/>
      <c r="AGR6" s="1962"/>
      <c r="AGS6" s="1962"/>
      <c r="AGT6" s="1962"/>
      <c r="AGU6" s="1962"/>
      <c r="AGV6" s="1962"/>
      <c r="AGW6" s="1962"/>
      <c r="AGX6" s="1962"/>
      <c r="AGY6" s="1962"/>
      <c r="AGZ6" s="1962"/>
      <c r="AHA6" s="1962"/>
      <c r="AHB6" s="1962"/>
      <c r="AHC6" s="1962"/>
      <c r="AHD6" s="1962"/>
      <c r="AHE6" s="1962"/>
      <c r="AHF6" s="1962"/>
      <c r="AHG6" s="1962"/>
      <c r="AHH6" s="1962"/>
      <c r="AHI6" s="1962"/>
      <c r="AHJ6" s="1962"/>
      <c r="AHK6" s="1962"/>
      <c r="AHL6" s="1962"/>
      <c r="AHM6" s="1962"/>
      <c r="AHN6" s="1962"/>
      <c r="AHO6" s="1962"/>
      <c r="AHP6" s="1962"/>
      <c r="AHQ6" s="1962"/>
      <c r="AHR6" s="1962"/>
      <c r="AHS6" s="1962"/>
      <c r="AHT6" s="1962"/>
      <c r="AHU6" s="1962"/>
      <c r="AHV6" s="1962"/>
      <c r="AHW6" s="1962"/>
      <c r="AHX6" s="1962"/>
      <c r="AHY6" s="1962"/>
      <c r="AHZ6" s="1962"/>
      <c r="AIA6" s="1962"/>
      <c r="AIB6" s="1962"/>
      <c r="AIC6" s="1962"/>
      <c r="AID6" s="1962"/>
      <c r="AIE6" s="1962"/>
      <c r="AIF6" s="1962"/>
      <c r="AIG6" s="1962"/>
      <c r="AIH6" s="1962"/>
      <c r="AII6" s="1962"/>
      <c r="AIJ6" s="1962"/>
      <c r="AIK6" s="1962"/>
      <c r="AIL6" s="1962"/>
      <c r="AIM6" s="1962"/>
      <c r="AIN6" s="1962"/>
      <c r="AIO6" s="1962"/>
      <c r="AIP6" s="1962"/>
      <c r="AIQ6" s="1962"/>
      <c r="AIR6" s="1962"/>
      <c r="AIS6" s="1962"/>
      <c r="AIT6" s="1962"/>
      <c r="AIU6" s="1962"/>
      <c r="AIV6" s="1962"/>
      <c r="AIW6" s="1962"/>
      <c r="AIX6" s="1962"/>
      <c r="AIY6" s="1962"/>
      <c r="AIZ6" s="1962"/>
      <c r="AJA6" s="1962"/>
      <c r="AJB6" s="1962"/>
      <c r="AJC6" s="1962"/>
      <c r="AJD6" s="1962"/>
      <c r="AJE6" s="1962"/>
      <c r="AJF6" s="1962"/>
      <c r="AJG6" s="1962"/>
      <c r="AJH6" s="1962"/>
      <c r="AJI6" s="1962"/>
      <c r="AJJ6" s="1962"/>
      <c r="AJK6" s="1962"/>
      <c r="AJL6" s="1962"/>
      <c r="AJM6" s="1962"/>
      <c r="AJN6" s="1962"/>
      <c r="AJO6" s="1962"/>
      <c r="AJP6" s="1962"/>
      <c r="AJQ6" s="1962"/>
      <c r="AJR6" s="1962"/>
      <c r="AJS6" s="1962"/>
      <c r="AJT6" s="1962"/>
      <c r="AJU6" s="1962"/>
      <c r="AJV6" s="1962"/>
      <c r="AJW6" s="1962"/>
      <c r="AJX6" s="1962"/>
      <c r="AJY6" s="1962"/>
      <c r="AJZ6" s="1962"/>
      <c r="AKA6" s="1962"/>
      <c r="AKB6" s="1962"/>
      <c r="AKC6" s="1962"/>
      <c r="AKD6" s="1962"/>
      <c r="AKE6" s="1962"/>
      <c r="AKF6" s="1962"/>
      <c r="AKG6" s="1962"/>
      <c r="AKH6" s="1962"/>
      <c r="AKI6" s="1962"/>
      <c r="AKJ6" s="1962"/>
      <c r="AKK6" s="1962"/>
      <c r="AKL6" s="1962"/>
      <c r="AKM6" s="1962"/>
      <c r="AKN6" s="1962"/>
      <c r="AKO6" s="1962"/>
      <c r="AKP6" s="1962"/>
      <c r="AKQ6" s="1962"/>
      <c r="AKR6" s="1962"/>
      <c r="AKS6" s="1962"/>
      <c r="AKT6" s="1962"/>
      <c r="AKU6" s="1962"/>
      <c r="AKV6" s="1962"/>
      <c r="AKW6" s="1962"/>
      <c r="AKX6" s="1962"/>
      <c r="AKY6" s="1962"/>
      <c r="AKZ6" s="1962"/>
      <c r="ALA6" s="1962"/>
      <c r="ALB6" s="1962"/>
      <c r="ALC6" s="1962"/>
      <c r="ALD6" s="1962"/>
      <c r="ALE6" s="1962"/>
      <c r="ALF6" s="1962"/>
      <c r="ALG6" s="1962"/>
      <c r="ALH6" s="1962"/>
      <c r="ALI6" s="1962"/>
      <c r="ALJ6" s="1962"/>
      <c r="ALK6" s="1962"/>
      <c r="ALL6" s="1962"/>
      <c r="ALM6" s="1962"/>
      <c r="ALN6" s="1962"/>
      <c r="ALO6" s="1962"/>
      <c r="ALP6" s="1962"/>
      <c r="ALQ6" s="1962"/>
      <c r="ALR6" s="1962"/>
      <c r="ALS6" s="1962"/>
      <c r="ALT6" s="1962"/>
      <c r="ALU6" s="1962"/>
      <c r="ALV6" s="1962"/>
      <c r="ALW6" s="1962"/>
      <c r="ALX6" s="1962"/>
      <c r="ALY6" s="1962"/>
      <c r="ALZ6" s="1962"/>
      <c r="AMA6" s="1962"/>
      <c r="AMB6" s="1962"/>
      <c r="AMC6" s="1962"/>
      <c r="AMD6" s="1962"/>
      <c r="AME6" s="1962"/>
      <c r="AMF6" s="1962"/>
      <c r="AMG6" s="1962"/>
      <c r="AMH6" s="1962"/>
      <c r="AMI6" s="1962"/>
      <c r="AMJ6" s="1962"/>
      <c r="AMK6" s="1962"/>
      <c r="AML6" s="1962"/>
      <c r="AMM6" s="1962"/>
      <c r="AMN6" s="1962"/>
      <c r="AMO6" s="1962"/>
      <c r="AMP6" s="1962"/>
      <c r="AMQ6" s="1962"/>
      <c r="AMR6" s="1962"/>
      <c r="AMS6" s="1962"/>
      <c r="AMT6" s="1962"/>
      <c r="AMU6" s="1962"/>
      <c r="AMV6" s="1962"/>
      <c r="AMW6" s="1962"/>
      <c r="AMX6" s="1962"/>
      <c r="AMY6" s="1962"/>
      <c r="AMZ6" s="1962"/>
      <c r="ANA6" s="1962"/>
      <c r="ANB6" s="1962"/>
      <c r="ANC6" s="1962"/>
      <c r="AND6" s="1962"/>
      <c r="ANE6" s="1962"/>
      <c r="ANF6" s="1962"/>
      <c r="ANG6" s="1962"/>
      <c r="ANH6" s="1962"/>
      <c r="ANI6" s="1962"/>
      <c r="ANJ6" s="1962"/>
      <c r="ANK6" s="1962"/>
      <c r="ANL6" s="1962"/>
      <c r="ANM6" s="1962"/>
      <c r="ANN6" s="1962"/>
      <c r="ANO6" s="1962"/>
      <c r="ANP6" s="1962"/>
      <c r="ANQ6" s="1962"/>
      <c r="ANR6" s="1962"/>
      <c r="ANS6" s="1962"/>
      <c r="ANT6" s="1962"/>
      <c r="ANU6" s="1962"/>
      <c r="ANV6" s="1962"/>
      <c r="ANW6" s="1962"/>
      <c r="ANX6" s="1962"/>
      <c r="ANY6" s="1962"/>
      <c r="ANZ6" s="1962"/>
      <c r="AOA6" s="1962"/>
      <c r="AOB6" s="1962"/>
      <c r="AOC6" s="1962"/>
      <c r="AOD6" s="1962"/>
      <c r="AOE6" s="1962"/>
      <c r="AOF6" s="1962"/>
      <c r="AOG6" s="1962"/>
      <c r="AOH6" s="1962"/>
      <c r="AOI6" s="1962"/>
      <c r="AOJ6" s="1962"/>
      <c r="AOK6" s="1962"/>
      <c r="AOL6" s="1962"/>
      <c r="AOM6" s="1962"/>
      <c r="AON6" s="1962"/>
      <c r="AOO6" s="1962"/>
      <c r="AOP6" s="1962"/>
      <c r="AOQ6" s="1962"/>
      <c r="AOR6" s="1962"/>
      <c r="AOS6" s="1962"/>
      <c r="AOT6" s="1962"/>
      <c r="AOU6" s="1962"/>
      <c r="AOV6" s="1962"/>
      <c r="AOW6" s="1962"/>
      <c r="AOX6" s="1962"/>
      <c r="AOY6" s="1962"/>
      <c r="AOZ6" s="1962"/>
      <c r="APA6" s="1962"/>
      <c r="APB6" s="1962"/>
      <c r="APC6" s="1962"/>
      <c r="APD6" s="1962"/>
      <c r="APE6" s="1962"/>
      <c r="APF6" s="1962"/>
      <c r="APG6" s="1962"/>
      <c r="APH6" s="1962"/>
      <c r="API6" s="1962"/>
      <c r="APJ6" s="1962"/>
      <c r="APK6" s="1962"/>
      <c r="APL6" s="1962"/>
      <c r="APM6" s="1962"/>
      <c r="APN6" s="1962"/>
      <c r="APO6" s="1962"/>
      <c r="APP6" s="1962"/>
      <c r="APQ6" s="1962"/>
      <c r="APR6" s="1962"/>
      <c r="APS6" s="1962"/>
      <c r="APT6" s="1962"/>
      <c r="APU6" s="1962"/>
      <c r="APV6" s="1962"/>
      <c r="APW6" s="1962"/>
      <c r="APX6" s="1962"/>
      <c r="APY6" s="1962"/>
      <c r="APZ6" s="1962"/>
      <c r="AQA6" s="1962"/>
      <c r="AQB6" s="1962"/>
      <c r="AQC6" s="1962"/>
      <c r="AQD6" s="1962"/>
      <c r="AQE6" s="1962"/>
      <c r="AQF6" s="1962"/>
      <c r="AQG6" s="1962"/>
      <c r="AQH6" s="1962"/>
      <c r="AQI6" s="1962"/>
      <c r="AQJ6" s="1962"/>
      <c r="AQK6" s="1962"/>
      <c r="AQL6" s="1962"/>
      <c r="AQM6" s="1962"/>
      <c r="AQN6" s="1962"/>
      <c r="AQO6" s="1962"/>
      <c r="AQP6" s="1962"/>
      <c r="AQQ6" s="1962"/>
      <c r="AQR6" s="1962"/>
      <c r="AQS6" s="1962"/>
      <c r="AQT6" s="1962"/>
      <c r="AQU6" s="1962"/>
      <c r="AQV6" s="1962"/>
      <c r="AQW6" s="1962"/>
      <c r="AQX6" s="1962"/>
      <c r="AQY6" s="1962"/>
      <c r="AQZ6" s="1962"/>
      <c r="ARA6" s="1962"/>
      <c r="ARB6" s="1962"/>
      <c r="ARC6" s="1962"/>
      <c r="ARD6" s="1962"/>
      <c r="ARE6" s="1962"/>
      <c r="ARF6" s="1962"/>
      <c r="ARG6" s="1962"/>
      <c r="ARH6" s="1962"/>
      <c r="ARI6" s="1962"/>
      <c r="ARJ6" s="1962"/>
      <c r="ARK6" s="1962"/>
      <c r="ARL6" s="1962"/>
      <c r="ARM6" s="1962"/>
      <c r="ARN6" s="1962"/>
      <c r="ARO6" s="1962"/>
      <c r="ARP6" s="1962"/>
      <c r="ARQ6" s="1962"/>
      <c r="ARR6" s="1962"/>
      <c r="ARS6" s="1962"/>
      <c r="ART6" s="1962"/>
      <c r="ARU6" s="1962"/>
      <c r="ARV6" s="1962"/>
      <c r="ARW6" s="1962"/>
      <c r="ARX6" s="1962"/>
      <c r="ARY6" s="1962"/>
      <c r="ARZ6" s="1962"/>
      <c r="ASA6" s="1962"/>
      <c r="ASB6" s="1962"/>
      <c r="ASC6" s="1962"/>
      <c r="ASD6" s="1962"/>
      <c r="ASE6" s="1962"/>
      <c r="ASF6" s="1962"/>
      <c r="ASG6" s="1962"/>
      <c r="ASH6" s="1962"/>
      <c r="ASI6" s="1962"/>
      <c r="ASJ6" s="1962"/>
      <c r="ASK6" s="1962"/>
      <c r="ASL6" s="1962"/>
      <c r="ASM6" s="1962"/>
      <c r="ASN6" s="1962"/>
      <c r="ASO6" s="1962"/>
      <c r="ASP6" s="1962"/>
      <c r="ASQ6" s="1962"/>
      <c r="ASR6" s="1962"/>
      <c r="ASS6" s="1962"/>
      <c r="AST6" s="1962"/>
      <c r="ASU6" s="1962"/>
      <c r="ASV6" s="1962"/>
      <c r="ASW6" s="1962"/>
      <c r="ASX6" s="1962"/>
      <c r="ASY6" s="1962"/>
      <c r="ASZ6" s="1962"/>
      <c r="ATA6" s="1962"/>
      <c r="ATB6" s="1962"/>
      <c r="ATC6" s="1962"/>
      <c r="ATD6" s="1962"/>
      <c r="ATE6" s="1962"/>
      <c r="ATF6" s="1962"/>
      <c r="ATG6" s="1962"/>
      <c r="ATH6" s="1962"/>
      <c r="ATI6" s="1962"/>
      <c r="ATJ6" s="1962"/>
      <c r="ATK6" s="1962"/>
      <c r="ATL6" s="1962"/>
      <c r="ATM6" s="1962"/>
      <c r="ATN6" s="1962"/>
      <c r="ATO6" s="1962"/>
      <c r="ATP6" s="1962"/>
      <c r="ATQ6" s="1962"/>
      <c r="ATR6" s="1962"/>
      <c r="ATS6" s="1962"/>
      <c r="ATT6" s="1962"/>
      <c r="ATU6" s="1962"/>
      <c r="ATV6" s="1962"/>
      <c r="ATW6" s="1962"/>
      <c r="ATX6" s="1962"/>
      <c r="ATY6" s="1962"/>
      <c r="ATZ6" s="1962"/>
      <c r="AUA6" s="1962"/>
      <c r="AUB6" s="1962"/>
      <c r="AUC6" s="1962"/>
      <c r="AUD6" s="1962"/>
      <c r="AUE6" s="1962"/>
      <c r="AUF6" s="1962"/>
      <c r="AUG6" s="1962"/>
      <c r="AUH6" s="1962"/>
      <c r="AUI6" s="1962"/>
      <c r="AUJ6" s="1962"/>
      <c r="AUK6" s="1962"/>
      <c r="AUL6" s="1962"/>
      <c r="AUM6" s="1962"/>
      <c r="AUN6" s="1962"/>
      <c r="AUO6" s="1962"/>
      <c r="AUP6" s="1962"/>
      <c r="AUQ6" s="1962"/>
      <c r="AUR6" s="1962"/>
      <c r="AUS6" s="1962"/>
      <c r="AUT6" s="1962"/>
      <c r="AUU6" s="1962"/>
      <c r="AUV6" s="1962"/>
      <c r="AUW6" s="1962"/>
      <c r="AUX6" s="1962"/>
      <c r="AUY6" s="1962"/>
      <c r="AUZ6" s="1962"/>
      <c r="AVA6" s="1962"/>
      <c r="AVB6" s="1962"/>
      <c r="AVC6" s="1962"/>
      <c r="AVD6" s="1962"/>
      <c r="AVE6" s="1962"/>
      <c r="AVF6" s="1962"/>
      <c r="AVG6" s="1962"/>
      <c r="AVH6" s="1962"/>
      <c r="AVI6" s="1962"/>
      <c r="AVJ6" s="1962"/>
      <c r="AVK6" s="1962"/>
      <c r="AVL6" s="1962"/>
      <c r="AVM6" s="1962"/>
      <c r="AVN6" s="1962"/>
      <c r="AVO6" s="1962"/>
      <c r="AVP6" s="1962"/>
      <c r="AVQ6" s="1962"/>
      <c r="AVR6" s="1962"/>
      <c r="AVS6" s="1962"/>
      <c r="AVT6" s="1962"/>
      <c r="AVU6" s="1962"/>
      <c r="AVV6" s="1962"/>
      <c r="AVW6" s="1962"/>
      <c r="AVX6" s="1962"/>
      <c r="AVY6" s="1962"/>
      <c r="AVZ6" s="1962"/>
      <c r="AWA6" s="1962"/>
      <c r="AWB6" s="1962"/>
      <c r="AWC6" s="1962"/>
      <c r="AWD6" s="1962"/>
      <c r="AWE6" s="1962"/>
      <c r="AWF6" s="1962"/>
      <c r="AWG6" s="1962"/>
      <c r="AWH6" s="1962"/>
      <c r="AWI6" s="1962"/>
      <c r="AWJ6" s="1962"/>
      <c r="AWK6" s="1962"/>
      <c r="AWL6" s="1962"/>
      <c r="AWM6" s="1962"/>
      <c r="AWN6" s="1962"/>
      <c r="AWO6" s="1962"/>
      <c r="AWP6" s="1962"/>
      <c r="AWQ6" s="1962"/>
      <c r="AWR6" s="1962"/>
      <c r="AWS6" s="1962"/>
      <c r="AWT6" s="1962"/>
      <c r="AWU6" s="1962"/>
      <c r="AWV6" s="1962"/>
      <c r="AWW6" s="1962"/>
      <c r="AWX6" s="1962"/>
      <c r="AWY6" s="1962"/>
      <c r="AWZ6" s="1962"/>
      <c r="AXA6" s="1962"/>
      <c r="AXB6" s="1962"/>
      <c r="AXC6" s="1962"/>
      <c r="AXD6" s="1962"/>
      <c r="AXE6" s="1962"/>
      <c r="AXF6" s="1962"/>
      <c r="AXG6" s="1962"/>
      <c r="AXH6" s="1962"/>
      <c r="AXI6" s="1962"/>
      <c r="AXJ6" s="1962"/>
      <c r="AXK6" s="1962"/>
      <c r="AXL6" s="1962"/>
      <c r="AXM6" s="1962"/>
      <c r="AXN6" s="1962"/>
      <c r="AXO6" s="1962"/>
      <c r="AXP6" s="1962"/>
      <c r="AXQ6" s="1962"/>
      <c r="AXR6" s="1962"/>
      <c r="AXS6" s="1962"/>
      <c r="AXT6" s="1962"/>
      <c r="AXU6" s="1962"/>
      <c r="AXV6" s="1962"/>
      <c r="AXW6" s="1962"/>
      <c r="AXX6" s="1962"/>
      <c r="AXY6" s="1962"/>
      <c r="AXZ6" s="1962"/>
      <c r="AYA6" s="1962"/>
      <c r="AYB6" s="1962"/>
      <c r="AYC6" s="1962"/>
      <c r="AYD6" s="1962"/>
      <c r="AYE6" s="1962"/>
      <c r="AYF6" s="1962"/>
      <c r="AYG6" s="1962"/>
      <c r="AYH6" s="1962"/>
      <c r="AYI6" s="1962"/>
      <c r="AYJ6" s="1962"/>
      <c r="AYK6" s="1962"/>
      <c r="AYL6" s="1962"/>
      <c r="AYM6" s="1962"/>
      <c r="AYN6" s="1962"/>
      <c r="AYO6" s="1962"/>
      <c r="AYP6" s="1962"/>
      <c r="AYQ6" s="1962"/>
      <c r="AYR6" s="1962"/>
      <c r="AYS6" s="1962"/>
      <c r="AYT6" s="1962"/>
      <c r="AYU6" s="1962"/>
      <c r="AYV6" s="1962"/>
      <c r="AYW6" s="1962"/>
      <c r="AYX6" s="1962"/>
      <c r="AYY6" s="1962"/>
      <c r="AYZ6" s="1962"/>
      <c r="AZA6" s="1962"/>
      <c r="AZB6" s="1962"/>
      <c r="AZC6" s="1962"/>
      <c r="AZD6" s="1962"/>
      <c r="AZE6" s="1962"/>
      <c r="AZF6" s="1962"/>
      <c r="AZG6" s="1962"/>
      <c r="AZH6" s="1962"/>
      <c r="AZI6" s="1962"/>
      <c r="AZJ6" s="1962"/>
      <c r="AZK6" s="1962"/>
      <c r="AZL6" s="1962"/>
      <c r="AZM6" s="1962"/>
      <c r="AZN6" s="1962"/>
      <c r="AZO6" s="1962"/>
      <c r="AZP6" s="1962"/>
      <c r="AZQ6" s="1962"/>
      <c r="AZR6" s="1962"/>
      <c r="AZS6" s="1962"/>
      <c r="AZT6" s="1962"/>
      <c r="AZU6" s="1962"/>
      <c r="AZV6" s="1962"/>
      <c r="AZW6" s="1962"/>
      <c r="AZX6" s="1962"/>
      <c r="AZY6" s="1962"/>
      <c r="AZZ6" s="1962"/>
      <c r="BAA6" s="1962"/>
      <c r="BAB6" s="1962"/>
      <c r="BAC6" s="1962"/>
      <c r="BAD6" s="1962"/>
      <c r="BAE6" s="1962"/>
      <c r="BAF6" s="1962"/>
      <c r="BAG6" s="1962"/>
      <c r="BAH6" s="1962"/>
      <c r="BAI6" s="1962"/>
      <c r="BAJ6" s="1962"/>
      <c r="BAK6" s="1962"/>
      <c r="BAL6" s="1962"/>
      <c r="BAM6" s="1962"/>
      <c r="BAN6" s="1962"/>
      <c r="BAO6" s="1962"/>
      <c r="BAP6" s="1962"/>
      <c r="BAQ6" s="1962"/>
      <c r="BAR6" s="1962"/>
      <c r="BAS6" s="1962"/>
      <c r="BAT6" s="1962"/>
      <c r="BAU6" s="1962"/>
      <c r="BAV6" s="1962"/>
      <c r="BAW6" s="1962"/>
      <c r="BAX6" s="1962"/>
      <c r="BAY6" s="1962"/>
      <c r="BAZ6" s="1962"/>
      <c r="BBA6" s="1962"/>
      <c r="BBB6" s="1962"/>
      <c r="BBC6" s="1962"/>
      <c r="BBD6" s="1962"/>
      <c r="BBE6" s="1962"/>
      <c r="BBF6" s="1962"/>
      <c r="BBG6" s="1962"/>
      <c r="BBH6" s="1962"/>
      <c r="BBI6" s="1962"/>
      <c r="BBJ6" s="1962"/>
      <c r="BBK6" s="1962"/>
      <c r="BBL6" s="1962"/>
      <c r="BBM6" s="1962"/>
      <c r="BBN6" s="1962"/>
      <c r="BBO6" s="1962"/>
      <c r="BBP6" s="1962"/>
      <c r="BBQ6" s="1962"/>
      <c r="BBR6" s="1962"/>
      <c r="BBS6" s="1962"/>
      <c r="BBT6" s="1962"/>
      <c r="BBU6" s="1962"/>
      <c r="BBV6" s="1962"/>
      <c r="BBW6" s="1962"/>
      <c r="BBX6" s="1962"/>
      <c r="BBY6" s="1962"/>
      <c r="BBZ6" s="1962"/>
      <c r="BCA6" s="1962"/>
      <c r="BCB6" s="1962"/>
      <c r="BCC6" s="1962"/>
      <c r="BCD6" s="1962"/>
      <c r="BCE6" s="1962"/>
      <c r="BCF6" s="1962"/>
      <c r="BCG6" s="1962"/>
      <c r="BCH6" s="1962"/>
      <c r="BCI6" s="1962"/>
      <c r="BCJ6" s="1962"/>
      <c r="BCK6" s="1962"/>
      <c r="BCL6" s="1962"/>
      <c r="BCM6" s="1962"/>
      <c r="BCN6" s="1962"/>
      <c r="BCO6" s="1962"/>
      <c r="BCP6" s="1962"/>
      <c r="BCQ6" s="1962"/>
      <c r="BCR6" s="1962"/>
      <c r="BCS6" s="1962"/>
      <c r="BCT6" s="1962"/>
      <c r="BCU6" s="1962"/>
      <c r="BCV6" s="1962"/>
      <c r="BCW6" s="1962"/>
      <c r="BCX6" s="1962"/>
      <c r="BCY6" s="1962"/>
      <c r="BCZ6" s="1962"/>
      <c r="BDA6" s="1962"/>
      <c r="BDB6" s="1962"/>
      <c r="BDC6" s="1962"/>
      <c r="BDD6" s="1962"/>
      <c r="BDE6" s="1962"/>
      <c r="BDF6" s="1962"/>
      <c r="BDG6" s="1962"/>
      <c r="BDH6" s="1962"/>
      <c r="BDI6" s="1962"/>
      <c r="BDJ6" s="1962"/>
      <c r="BDK6" s="1962"/>
      <c r="BDL6" s="1962"/>
      <c r="BDM6" s="1962"/>
      <c r="BDN6" s="1962"/>
      <c r="BDO6" s="1962"/>
      <c r="BDP6" s="1962"/>
      <c r="BDQ6" s="1962"/>
      <c r="BDR6" s="1962"/>
      <c r="BDS6" s="1962"/>
      <c r="BDT6" s="1962"/>
      <c r="BDU6" s="1962"/>
      <c r="BDV6" s="1962"/>
      <c r="BDW6" s="1962"/>
      <c r="BDX6" s="1962"/>
      <c r="BDY6" s="1962"/>
      <c r="BDZ6" s="1962"/>
      <c r="BEA6" s="1962"/>
      <c r="BEB6" s="1962"/>
      <c r="BEC6" s="1962"/>
      <c r="BED6" s="1962"/>
      <c r="BEE6" s="1962"/>
      <c r="BEF6" s="1962"/>
      <c r="BEG6" s="1962"/>
      <c r="BEH6" s="1962"/>
      <c r="BEI6" s="1962"/>
      <c r="BEJ6" s="1962"/>
      <c r="BEK6" s="1962"/>
      <c r="BEL6" s="1962"/>
      <c r="BEM6" s="1962"/>
      <c r="BEN6" s="1962"/>
      <c r="BEO6" s="1962"/>
      <c r="BEP6" s="1962"/>
      <c r="BEQ6" s="1962"/>
      <c r="BER6" s="1962"/>
      <c r="BES6" s="1962"/>
      <c r="BET6" s="1962"/>
      <c r="BEU6" s="1962"/>
      <c r="BEV6" s="1962"/>
      <c r="BEW6" s="1962"/>
      <c r="BEX6" s="1962"/>
      <c r="BEY6" s="1962"/>
      <c r="BEZ6" s="1962"/>
      <c r="BFA6" s="1962"/>
      <c r="BFB6" s="1962"/>
      <c r="BFC6" s="1962"/>
      <c r="BFD6" s="1962"/>
      <c r="BFE6" s="1962"/>
      <c r="BFF6" s="1962"/>
      <c r="BFG6" s="1962"/>
      <c r="BFH6" s="1962"/>
      <c r="BFI6" s="1962"/>
      <c r="BFJ6" s="1962"/>
      <c r="BFK6" s="1962"/>
      <c r="BFL6" s="1962"/>
      <c r="BFM6" s="1962"/>
      <c r="BFN6" s="1962"/>
      <c r="BFO6" s="1962"/>
      <c r="BFP6" s="1962"/>
      <c r="BFQ6" s="1962"/>
      <c r="BFR6" s="1962"/>
      <c r="BFS6" s="1962"/>
      <c r="BFT6" s="1962"/>
      <c r="BFU6" s="1962"/>
      <c r="BFV6" s="1962"/>
      <c r="BFW6" s="1962"/>
      <c r="BFX6" s="1962"/>
      <c r="BFY6" s="1962"/>
      <c r="BFZ6" s="1962"/>
      <c r="BGA6" s="1962"/>
      <c r="BGB6" s="1962"/>
      <c r="BGC6" s="1962"/>
      <c r="BGD6" s="1962"/>
      <c r="BGE6" s="1962"/>
      <c r="BGF6" s="1962"/>
      <c r="BGG6" s="1962"/>
      <c r="BGH6" s="1962"/>
      <c r="BGI6" s="1962"/>
      <c r="BGJ6" s="1962"/>
      <c r="BGK6" s="1962"/>
      <c r="BGL6" s="1962"/>
      <c r="BGM6" s="1962"/>
      <c r="BGN6" s="1962"/>
      <c r="BGO6" s="1962"/>
      <c r="BGP6" s="1962"/>
      <c r="BGQ6" s="1962"/>
      <c r="BGR6" s="1962"/>
      <c r="BGS6" s="1962"/>
      <c r="BGT6" s="1962"/>
      <c r="BGU6" s="1962"/>
      <c r="BGV6" s="1962"/>
      <c r="BGW6" s="1962"/>
      <c r="BGX6" s="1962"/>
      <c r="BGY6" s="1962"/>
      <c r="BGZ6" s="1962"/>
      <c r="BHA6" s="1962"/>
      <c r="BHB6" s="1962"/>
      <c r="BHC6" s="1962"/>
      <c r="BHD6" s="1962"/>
      <c r="BHE6" s="1962"/>
      <c r="BHF6" s="1962"/>
      <c r="BHG6" s="1962"/>
      <c r="BHH6" s="1962"/>
      <c r="BHI6" s="1962"/>
      <c r="BHJ6" s="1962"/>
      <c r="BHK6" s="1962"/>
      <c r="BHL6" s="1962"/>
      <c r="BHM6" s="1962"/>
      <c r="BHN6" s="1962"/>
      <c r="BHO6" s="1962"/>
      <c r="BHP6" s="1962"/>
      <c r="BHQ6" s="1962"/>
      <c r="BHR6" s="1962"/>
      <c r="BHS6" s="1962"/>
      <c r="BHT6" s="1962"/>
      <c r="BHU6" s="1962"/>
      <c r="BHV6" s="1962"/>
      <c r="BHW6" s="1962"/>
      <c r="BHX6" s="1962"/>
      <c r="BHY6" s="1962"/>
      <c r="BHZ6" s="1962"/>
      <c r="BIA6" s="1962"/>
      <c r="BIB6" s="1962"/>
      <c r="BIC6" s="1962"/>
      <c r="BID6" s="1962"/>
      <c r="BIE6" s="1962"/>
      <c r="BIF6" s="1962"/>
      <c r="BIG6" s="1962"/>
      <c r="BIH6" s="1962"/>
      <c r="BII6" s="1962"/>
      <c r="BIJ6" s="1962"/>
      <c r="BIK6" s="1962"/>
      <c r="BIL6" s="1962"/>
      <c r="BIM6" s="1962"/>
      <c r="BIN6" s="1962"/>
      <c r="BIO6" s="1962"/>
      <c r="BIP6" s="1962"/>
      <c r="BIQ6" s="1962"/>
      <c r="BIR6" s="1962"/>
      <c r="BIS6" s="1962"/>
      <c r="BIT6" s="1962"/>
      <c r="BIU6" s="1962"/>
      <c r="BIV6" s="1962"/>
      <c r="BIW6" s="1962"/>
      <c r="BIX6" s="1962"/>
      <c r="BIY6" s="1962"/>
      <c r="BIZ6" s="1962"/>
      <c r="BJA6" s="1962"/>
      <c r="BJB6" s="1962"/>
      <c r="BJC6" s="1962"/>
      <c r="BJD6" s="1962"/>
      <c r="BJE6" s="1962"/>
      <c r="BJF6" s="1962"/>
      <c r="BJG6" s="1962"/>
      <c r="BJH6" s="1962"/>
      <c r="BJI6" s="1962"/>
      <c r="BJJ6" s="1962"/>
      <c r="BJK6" s="1962"/>
      <c r="BJL6" s="1962"/>
      <c r="BJM6" s="1962"/>
      <c r="BJN6" s="1962"/>
      <c r="BJO6" s="1962"/>
      <c r="BJP6" s="1962"/>
      <c r="BJQ6" s="1962"/>
      <c r="BJR6" s="1962"/>
      <c r="BJS6" s="1962"/>
      <c r="BJT6" s="1962"/>
      <c r="BJU6" s="1962"/>
      <c r="BJV6" s="1962"/>
      <c r="BJW6" s="1962"/>
      <c r="BJX6" s="1962"/>
      <c r="BJY6" s="1962"/>
      <c r="BJZ6" s="1962"/>
      <c r="BKA6" s="1962"/>
      <c r="BKB6" s="1962"/>
      <c r="BKC6" s="1962"/>
      <c r="BKD6" s="1962"/>
      <c r="BKE6" s="1962"/>
      <c r="BKF6" s="1962"/>
      <c r="BKG6" s="1962"/>
      <c r="BKH6" s="1962"/>
      <c r="BKI6" s="1962"/>
      <c r="BKJ6" s="1962"/>
      <c r="BKK6" s="1962"/>
      <c r="BKL6" s="1962"/>
      <c r="BKM6" s="1962"/>
      <c r="BKN6" s="1962"/>
      <c r="BKO6" s="1962"/>
      <c r="BKP6" s="1962"/>
      <c r="BKQ6" s="1962"/>
      <c r="BKR6" s="1962"/>
      <c r="BKS6" s="1962"/>
      <c r="BKT6" s="1962"/>
      <c r="BKU6" s="1962"/>
      <c r="BKV6" s="1962"/>
      <c r="BKW6" s="1962"/>
      <c r="BKX6" s="1962"/>
      <c r="BKY6" s="1962"/>
      <c r="BKZ6" s="1962"/>
      <c r="BLA6" s="1962"/>
      <c r="BLB6" s="1962"/>
      <c r="BLC6" s="1962"/>
      <c r="BLD6" s="1962"/>
      <c r="BLE6" s="1962"/>
      <c r="BLF6" s="1962"/>
      <c r="BLG6" s="1962"/>
      <c r="BLH6" s="1962"/>
      <c r="BLI6" s="1962"/>
      <c r="BLJ6" s="1962"/>
      <c r="BLK6" s="1962"/>
      <c r="BLL6" s="1962"/>
      <c r="BLM6" s="1962"/>
      <c r="BLN6" s="1962"/>
      <c r="BLO6" s="1962"/>
      <c r="BLP6" s="1962"/>
      <c r="BLQ6" s="1962"/>
      <c r="BLR6" s="1962"/>
      <c r="BLS6" s="1962"/>
      <c r="BLT6" s="1962"/>
      <c r="BLU6" s="1962"/>
      <c r="BLV6" s="1962"/>
      <c r="BLW6" s="1962"/>
      <c r="BLX6" s="1962"/>
      <c r="BLY6" s="1962"/>
      <c r="BLZ6" s="1962"/>
      <c r="BMA6" s="1962"/>
      <c r="BMB6" s="1962"/>
      <c r="BMC6" s="1962"/>
      <c r="BMD6" s="1962"/>
      <c r="BME6" s="1962"/>
      <c r="BMF6" s="1962"/>
      <c r="BMG6" s="1962"/>
      <c r="BMH6" s="1962"/>
      <c r="BMI6" s="1962"/>
      <c r="BMJ6" s="1962"/>
      <c r="BMK6" s="1962"/>
      <c r="BML6" s="1962"/>
      <c r="BMM6" s="1962"/>
      <c r="BMN6" s="1962"/>
      <c r="BMO6" s="1962"/>
      <c r="BMP6" s="1962"/>
      <c r="BMQ6" s="1962"/>
      <c r="BMR6" s="1962"/>
      <c r="BMS6" s="1962"/>
      <c r="BMT6" s="1962"/>
      <c r="BMU6" s="1962"/>
      <c r="BMV6" s="1962"/>
      <c r="BMW6" s="1962"/>
      <c r="BMX6" s="1962"/>
      <c r="BMY6" s="1962"/>
      <c r="BMZ6" s="1962"/>
      <c r="BNA6" s="1962"/>
      <c r="BNB6" s="1962"/>
      <c r="BNC6" s="1962"/>
      <c r="BND6" s="1962"/>
      <c r="BNE6" s="1962"/>
      <c r="BNF6" s="1962"/>
      <c r="BNG6" s="1962"/>
      <c r="BNH6" s="1962"/>
      <c r="BNI6" s="1962"/>
      <c r="BNJ6" s="1962"/>
      <c r="BNK6" s="1962"/>
      <c r="BNL6" s="1962"/>
      <c r="BNM6" s="1962"/>
      <c r="BNN6" s="1962"/>
      <c r="BNO6" s="1962"/>
      <c r="BNP6" s="1962"/>
      <c r="BNQ6" s="1962"/>
      <c r="BNR6" s="1962"/>
      <c r="BNS6" s="1962"/>
      <c r="BNT6" s="1962"/>
      <c r="BNU6" s="1962"/>
      <c r="BNV6" s="1962"/>
      <c r="BNW6" s="1962"/>
      <c r="BNX6" s="1962"/>
      <c r="BNY6" s="1962"/>
      <c r="BNZ6" s="1962"/>
      <c r="BOA6" s="1962"/>
      <c r="BOB6" s="1962"/>
      <c r="BOC6" s="1962"/>
      <c r="BOD6" s="1962"/>
      <c r="BOE6" s="1962"/>
      <c r="BOF6" s="1962"/>
      <c r="BOG6" s="1962"/>
      <c r="BOH6" s="1962"/>
      <c r="BOI6" s="1962"/>
      <c r="BOJ6" s="1962"/>
      <c r="BOK6" s="1962"/>
      <c r="BOL6" s="1962"/>
      <c r="BOM6" s="1962"/>
      <c r="BON6" s="1962"/>
      <c r="BOO6" s="1962"/>
      <c r="BOP6" s="1962"/>
      <c r="BOQ6" s="1962"/>
      <c r="BOR6" s="1962"/>
      <c r="BOS6" s="1962"/>
      <c r="BOT6" s="1962"/>
      <c r="BOU6" s="1962"/>
      <c r="BOV6" s="1962"/>
      <c r="BOW6" s="1962"/>
      <c r="BOX6" s="1962"/>
      <c r="BOY6" s="1962"/>
      <c r="BOZ6" s="1962"/>
      <c r="BPA6" s="1962"/>
      <c r="BPB6" s="1962"/>
      <c r="BPC6" s="1962"/>
      <c r="BPD6" s="1962"/>
      <c r="BPE6" s="1962"/>
      <c r="BPF6" s="1962"/>
      <c r="BPG6" s="1962"/>
      <c r="BPH6" s="1962"/>
      <c r="BPI6" s="1962"/>
      <c r="BPJ6" s="1962"/>
      <c r="BPK6" s="1962"/>
      <c r="BPL6" s="1962"/>
      <c r="BPM6" s="1962"/>
      <c r="BPN6" s="1962"/>
      <c r="BPO6" s="1962"/>
      <c r="BPP6" s="1962"/>
      <c r="BPQ6" s="1962"/>
      <c r="BPR6" s="1962"/>
      <c r="BPS6" s="1962"/>
      <c r="BPT6" s="1962"/>
      <c r="BPU6" s="1962"/>
      <c r="BPV6" s="1962"/>
      <c r="BPW6" s="1962"/>
      <c r="BPX6" s="1962"/>
      <c r="BPY6" s="1962"/>
      <c r="BPZ6" s="1962"/>
      <c r="BQA6" s="1962"/>
      <c r="BQB6" s="1962"/>
      <c r="BQC6" s="1962"/>
      <c r="BQD6" s="1962"/>
      <c r="BQE6" s="1962"/>
      <c r="BQF6" s="1962"/>
      <c r="BQG6" s="1962"/>
      <c r="BQH6" s="1962"/>
      <c r="BQI6" s="1962"/>
      <c r="BQJ6" s="1962"/>
      <c r="BQK6" s="1962"/>
      <c r="BQL6" s="1962"/>
      <c r="BQM6" s="1962"/>
      <c r="BQN6" s="1962"/>
      <c r="BQO6" s="1962"/>
      <c r="BQP6" s="1962"/>
      <c r="BQQ6" s="1962"/>
      <c r="BQR6" s="1962"/>
      <c r="BQS6" s="1962"/>
      <c r="BQT6" s="1962"/>
      <c r="BQU6" s="1962"/>
      <c r="BQV6" s="1962"/>
      <c r="BQW6" s="1962"/>
      <c r="BQX6" s="1962"/>
      <c r="BQY6" s="1962"/>
      <c r="BQZ6" s="1962"/>
      <c r="BRA6" s="1962"/>
      <c r="BRB6" s="1962"/>
      <c r="BRC6" s="1962"/>
      <c r="BRD6" s="1962"/>
      <c r="BRE6" s="1962"/>
      <c r="BRF6" s="1962"/>
      <c r="BRG6" s="1962"/>
      <c r="BRH6" s="1962"/>
      <c r="BRI6" s="1962"/>
      <c r="BRJ6" s="1962"/>
      <c r="BRK6" s="1962"/>
      <c r="BRL6" s="1962"/>
      <c r="BRM6" s="1962"/>
      <c r="BRN6" s="1962"/>
      <c r="BRO6" s="1962"/>
      <c r="BRP6" s="1962"/>
      <c r="BRQ6" s="1962"/>
      <c r="BRR6" s="1962"/>
      <c r="BRS6" s="1962"/>
      <c r="BRT6" s="1962"/>
      <c r="BRU6" s="1962"/>
      <c r="BRV6" s="1962"/>
      <c r="BRW6" s="1962"/>
      <c r="BRX6" s="1962"/>
      <c r="BRY6" s="1962"/>
      <c r="BRZ6" s="1962"/>
      <c r="BSA6" s="1962"/>
      <c r="BSB6" s="1962"/>
      <c r="BSC6" s="1962"/>
      <c r="BSD6" s="1962"/>
      <c r="BSE6" s="1962"/>
      <c r="BSF6" s="1962"/>
      <c r="BSG6" s="1962"/>
      <c r="BSH6" s="1962"/>
      <c r="BSI6" s="1962"/>
      <c r="BSJ6" s="1962"/>
      <c r="BSK6" s="1962"/>
      <c r="BSL6" s="1962"/>
      <c r="BSM6" s="1962"/>
      <c r="BSN6" s="1962"/>
      <c r="BSO6" s="1962"/>
      <c r="BSP6" s="1962"/>
      <c r="BSQ6" s="1962"/>
      <c r="BSR6" s="1962"/>
      <c r="BSS6" s="1962"/>
      <c r="BST6" s="1962"/>
      <c r="BSU6" s="1962"/>
      <c r="BSV6" s="1962"/>
      <c r="BSW6" s="1962"/>
      <c r="BSX6" s="1962"/>
      <c r="BSY6" s="1962"/>
      <c r="BSZ6" s="1962"/>
      <c r="BTA6" s="1962"/>
      <c r="BTB6" s="1962"/>
      <c r="BTC6" s="1962"/>
      <c r="BTD6" s="1962"/>
      <c r="BTE6" s="1962"/>
      <c r="BTF6" s="1962"/>
      <c r="BTG6" s="1962"/>
      <c r="BTH6" s="1962"/>
      <c r="BTI6" s="1962"/>
      <c r="BTJ6" s="1962"/>
      <c r="BTK6" s="1962"/>
      <c r="BTL6" s="1962"/>
      <c r="BTM6" s="1962"/>
      <c r="BTN6" s="1962"/>
      <c r="BTO6" s="1962"/>
      <c r="BTP6" s="1962"/>
      <c r="BTQ6" s="1962"/>
      <c r="BTR6" s="1962"/>
      <c r="BTS6" s="1962"/>
      <c r="BTT6" s="1962"/>
      <c r="BTU6" s="1962"/>
      <c r="BTV6" s="1962"/>
      <c r="BTW6" s="1962"/>
      <c r="BTX6" s="1962"/>
      <c r="BTY6" s="1962"/>
      <c r="BTZ6" s="1962"/>
      <c r="BUA6" s="1962"/>
      <c r="BUB6" s="1962"/>
      <c r="BUC6" s="1962"/>
      <c r="BUD6" s="1962"/>
      <c r="BUE6" s="1962"/>
      <c r="BUF6" s="1962"/>
      <c r="BUG6" s="1962"/>
      <c r="BUH6" s="1962"/>
      <c r="BUI6" s="1962"/>
      <c r="BUJ6" s="1962"/>
      <c r="BUK6" s="1962"/>
      <c r="BUL6" s="1962"/>
      <c r="BUM6" s="1962"/>
      <c r="BUN6" s="1962"/>
      <c r="BUO6" s="1962"/>
      <c r="BUP6" s="1962"/>
      <c r="BUQ6" s="1962"/>
      <c r="BUR6" s="1962"/>
      <c r="BUS6" s="1962"/>
      <c r="BUT6" s="1962"/>
      <c r="BUU6" s="1962"/>
      <c r="BUV6" s="1962"/>
      <c r="BUW6" s="1962"/>
      <c r="BUX6" s="1962"/>
      <c r="BUY6" s="1962"/>
      <c r="BUZ6" s="1962"/>
      <c r="BVA6" s="1962"/>
      <c r="BVB6" s="1962"/>
      <c r="BVC6" s="1962"/>
      <c r="BVD6" s="1962"/>
      <c r="BVE6" s="1962"/>
      <c r="BVF6" s="1962"/>
      <c r="BVG6" s="1962"/>
      <c r="BVH6" s="1962"/>
      <c r="BVI6" s="1962"/>
      <c r="BVJ6" s="1962"/>
      <c r="BVK6" s="1962"/>
      <c r="BVL6" s="1962"/>
      <c r="BVM6" s="1962"/>
      <c r="BVN6" s="1962"/>
      <c r="BVO6" s="1962"/>
      <c r="BVP6" s="1962"/>
      <c r="BVQ6" s="1962"/>
      <c r="BVR6" s="1962"/>
      <c r="BVS6" s="1962"/>
      <c r="BVT6" s="1962"/>
      <c r="BVU6" s="1962"/>
      <c r="BVV6" s="1962"/>
      <c r="BVW6" s="1962"/>
      <c r="BVX6" s="1962"/>
      <c r="BVY6" s="1962"/>
      <c r="BVZ6" s="1962"/>
      <c r="BWA6" s="1962"/>
      <c r="BWB6" s="1962"/>
      <c r="BWC6" s="1962"/>
      <c r="BWD6" s="1962"/>
      <c r="BWE6" s="1962"/>
      <c r="BWF6" s="1962"/>
      <c r="BWG6" s="1962"/>
      <c r="BWH6" s="1962"/>
      <c r="BWI6" s="1962"/>
      <c r="BWJ6" s="1962"/>
      <c r="BWK6" s="1962"/>
      <c r="BWL6" s="1962"/>
      <c r="BWM6" s="1962"/>
      <c r="BWN6" s="1962"/>
      <c r="BWO6" s="1962"/>
      <c r="BWP6" s="1962"/>
      <c r="BWQ6" s="1962"/>
      <c r="BWR6" s="1962"/>
      <c r="BWS6" s="1962"/>
      <c r="BWT6" s="1962"/>
      <c r="BWU6" s="1962"/>
      <c r="BWV6" s="1962"/>
      <c r="BWW6" s="1962"/>
      <c r="BWX6" s="1962"/>
      <c r="BWY6" s="1962"/>
      <c r="BWZ6" s="1962"/>
      <c r="BXA6" s="1962"/>
      <c r="BXB6" s="1962"/>
      <c r="BXC6" s="1962"/>
      <c r="BXD6" s="1962"/>
      <c r="BXE6" s="1962"/>
      <c r="BXF6" s="1962"/>
      <c r="BXG6" s="1962"/>
      <c r="BXH6" s="1962"/>
      <c r="BXI6" s="1962"/>
      <c r="BXJ6" s="1962"/>
      <c r="BXK6" s="1962"/>
      <c r="BXL6" s="1962"/>
      <c r="BXM6" s="1962"/>
      <c r="BXN6" s="1962"/>
      <c r="BXO6" s="1962"/>
      <c r="BXP6" s="1962"/>
      <c r="BXQ6" s="1962"/>
      <c r="BXR6" s="1962"/>
      <c r="BXS6" s="1962"/>
      <c r="BXT6" s="1962"/>
      <c r="BXU6" s="1962"/>
      <c r="BXV6" s="1962"/>
      <c r="BXW6" s="1962"/>
      <c r="BXX6" s="1962"/>
      <c r="BXY6" s="1962"/>
      <c r="BXZ6" s="1962"/>
      <c r="BYA6" s="1962"/>
      <c r="BYB6" s="1962"/>
      <c r="BYC6" s="1962"/>
      <c r="BYD6" s="1962"/>
      <c r="BYE6" s="1962"/>
      <c r="BYF6" s="1962"/>
      <c r="BYG6" s="1962"/>
      <c r="BYH6" s="1962"/>
      <c r="BYI6" s="1962"/>
      <c r="BYJ6" s="1962"/>
      <c r="BYK6" s="1962"/>
      <c r="BYL6" s="1962"/>
      <c r="BYM6" s="1962"/>
      <c r="BYN6" s="1962"/>
      <c r="BYO6" s="1962"/>
      <c r="BYP6" s="1962"/>
      <c r="BYQ6" s="1962"/>
      <c r="BYR6" s="1962"/>
      <c r="BYS6" s="1962"/>
      <c r="BYT6" s="1962"/>
      <c r="BYU6" s="1962"/>
      <c r="BYV6" s="1962"/>
      <c r="BYW6" s="1962"/>
      <c r="BYX6" s="1962"/>
      <c r="BYY6" s="1962"/>
      <c r="BYZ6" s="1962"/>
      <c r="BZA6" s="1962"/>
      <c r="BZB6" s="1962"/>
      <c r="BZC6" s="1962"/>
      <c r="BZD6" s="1962"/>
      <c r="BZE6" s="1962"/>
      <c r="BZF6" s="1962"/>
      <c r="BZG6" s="1962"/>
      <c r="BZH6" s="1962"/>
      <c r="BZI6" s="1962"/>
      <c r="BZJ6" s="1962"/>
      <c r="BZK6" s="1962"/>
      <c r="BZL6" s="1962"/>
      <c r="BZM6" s="1962"/>
      <c r="BZN6" s="1962"/>
      <c r="BZO6" s="1962"/>
      <c r="BZP6" s="1962"/>
      <c r="BZQ6" s="1962"/>
      <c r="BZR6" s="1962"/>
      <c r="BZS6" s="1962"/>
      <c r="BZT6" s="1962"/>
      <c r="BZU6" s="1962"/>
      <c r="BZV6" s="1962"/>
      <c r="BZW6" s="1962"/>
      <c r="BZX6" s="1962"/>
      <c r="BZY6" s="1962"/>
      <c r="BZZ6" s="1962"/>
      <c r="CAA6" s="1962"/>
      <c r="CAB6" s="1962"/>
      <c r="CAC6" s="1962"/>
      <c r="CAD6" s="1962"/>
      <c r="CAE6" s="1962"/>
      <c r="CAF6" s="1962"/>
      <c r="CAG6" s="1962"/>
      <c r="CAH6" s="1962"/>
      <c r="CAI6" s="1962"/>
      <c r="CAJ6" s="1962"/>
      <c r="CAK6" s="1962"/>
      <c r="CAL6" s="1962"/>
      <c r="CAM6" s="1962"/>
      <c r="CAN6" s="1962"/>
      <c r="CAO6" s="1962"/>
      <c r="CAP6" s="1962"/>
      <c r="CAQ6" s="1962"/>
      <c r="CAR6" s="1962"/>
      <c r="CAS6" s="1962"/>
      <c r="CAT6" s="1962"/>
      <c r="CAU6" s="1962"/>
      <c r="CAV6" s="1962"/>
      <c r="CAW6" s="1962"/>
      <c r="CAX6" s="1962"/>
      <c r="CAY6" s="1962"/>
      <c r="CAZ6" s="1962"/>
      <c r="CBA6" s="1962"/>
      <c r="CBB6" s="1962"/>
      <c r="CBC6" s="1962"/>
      <c r="CBD6" s="1962"/>
      <c r="CBE6" s="1962"/>
      <c r="CBF6" s="1962"/>
      <c r="CBG6" s="1962"/>
      <c r="CBH6" s="1962"/>
      <c r="CBI6" s="1962"/>
      <c r="CBJ6" s="1962"/>
      <c r="CBK6" s="1962"/>
      <c r="CBL6" s="1962"/>
      <c r="CBM6" s="1962"/>
      <c r="CBN6" s="1962"/>
      <c r="CBO6" s="1962"/>
      <c r="CBP6" s="1962"/>
      <c r="CBQ6" s="1962"/>
      <c r="CBR6" s="1962"/>
      <c r="CBS6" s="1962"/>
      <c r="CBT6" s="1962"/>
      <c r="CBU6" s="1962"/>
      <c r="CBV6" s="1962"/>
      <c r="CBW6" s="1962"/>
      <c r="CBX6" s="1962"/>
      <c r="CBY6" s="1962"/>
      <c r="CBZ6" s="1962"/>
      <c r="CCA6" s="1962"/>
      <c r="CCB6" s="1962"/>
      <c r="CCC6" s="1962"/>
      <c r="CCD6" s="1962"/>
      <c r="CCE6" s="1962"/>
      <c r="CCF6" s="1962"/>
      <c r="CCG6" s="1962"/>
      <c r="CCH6" s="1962"/>
      <c r="CCI6" s="1962"/>
      <c r="CCJ6" s="1962"/>
      <c r="CCK6" s="1962"/>
      <c r="CCL6" s="1962"/>
      <c r="CCM6" s="1962"/>
      <c r="CCN6" s="1962"/>
      <c r="CCO6" s="1962"/>
      <c r="CCP6" s="1962"/>
      <c r="CCQ6" s="1962"/>
      <c r="CCR6" s="1962"/>
      <c r="CCS6" s="1962"/>
      <c r="CCT6" s="1962"/>
      <c r="CCU6" s="1962"/>
      <c r="CCV6" s="1962"/>
      <c r="CCW6" s="1962"/>
      <c r="CCX6" s="1962"/>
      <c r="CCY6" s="1962"/>
      <c r="CCZ6" s="1962"/>
      <c r="CDA6" s="1962"/>
      <c r="CDB6" s="1962"/>
      <c r="CDC6" s="1962"/>
      <c r="CDD6" s="1962"/>
      <c r="CDE6" s="1962"/>
      <c r="CDF6" s="1962"/>
      <c r="CDG6" s="1962"/>
      <c r="CDH6" s="1962"/>
      <c r="CDI6" s="1962"/>
      <c r="CDJ6" s="1962"/>
      <c r="CDK6" s="1962"/>
      <c r="CDL6" s="1962"/>
      <c r="CDM6" s="1962"/>
      <c r="CDN6" s="1962"/>
      <c r="CDO6" s="1962"/>
      <c r="CDP6" s="1962"/>
      <c r="CDQ6" s="1962"/>
      <c r="CDR6" s="1962"/>
      <c r="CDS6" s="1962"/>
      <c r="CDT6" s="1962"/>
      <c r="CDU6" s="1962"/>
      <c r="CDV6" s="1962"/>
      <c r="CDW6" s="1962"/>
      <c r="CDX6" s="1962"/>
      <c r="CDY6" s="1962"/>
      <c r="CDZ6" s="1962"/>
      <c r="CEA6" s="1962"/>
      <c r="CEB6" s="1962"/>
      <c r="CEC6" s="1962"/>
      <c r="CED6" s="1962"/>
      <c r="CEE6" s="1962"/>
      <c r="CEF6" s="1962"/>
      <c r="CEG6" s="1962"/>
      <c r="CEH6" s="1962"/>
      <c r="CEI6" s="1962"/>
      <c r="CEJ6" s="1962"/>
      <c r="CEK6" s="1962"/>
      <c r="CEL6" s="1962"/>
      <c r="CEM6" s="1962"/>
      <c r="CEN6" s="1962"/>
      <c r="CEO6" s="1962"/>
      <c r="CEP6" s="1962"/>
      <c r="CEQ6" s="1962"/>
      <c r="CER6" s="1962"/>
      <c r="CES6" s="1962"/>
      <c r="CET6" s="1962"/>
      <c r="CEU6" s="1962"/>
      <c r="CEV6" s="1962"/>
      <c r="CEW6" s="1962"/>
      <c r="CEX6" s="1962"/>
      <c r="CEY6" s="1962"/>
      <c r="CEZ6" s="1962"/>
      <c r="CFA6" s="1962"/>
      <c r="CFB6" s="1962"/>
      <c r="CFC6" s="1962"/>
      <c r="CFD6" s="1962"/>
      <c r="CFE6" s="1962"/>
      <c r="CFF6" s="1962"/>
      <c r="CFG6" s="1962"/>
      <c r="CFH6" s="1962"/>
      <c r="CFI6" s="1962"/>
      <c r="CFJ6" s="1962"/>
      <c r="CFK6" s="1962"/>
      <c r="CFL6" s="1962"/>
      <c r="CFM6" s="1962"/>
      <c r="CFN6" s="1962"/>
      <c r="CFO6" s="1962"/>
      <c r="CFP6" s="1962"/>
      <c r="CFQ6" s="1962"/>
      <c r="CFR6" s="1962"/>
      <c r="CFS6" s="1962"/>
      <c r="CFT6" s="1962"/>
      <c r="CFU6" s="1962"/>
      <c r="CFV6" s="1962"/>
      <c r="CFW6" s="1962"/>
      <c r="CFX6" s="1962"/>
      <c r="CFY6" s="1962"/>
      <c r="CFZ6" s="1962"/>
      <c r="CGA6" s="1962"/>
      <c r="CGB6" s="1962"/>
      <c r="CGC6" s="1962"/>
      <c r="CGD6" s="1962"/>
      <c r="CGE6" s="1962"/>
      <c r="CGF6" s="1962"/>
      <c r="CGG6" s="1962"/>
      <c r="CGH6" s="1962"/>
      <c r="CGI6" s="1962"/>
      <c r="CGJ6" s="1962"/>
      <c r="CGK6" s="1962"/>
      <c r="CGL6" s="1962"/>
      <c r="CGM6" s="1962"/>
      <c r="CGN6" s="1962"/>
      <c r="CGO6" s="1962"/>
      <c r="CGP6" s="1962"/>
      <c r="CGQ6" s="1962"/>
      <c r="CGR6" s="1962"/>
      <c r="CGS6" s="1962"/>
      <c r="CGT6" s="1962"/>
      <c r="CGU6" s="1962"/>
      <c r="CGV6" s="1962"/>
      <c r="CGW6" s="1962"/>
      <c r="CGX6" s="1962"/>
      <c r="CGY6" s="1962"/>
      <c r="CGZ6" s="1962"/>
      <c r="CHA6" s="1962"/>
      <c r="CHB6" s="1962"/>
      <c r="CHC6" s="1962"/>
      <c r="CHD6" s="1962"/>
      <c r="CHE6" s="1962"/>
      <c r="CHF6" s="1962"/>
      <c r="CHG6" s="1962"/>
      <c r="CHH6" s="1962"/>
      <c r="CHI6" s="1962"/>
      <c r="CHJ6" s="1962"/>
      <c r="CHK6" s="1962"/>
      <c r="CHL6" s="1962"/>
      <c r="CHM6" s="1962"/>
      <c r="CHN6" s="1962"/>
      <c r="CHO6" s="1962"/>
      <c r="CHP6" s="1962"/>
      <c r="CHQ6" s="1962"/>
      <c r="CHR6" s="1962"/>
      <c r="CHS6" s="1962"/>
      <c r="CHT6" s="1962"/>
      <c r="CHU6" s="1962"/>
      <c r="CHV6" s="1962"/>
      <c r="CHW6" s="1962"/>
      <c r="CHX6" s="1962"/>
      <c r="CHY6" s="1962"/>
      <c r="CHZ6" s="1962"/>
      <c r="CIA6" s="1962"/>
      <c r="CIB6" s="1962"/>
      <c r="CIC6" s="1962"/>
      <c r="CID6" s="1962"/>
      <c r="CIE6" s="1962"/>
      <c r="CIF6" s="1962"/>
      <c r="CIG6" s="1962"/>
      <c r="CIH6" s="1962"/>
      <c r="CII6" s="1962"/>
      <c r="CIJ6" s="1962"/>
      <c r="CIK6" s="1962"/>
      <c r="CIL6" s="1962"/>
      <c r="CIM6" s="1962"/>
      <c r="CIN6" s="1962"/>
      <c r="CIO6" s="1962"/>
      <c r="CIP6" s="1962"/>
      <c r="CIQ6" s="1962"/>
      <c r="CIR6" s="1962"/>
      <c r="CIS6" s="1962"/>
      <c r="CIT6" s="1962"/>
      <c r="CIU6" s="1962"/>
      <c r="CIV6" s="1962"/>
      <c r="CIW6" s="1962"/>
      <c r="CIX6" s="1962"/>
      <c r="CIY6" s="1962"/>
      <c r="CIZ6" s="1962"/>
      <c r="CJA6" s="1962"/>
      <c r="CJB6" s="1962"/>
      <c r="CJC6" s="1962"/>
      <c r="CJD6" s="1962"/>
      <c r="CJE6" s="1962"/>
      <c r="CJF6" s="1962"/>
      <c r="CJG6" s="1962"/>
      <c r="CJH6" s="1962"/>
      <c r="CJI6" s="1962"/>
      <c r="CJJ6" s="1962"/>
      <c r="CJK6" s="1962"/>
      <c r="CJL6" s="1962"/>
      <c r="CJM6" s="1962"/>
      <c r="CJN6" s="1962"/>
      <c r="CJO6" s="1962"/>
      <c r="CJP6" s="1962"/>
      <c r="CJQ6" s="1962"/>
      <c r="CJR6" s="1962"/>
      <c r="CJS6" s="1962"/>
      <c r="CJT6" s="1962"/>
      <c r="CJU6" s="1962"/>
      <c r="CJV6" s="1962"/>
      <c r="CJW6" s="1962"/>
      <c r="CJX6" s="1962"/>
      <c r="CJY6" s="1962"/>
      <c r="CJZ6" s="1962"/>
      <c r="CKA6" s="1962"/>
      <c r="CKB6" s="1962"/>
      <c r="CKC6" s="1962"/>
      <c r="CKD6" s="1962"/>
      <c r="CKE6" s="1962"/>
      <c r="CKF6" s="1962"/>
      <c r="CKG6" s="1962"/>
      <c r="CKH6" s="1962"/>
      <c r="CKI6" s="1962"/>
      <c r="CKJ6" s="1962"/>
      <c r="CKK6" s="1962"/>
      <c r="CKL6" s="1962"/>
      <c r="CKM6" s="1962"/>
      <c r="CKN6" s="1962"/>
      <c r="CKO6" s="1962"/>
      <c r="CKP6" s="1962"/>
      <c r="CKQ6" s="1962"/>
      <c r="CKR6" s="1962"/>
      <c r="CKS6" s="1962"/>
      <c r="CKT6" s="1962"/>
      <c r="CKU6" s="1962"/>
      <c r="CKV6" s="1962"/>
      <c r="CKW6" s="1962"/>
      <c r="CKX6" s="1962"/>
      <c r="CKY6" s="1962"/>
      <c r="CKZ6" s="1962"/>
      <c r="CLA6" s="1962"/>
      <c r="CLB6" s="1962"/>
      <c r="CLC6" s="1962"/>
      <c r="CLD6" s="1962"/>
      <c r="CLE6" s="1962"/>
      <c r="CLF6" s="1962"/>
      <c r="CLG6" s="1962"/>
      <c r="CLH6" s="1962"/>
      <c r="CLI6" s="1962"/>
      <c r="CLJ6" s="1962"/>
      <c r="CLK6" s="1962"/>
      <c r="CLL6" s="1962"/>
      <c r="CLM6" s="1962"/>
      <c r="CLN6" s="1962"/>
      <c r="CLO6" s="1962"/>
      <c r="CLP6" s="1962"/>
      <c r="CLQ6" s="1962"/>
      <c r="CLR6" s="1962"/>
      <c r="CLS6" s="1962"/>
      <c r="CLT6" s="1962"/>
      <c r="CLU6" s="1962"/>
      <c r="CLV6" s="1962"/>
      <c r="CLW6" s="1962"/>
      <c r="CLX6" s="1962"/>
      <c r="CLY6" s="1962"/>
      <c r="CLZ6" s="1962"/>
      <c r="CMA6" s="1962"/>
      <c r="CMB6" s="1962"/>
      <c r="CMC6" s="1962"/>
      <c r="CMD6" s="1962"/>
      <c r="CME6" s="1962"/>
      <c r="CMF6" s="1962"/>
      <c r="CMG6" s="1962"/>
      <c r="CMH6" s="1962"/>
      <c r="CMI6" s="1962"/>
      <c r="CMJ6" s="1962"/>
      <c r="CMK6" s="1962"/>
      <c r="CML6" s="1962"/>
      <c r="CMM6" s="1962"/>
      <c r="CMN6" s="1962"/>
      <c r="CMO6" s="1962"/>
      <c r="CMP6" s="1962"/>
      <c r="CMQ6" s="1962"/>
      <c r="CMR6" s="1962"/>
      <c r="CMS6" s="1962"/>
      <c r="CMT6" s="1962"/>
      <c r="CMU6" s="1962"/>
      <c r="CMV6" s="1962"/>
      <c r="CMW6" s="1962"/>
      <c r="CMX6" s="1962"/>
      <c r="CMY6" s="1962"/>
      <c r="CMZ6" s="1962"/>
      <c r="CNA6" s="1962"/>
      <c r="CNB6" s="1962"/>
      <c r="CNC6" s="1962"/>
      <c r="CND6" s="1962"/>
      <c r="CNE6" s="1962"/>
      <c r="CNF6" s="1962"/>
      <c r="CNG6" s="1962"/>
      <c r="CNH6" s="1962"/>
      <c r="CNI6" s="1962"/>
      <c r="CNJ6" s="1962"/>
      <c r="CNK6" s="1962"/>
      <c r="CNL6" s="1962"/>
      <c r="CNM6" s="1962"/>
      <c r="CNN6" s="1962"/>
      <c r="CNO6" s="1962"/>
      <c r="CNP6" s="1962"/>
      <c r="CNQ6" s="1962"/>
      <c r="CNR6" s="1962"/>
      <c r="CNS6" s="1962"/>
      <c r="CNT6" s="1962"/>
      <c r="CNU6" s="1962"/>
      <c r="CNV6" s="1962"/>
      <c r="CNW6" s="1962"/>
      <c r="CNX6" s="1962"/>
      <c r="CNY6" s="1962"/>
      <c r="CNZ6" s="1962"/>
      <c r="COA6" s="1962"/>
      <c r="COB6" s="1962"/>
      <c r="COC6" s="1962"/>
      <c r="COD6" s="1962"/>
      <c r="COE6" s="1962"/>
      <c r="COF6" s="1962"/>
      <c r="COG6" s="1962"/>
      <c r="COH6" s="1962"/>
      <c r="COI6" s="1962"/>
      <c r="COJ6" s="1962"/>
      <c r="COK6" s="1962"/>
      <c r="COL6" s="1962"/>
      <c r="COM6" s="1962"/>
      <c r="CON6" s="1962"/>
      <c r="COO6" s="1962"/>
      <c r="COP6" s="1962"/>
      <c r="COQ6" s="1962"/>
      <c r="COR6" s="1962"/>
      <c r="COS6" s="1962"/>
      <c r="COT6" s="1962"/>
      <c r="COU6" s="1962"/>
      <c r="COV6" s="1962"/>
      <c r="COW6" s="1962"/>
      <c r="COX6" s="1962"/>
      <c r="COY6" s="1962"/>
      <c r="COZ6" s="1962"/>
      <c r="CPA6" s="1962"/>
      <c r="CPB6" s="1962"/>
      <c r="CPC6" s="1962"/>
      <c r="CPD6" s="1962"/>
      <c r="CPE6" s="1962"/>
      <c r="CPF6" s="1962"/>
      <c r="CPG6" s="1962"/>
      <c r="CPH6" s="1962"/>
      <c r="CPI6" s="1962"/>
      <c r="CPJ6" s="1962"/>
      <c r="CPK6" s="1962"/>
      <c r="CPL6" s="1962"/>
      <c r="CPM6" s="1962"/>
      <c r="CPN6" s="1962"/>
      <c r="CPO6" s="1962"/>
      <c r="CPP6" s="1962"/>
      <c r="CPQ6" s="1962"/>
      <c r="CPR6" s="1962"/>
      <c r="CPS6" s="1962"/>
      <c r="CPT6" s="1962"/>
      <c r="CPU6" s="1962"/>
      <c r="CPV6" s="1962"/>
      <c r="CPW6" s="1962"/>
      <c r="CPX6" s="1962"/>
      <c r="CPY6" s="1962"/>
      <c r="CPZ6" s="1962"/>
      <c r="CQA6" s="1962"/>
      <c r="CQB6" s="1962"/>
      <c r="CQC6" s="1962"/>
      <c r="CQD6" s="1962"/>
      <c r="CQE6" s="1962"/>
      <c r="CQF6" s="1962"/>
      <c r="CQG6" s="1962"/>
      <c r="CQH6" s="1962"/>
      <c r="CQI6" s="1962"/>
      <c r="CQJ6" s="1962"/>
      <c r="CQK6" s="1962"/>
      <c r="CQL6" s="1962"/>
      <c r="CQM6" s="1962"/>
      <c r="CQN6" s="1962"/>
      <c r="CQO6" s="1962"/>
      <c r="CQP6" s="1962"/>
      <c r="CQQ6" s="1962"/>
      <c r="CQR6" s="1962"/>
      <c r="CQS6" s="1962"/>
      <c r="CQT6" s="1962"/>
      <c r="CQU6" s="1962"/>
      <c r="CQV6" s="1962"/>
      <c r="CQW6" s="1962"/>
      <c r="CQX6" s="1962"/>
      <c r="CQY6" s="1962"/>
      <c r="CQZ6" s="1962"/>
      <c r="CRA6" s="1962"/>
      <c r="CRB6" s="1962"/>
      <c r="CRC6" s="1962"/>
      <c r="CRD6" s="1962"/>
      <c r="CRE6" s="1962"/>
      <c r="CRF6" s="1962"/>
      <c r="CRG6" s="1962"/>
      <c r="CRH6" s="1962"/>
      <c r="CRI6" s="1962"/>
      <c r="CRJ6" s="1962"/>
      <c r="CRK6" s="1962"/>
      <c r="CRL6" s="1962"/>
      <c r="CRM6" s="1962"/>
      <c r="CRN6" s="1962"/>
      <c r="CRO6" s="1962"/>
      <c r="CRP6" s="1962"/>
      <c r="CRQ6" s="1962"/>
      <c r="CRR6" s="1962"/>
      <c r="CRS6" s="1962"/>
      <c r="CRT6" s="1962"/>
      <c r="CRU6" s="1962"/>
      <c r="CRV6" s="1962"/>
      <c r="CRW6" s="1962"/>
      <c r="CRX6" s="1962"/>
      <c r="CRY6" s="1962"/>
      <c r="CRZ6" s="1962"/>
      <c r="CSA6" s="1962"/>
      <c r="CSB6" s="1962"/>
      <c r="CSC6" s="1962"/>
      <c r="CSD6" s="1962"/>
      <c r="CSE6" s="1962"/>
      <c r="CSF6" s="1962"/>
      <c r="CSG6" s="1962"/>
      <c r="CSH6" s="1962"/>
      <c r="CSI6" s="1962"/>
      <c r="CSJ6" s="1962"/>
      <c r="CSK6" s="1962"/>
      <c r="CSL6" s="1962"/>
      <c r="CSM6" s="1962"/>
      <c r="CSN6" s="1962"/>
      <c r="CSO6" s="1962"/>
      <c r="CSP6" s="1962"/>
      <c r="CSQ6" s="1962"/>
      <c r="CSR6" s="1962"/>
      <c r="CSS6" s="1962"/>
      <c r="CST6" s="1962"/>
      <c r="CSU6" s="1962"/>
      <c r="CSV6" s="1962"/>
      <c r="CSW6" s="1962"/>
      <c r="CSX6" s="1962"/>
      <c r="CSY6" s="1962"/>
      <c r="CSZ6" s="1962"/>
      <c r="CTA6" s="1962"/>
      <c r="CTB6" s="1962"/>
      <c r="CTC6" s="1962"/>
      <c r="CTD6" s="1962"/>
      <c r="CTE6" s="1962"/>
      <c r="CTF6" s="1962"/>
      <c r="CTG6" s="1962"/>
      <c r="CTH6" s="1962"/>
      <c r="CTI6" s="1962"/>
      <c r="CTJ6" s="1962"/>
      <c r="CTK6" s="1962"/>
      <c r="CTL6" s="1962"/>
      <c r="CTM6" s="1962"/>
      <c r="CTN6" s="1962"/>
      <c r="CTO6" s="1962"/>
      <c r="CTP6" s="1962"/>
      <c r="CTQ6" s="1962"/>
      <c r="CTR6" s="1962"/>
      <c r="CTS6" s="1962"/>
      <c r="CTT6" s="1962"/>
      <c r="CTU6" s="1962"/>
      <c r="CTV6" s="1962"/>
      <c r="CTW6" s="1962"/>
      <c r="CTX6" s="1962"/>
      <c r="CTY6" s="1962"/>
      <c r="CTZ6" s="1962"/>
      <c r="CUA6" s="1962"/>
      <c r="CUB6" s="1962"/>
      <c r="CUC6" s="1962"/>
      <c r="CUD6" s="1962"/>
      <c r="CUE6" s="1962"/>
      <c r="CUF6" s="1962"/>
      <c r="CUG6" s="1962"/>
      <c r="CUH6" s="1962"/>
      <c r="CUI6" s="1962"/>
      <c r="CUJ6" s="1962"/>
      <c r="CUK6" s="1962"/>
      <c r="CUL6" s="1962"/>
      <c r="CUM6" s="1962"/>
      <c r="CUN6" s="1962"/>
      <c r="CUO6" s="1962"/>
      <c r="CUP6" s="1962"/>
      <c r="CUQ6" s="1962"/>
      <c r="CUR6" s="1962"/>
      <c r="CUS6" s="1962"/>
      <c r="CUT6" s="1962"/>
      <c r="CUU6" s="1962"/>
      <c r="CUV6" s="1962"/>
      <c r="CUW6" s="1962"/>
      <c r="CUX6" s="1962"/>
      <c r="CUY6" s="1962"/>
      <c r="CUZ6" s="1962"/>
      <c r="CVA6" s="1962"/>
      <c r="CVB6" s="1962"/>
      <c r="CVC6" s="1962"/>
      <c r="CVD6" s="1962"/>
      <c r="CVE6" s="1962"/>
      <c r="CVF6" s="1962"/>
      <c r="CVG6" s="1962"/>
      <c r="CVH6" s="1962"/>
      <c r="CVI6" s="1962"/>
      <c r="CVJ6" s="1962"/>
      <c r="CVK6" s="1962"/>
      <c r="CVL6" s="1962"/>
      <c r="CVM6" s="1962"/>
      <c r="CVN6" s="1962"/>
      <c r="CVO6" s="1962"/>
      <c r="CVP6" s="1962"/>
      <c r="CVQ6" s="1962"/>
      <c r="CVR6" s="1962"/>
      <c r="CVS6" s="1962"/>
      <c r="CVT6" s="1962"/>
      <c r="CVU6" s="1962"/>
      <c r="CVV6" s="1962"/>
      <c r="CVW6" s="1962"/>
      <c r="CVX6" s="1962"/>
      <c r="CVY6" s="1962"/>
      <c r="CVZ6" s="1962"/>
      <c r="CWA6" s="1962"/>
      <c r="CWB6" s="1962"/>
      <c r="CWC6" s="1962"/>
      <c r="CWD6" s="1962"/>
      <c r="CWE6" s="1962"/>
      <c r="CWF6" s="1962"/>
      <c r="CWG6" s="1962"/>
      <c r="CWH6" s="1962"/>
      <c r="CWI6" s="1962"/>
      <c r="CWJ6" s="1962"/>
      <c r="CWK6" s="1962"/>
      <c r="CWL6" s="1962"/>
      <c r="CWM6" s="1962"/>
      <c r="CWN6" s="1962"/>
      <c r="CWO6" s="1962"/>
      <c r="CWP6" s="1962"/>
      <c r="CWQ6" s="1962"/>
      <c r="CWR6" s="1962"/>
      <c r="CWS6" s="1962"/>
      <c r="CWT6" s="1962"/>
      <c r="CWU6" s="1962"/>
      <c r="CWV6" s="1962"/>
      <c r="CWW6" s="1962"/>
      <c r="CWX6" s="1962"/>
      <c r="CWY6" s="1962"/>
      <c r="CWZ6" s="1962"/>
      <c r="CXA6" s="1962"/>
      <c r="CXB6" s="1962"/>
      <c r="CXC6" s="1962"/>
      <c r="CXD6" s="1962"/>
      <c r="CXE6" s="1962"/>
      <c r="CXF6" s="1962"/>
      <c r="CXG6" s="1962"/>
      <c r="CXH6" s="1962"/>
      <c r="CXI6" s="1962"/>
      <c r="CXJ6" s="1962"/>
      <c r="CXK6" s="1962"/>
      <c r="CXL6" s="1962"/>
      <c r="CXM6" s="1962"/>
      <c r="CXN6" s="1962"/>
      <c r="CXO6" s="1962"/>
      <c r="CXP6" s="1962"/>
      <c r="CXQ6" s="1962"/>
      <c r="CXR6" s="1962"/>
      <c r="CXS6" s="1962"/>
      <c r="CXT6" s="1962"/>
      <c r="CXU6" s="1962"/>
      <c r="CXV6" s="1962"/>
      <c r="CXW6" s="1962"/>
      <c r="CXX6" s="1962"/>
      <c r="CXY6" s="1962"/>
      <c r="CXZ6" s="1962"/>
      <c r="CYA6" s="1962"/>
      <c r="CYB6" s="1962"/>
      <c r="CYC6" s="1962"/>
      <c r="CYD6" s="1962"/>
      <c r="CYE6" s="1962"/>
      <c r="CYF6" s="1962"/>
      <c r="CYG6" s="1962"/>
      <c r="CYH6" s="1962"/>
      <c r="CYI6" s="1962"/>
      <c r="CYJ6" s="1962"/>
      <c r="CYK6" s="1962"/>
      <c r="CYL6" s="1962"/>
      <c r="CYM6" s="1962"/>
      <c r="CYN6" s="1962"/>
      <c r="CYO6" s="1962"/>
      <c r="CYP6" s="1962"/>
      <c r="CYQ6" s="1962"/>
      <c r="CYR6" s="1962"/>
      <c r="CYS6" s="1962"/>
      <c r="CYT6" s="1962"/>
      <c r="CYU6" s="1962"/>
      <c r="CYV6" s="1962"/>
      <c r="CYW6" s="1962"/>
      <c r="CYX6" s="1962"/>
      <c r="CYY6" s="1962"/>
      <c r="CYZ6" s="1962"/>
      <c r="CZA6" s="1962"/>
      <c r="CZB6" s="1962"/>
      <c r="CZC6" s="1962"/>
      <c r="CZD6" s="1962"/>
      <c r="CZE6" s="1962"/>
      <c r="CZF6" s="1962"/>
      <c r="CZG6" s="1962"/>
      <c r="CZH6" s="1962"/>
      <c r="CZI6" s="1962"/>
      <c r="CZJ6" s="1962"/>
      <c r="CZK6" s="1962"/>
      <c r="CZL6" s="1962"/>
      <c r="CZM6" s="1962"/>
      <c r="CZN6" s="1962"/>
      <c r="CZO6" s="1962"/>
      <c r="CZP6" s="1962"/>
      <c r="CZQ6" s="1962"/>
      <c r="CZR6" s="1962"/>
      <c r="CZS6" s="1962"/>
      <c r="CZT6" s="1962"/>
      <c r="CZU6" s="1962"/>
      <c r="CZV6" s="1962"/>
      <c r="CZW6" s="1962"/>
      <c r="CZX6" s="1962"/>
      <c r="CZY6" s="1962"/>
      <c r="CZZ6" s="1962"/>
      <c r="DAA6" s="1962"/>
      <c r="DAB6" s="1962"/>
      <c r="DAC6" s="1962"/>
      <c r="DAD6" s="1962"/>
      <c r="DAE6" s="1962"/>
      <c r="DAF6" s="1962"/>
      <c r="DAG6" s="1962"/>
      <c r="DAH6" s="1962"/>
      <c r="DAI6" s="1962"/>
      <c r="DAJ6" s="1962"/>
      <c r="DAK6" s="1962"/>
      <c r="DAL6" s="1962"/>
      <c r="DAM6" s="1962"/>
      <c r="DAN6" s="1962"/>
      <c r="DAO6" s="1962"/>
      <c r="DAP6" s="1962"/>
      <c r="DAQ6" s="1962"/>
      <c r="DAR6" s="1962"/>
      <c r="DAS6" s="1962"/>
      <c r="DAT6" s="1962"/>
      <c r="DAU6" s="1962"/>
      <c r="DAV6" s="1962"/>
      <c r="DAW6" s="1962"/>
      <c r="DAX6" s="1962"/>
      <c r="DAY6" s="1962"/>
      <c r="DAZ6" s="1962"/>
      <c r="DBA6" s="1962"/>
      <c r="DBB6" s="1962"/>
      <c r="DBC6" s="1962"/>
      <c r="DBD6" s="1962"/>
      <c r="DBE6" s="1962"/>
      <c r="DBF6" s="1962"/>
      <c r="DBG6" s="1962"/>
      <c r="DBH6" s="1962"/>
      <c r="DBI6" s="1962"/>
      <c r="DBJ6" s="1962"/>
      <c r="DBK6" s="1962"/>
      <c r="DBL6" s="1962"/>
      <c r="DBM6" s="1962"/>
      <c r="DBN6" s="1962"/>
      <c r="DBO6" s="1962"/>
      <c r="DBP6" s="1962"/>
      <c r="DBQ6" s="1962"/>
      <c r="DBR6" s="1962"/>
      <c r="DBS6" s="1962"/>
      <c r="DBT6" s="1962"/>
      <c r="DBU6" s="1962"/>
      <c r="DBV6" s="1962"/>
      <c r="DBW6" s="1962"/>
      <c r="DBX6" s="1962"/>
      <c r="DBY6" s="1962"/>
      <c r="DBZ6" s="1962"/>
      <c r="DCA6" s="1962"/>
      <c r="DCB6" s="1962"/>
      <c r="DCC6" s="1962"/>
      <c r="DCD6" s="1962"/>
      <c r="DCE6" s="1962"/>
      <c r="DCF6" s="1962"/>
      <c r="DCG6" s="1962"/>
      <c r="DCH6" s="1962"/>
      <c r="DCI6" s="1962"/>
      <c r="DCJ6" s="1962"/>
      <c r="DCK6" s="1962"/>
      <c r="DCL6" s="1962"/>
      <c r="DCM6" s="1962"/>
      <c r="DCN6" s="1962"/>
      <c r="DCO6" s="1962"/>
      <c r="DCP6" s="1962"/>
      <c r="DCQ6" s="1962"/>
      <c r="DCR6" s="1962"/>
      <c r="DCS6" s="1962"/>
      <c r="DCT6" s="1962"/>
      <c r="DCU6" s="1962"/>
      <c r="DCV6" s="1962"/>
      <c r="DCW6" s="1962"/>
      <c r="DCX6" s="1962"/>
      <c r="DCY6" s="1962"/>
      <c r="DCZ6" s="1962"/>
      <c r="DDA6" s="1962"/>
      <c r="DDB6" s="1962"/>
      <c r="DDC6" s="1962"/>
      <c r="DDD6" s="1962"/>
      <c r="DDE6" s="1962"/>
      <c r="DDF6" s="1962"/>
      <c r="DDG6" s="1962"/>
      <c r="DDH6" s="1962"/>
      <c r="DDI6" s="1962"/>
      <c r="DDJ6" s="1962"/>
      <c r="DDK6" s="1962"/>
      <c r="DDL6" s="1962"/>
      <c r="DDM6" s="1962"/>
      <c r="DDN6" s="1962"/>
      <c r="DDO6" s="1962"/>
      <c r="DDP6" s="1962"/>
      <c r="DDQ6" s="1962"/>
      <c r="DDR6" s="1962"/>
      <c r="DDS6" s="1962"/>
      <c r="DDT6" s="1962"/>
      <c r="DDU6" s="1962"/>
      <c r="DDV6" s="1962"/>
      <c r="DDW6" s="1962"/>
      <c r="DDX6" s="1962"/>
      <c r="DDY6" s="1962"/>
      <c r="DDZ6" s="1962"/>
      <c r="DEA6" s="1962"/>
      <c r="DEB6" s="1962"/>
      <c r="DEC6" s="1962"/>
      <c r="DED6" s="1962"/>
      <c r="DEE6" s="1962"/>
      <c r="DEF6" s="1962"/>
      <c r="DEG6" s="1962"/>
      <c r="DEH6" s="1962"/>
      <c r="DEI6" s="1962"/>
      <c r="DEJ6" s="1962"/>
      <c r="DEK6" s="1962"/>
      <c r="DEL6" s="1962"/>
      <c r="DEM6" s="1962"/>
      <c r="DEN6" s="1962"/>
      <c r="DEO6" s="1962"/>
      <c r="DEP6" s="1962"/>
      <c r="DEQ6" s="1962"/>
      <c r="DER6" s="1962"/>
      <c r="DES6" s="1962"/>
      <c r="DET6" s="1962"/>
      <c r="DEU6" s="1962"/>
      <c r="DEV6" s="1962"/>
      <c r="DEW6" s="1962"/>
      <c r="DEX6" s="1962"/>
      <c r="DEY6" s="1962"/>
      <c r="DEZ6" s="1962"/>
      <c r="DFA6" s="1962"/>
      <c r="DFB6" s="1962"/>
      <c r="DFC6" s="1962"/>
      <c r="DFD6" s="1962"/>
      <c r="DFE6" s="1962"/>
      <c r="DFF6" s="1962"/>
      <c r="DFG6" s="1962"/>
      <c r="DFH6" s="1962"/>
      <c r="DFI6" s="1962"/>
      <c r="DFJ6" s="1962"/>
      <c r="DFK6" s="1962"/>
      <c r="DFL6" s="1962"/>
      <c r="DFM6" s="1962"/>
      <c r="DFN6" s="1962"/>
      <c r="DFO6" s="1962"/>
      <c r="DFP6" s="1962"/>
      <c r="DFQ6" s="1962"/>
      <c r="DFR6" s="1962"/>
      <c r="DFS6" s="1962"/>
      <c r="DFT6" s="1962"/>
      <c r="DFU6" s="1962"/>
      <c r="DFV6" s="1962"/>
      <c r="DFW6" s="1962"/>
      <c r="DFX6" s="1962"/>
      <c r="DFY6" s="1962"/>
      <c r="DFZ6" s="1962"/>
      <c r="DGA6" s="1962"/>
      <c r="DGB6" s="1962"/>
      <c r="DGC6" s="1962"/>
      <c r="DGD6" s="1962"/>
      <c r="DGE6" s="1962"/>
      <c r="DGF6" s="1962"/>
      <c r="DGG6" s="1962"/>
      <c r="DGH6" s="1962"/>
      <c r="DGI6" s="1962"/>
      <c r="DGJ6" s="1962"/>
      <c r="DGK6" s="1962"/>
      <c r="DGL6" s="1962"/>
      <c r="DGM6" s="1962"/>
      <c r="DGN6" s="1962"/>
      <c r="DGO6" s="1962"/>
      <c r="DGP6" s="1962"/>
      <c r="DGQ6" s="1962"/>
      <c r="DGR6" s="1962"/>
      <c r="DGS6" s="1962"/>
      <c r="DGT6" s="1962"/>
      <c r="DGU6" s="1962"/>
      <c r="DGV6" s="1962"/>
      <c r="DGW6" s="1962"/>
      <c r="DGX6" s="1962"/>
      <c r="DGY6" s="1962"/>
      <c r="DGZ6" s="1962"/>
      <c r="DHA6" s="1962"/>
      <c r="DHB6" s="1962"/>
      <c r="DHC6" s="1962"/>
      <c r="DHD6" s="1962"/>
      <c r="DHE6" s="1962"/>
      <c r="DHF6" s="1962"/>
      <c r="DHG6" s="1962"/>
      <c r="DHH6" s="1962"/>
      <c r="DHI6" s="1962"/>
      <c r="DHJ6" s="1962"/>
      <c r="DHK6" s="1962"/>
      <c r="DHL6" s="1962"/>
      <c r="DHM6" s="1962"/>
      <c r="DHN6" s="1962"/>
      <c r="DHO6" s="1962"/>
      <c r="DHP6" s="1962"/>
      <c r="DHQ6" s="1962"/>
      <c r="DHR6" s="1962"/>
      <c r="DHS6" s="1962"/>
      <c r="DHT6" s="1962"/>
      <c r="DHU6" s="1962"/>
      <c r="DHV6" s="1962"/>
      <c r="DHW6" s="1962"/>
      <c r="DHX6" s="1962"/>
      <c r="DHY6" s="1962"/>
      <c r="DHZ6" s="1962"/>
      <c r="DIA6" s="1962"/>
      <c r="DIB6" s="1962"/>
      <c r="DIC6" s="1962"/>
      <c r="DID6" s="1962"/>
      <c r="DIE6" s="1962"/>
      <c r="DIF6" s="1962"/>
      <c r="DIG6" s="1962"/>
      <c r="DIH6" s="1962"/>
      <c r="DII6" s="1962"/>
      <c r="DIJ6" s="1962"/>
      <c r="DIK6" s="1962"/>
      <c r="DIL6" s="1962"/>
      <c r="DIM6" s="1962"/>
      <c r="DIN6" s="1962"/>
      <c r="DIO6" s="1962"/>
      <c r="DIP6" s="1962"/>
      <c r="DIQ6" s="1962"/>
      <c r="DIR6" s="1962"/>
      <c r="DIS6" s="1962"/>
      <c r="DIT6" s="1962"/>
      <c r="DIU6" s="1962"/>
      <c r="DIV6" s="1962"/>
      <c r="DIW6" s="1962"/>
      <c r="DIX6" s="1962"/>
      <c r="DIY6" s="1962"/>
      <c r="DIZ6" s="1962"/>
      <c r="DJA6" s="1962"/>
      <c r="DJB6" s="1962"/>
      <c r="DJC6" s="1962"/>
      <c r="DJD6" s="1962"/>
      <c r="DJE6" s="1962"/>
      <c r="DJF6" s="1962"/>
      <c r="DJG6" s="1962"/>
      <c r="DJH6" s="1962"/>
      <c r="DJI6" s="1962"/>
      <c r="DJJ6" s="1962"/>
      <c r="DJK6" s="1962"/>
      <c r="DJL6" s="1962"/>
      <c r="DJM6" s="1962"/>
      <c r="DJN6" s="1962"/>
      <c r="DJO6" s="1962"/>
      <c r="DJP6" s="1962"/>
      <c r="DJQ6" s="1962"/>
      <c r="DJR6" s="1962"/>
      <c r="DJS6" s="1962"/>
      <c r="DJT6" s="1962"/>
      <c r="DJU6" s="1962"/>
      <c r="DJV6" s="1962"/>
      <c r="DJW6" s="1962"/>
      <c r="DJX6" s="1962"/>
      <c r="DJY6" s="1962"/>
      <c r="DJZ6" s="1962"/>
      <c r="DKA6" s="1962"/>
      <c r="DKB6" s="1962"/>
      <c r="DKC6" s="1962"/>
      <c r="DKD6" s="1962"/>
      <c r="DKE6" s="1962"/>
      <c r="DKF6" s="1962"/>
      <c r="DKG6" s="1962"/>
      <c r="DKH6" s="1962"/>
      <c r="DKI6" s="1962"/>
      <c r="DKJ6" s="1962"/>
      <c r="DKK6" s="1962"/>
      <c r="DKL6" s="1962"/>
      <c r="DKM6" s="1962"/>
      <c r="DKN6" s="1962"/>
      <c r="DKO6" s="1962"/>
      <c r="DKP6" s="1962"/>
      <c r="DKQ6" s="1962"/>
      <c r="DKR6" s="1962"/>
      <c r="DKS6" s="1962"/>
      <c r="DKT6" s="1962"/>
      <c r="DKU6" s="1962"/>
      <c r="DKV6" s="1962"/>
      <c r="DKW6" s="1962"/>
      <c r="DKX6" s="1962"/>
      <c r="DKY6" s="1962"/>
      <c r="DKZ6" s="1962"/>
      <c r="DLA6" s="1962"/>
      <c r="DLB6" s="1962"/>
      <c r="DLC6" s="1962"/>
      <c r="DLD6" s="1962"/>
      <c r="DLE6" s="1962"/>
      <c r="DLF6" s="1962"/>
      <c r="DLG6" s="1962"/>
      <c r="DLH6" s="1962"/>
      <c r="DLI6" s="1962"/>
      <c r="DLJ6" s="1962"/>
      <c r="DLK6" s="1962"/>
      <c r="DLL6" s="1962"/>
      <c r="DLM6" s="1962"/>
      <c r="DLN6" s="1962"/>
      <c r="DLO6" s="1962"/>
      <c r="DLP6" s="1962"/>
      <c r="DLQ6" s="1962"/>
      <c r="DLR6" s="1962"/>
      <c r="DLS6" s="1962"/>
      <c r="DLT6" s="1962"/>
      <c r="DLU6" s="1962"/>
      <c r="DLV6" s="1962"/>
      <c r="DLW6" s="1962"/>
      <c r="DLX6" s="1962"/>
      <c r="DLY6" s="1962"/>
      <c r="DLZ6" s="1962"/>
      <c r="DMA6" s="1962"/>
      <c r="DMB6" s="1962"/>
      <c r="DMC6" s="1962"/>
      <c r="DMD6" s="1962"/>
      <c r="DME6" s="1962"/>
      <c r="DMF6" s="1962"/>
      <c r="DMG6" s="1962"/>
      <c r="DMH6" s="1962"/>
      <c r="DMI6" s="1962"/>
      <c r="DMJ6" s="1962"/>
      <c r="DMK6" s="1962"/>
      <c r="DML6" s="1962"/>
      <c r="DMM6" s="1962"/>
      <c r="DMN6" s="1962"/>
      <c r="DMO6" s="1962"/>
      <c r="DMP6" s="1962"/>
      <c r="DMQ6" s="1962"/>
      <c r="DMR6" s="1962"/>
      <c r="DMS6" s="1962"/>
      <c r="DMT6" s="1962"/>
      <c r="DMU6" s="1962"/>
      <c r="DMV6" s="1962"/>
      <c r="DMW6" s="1962"/>
      <c r="DMX6" s="1962"/>
      <c r="DMY6" s="1962"/>
      <c r="DMZ6" s="1962"/>
      <c r="DNA6" s="1962"/>
      <c r="DNB6" s="1962"/>
      <c r="DNC6" s="1962"/>
      <c r="DND6" s="1962"/>
      <c r="DNE6" s="1962"/>
      <c r="DNF6" s="1962"/>
      <c r="DNG6" s="1962"/>
      <c r="DNH6" s="1962"/>
      <c r="DNI6" s="1962"/>
      <c r="DNJ6" s="1962"/>
      <c r="DNK6" s="1962"/>
      <c r="DNL6" s="1962"/>
      <c r="DNM6" s="1962"/>
      <c r="DNN6" s="1962"/>
      <c r="DNO6" s="1962"/>
      <c r="DNP6" s="1962"/>
      <c r="DNQ6" s="1962"/>
      <c r="DNR6" s="1962"/>
      <c r="DNS6" s="1962"/>
      <c r="DNT6" s="1962"/>
      <c r="DNU6" s="1962"/>
      <c r="DNV6" s="1962"/>
      <c r="DNW6" s="1962"/>
      <c r="DNX6" s="1962"/>
      <c r="DNY6" s="1962"/>
      <c r="DNZ6" s="1962"/>
      <c r="DOA6" s="1962"/>
      <c r="DOB6" s="1962"/>
      <c r="DOC6" s="1962"/>
      <c r="DOD6" s="1962"/>
      <c r="DOE6" s="1962"/>
      <c r="DOF6" s="1962"/>
      <c r="DOG6" s="1962"/>
      <c r="DOH6" s="1962"/>
      <c r="DOI6" s="1962"/>
      <c r="DOJ6" s="1962"/>
      <c r="DOK6" s="1962"/>
      <c r="DOL6" s="1962"/>
      <c r="DOM6" s="1962"/>
      <c r="DON6" s="1962"/>
      <c r="DOO6" s="1962"/>
      <c r="DOP6" s="1962"/>
      <c r="DOQ6" s="1962"/>
      <c r="DOR6" s="1962"/>
      <c r="DOS6" s="1962"/>
      <c r="DOT6" s="1962"/>
      <c r="DOU6" s="1962"/>
      <c r="DOV6" s="1962"/>
      <c r="DOW6" s="1962"/>
      <c r="DOX6" s="1962"/>
      <c r="DOY6" s="1962"/>
      <c r="DOZ6" s="1962"/>
      <c r="DPA6" s="1962"/>
      <c r="DPB6" s="1962"/>
      <c r="DPC6" s="1962"/>
      <c r="DPD6" s="1962"/>
      <c r="DPE6" s="1962"/>
      <c r="DPF6" s="1962"/>
      <c r="DPG6" s="1962"/>
      <c r="DPH6" s="1962"/>
      <c r="DPI6" s="1962"/>
      <c r="DPJ6" s="1962"/>
      <c r="DPK6" s="1962"/>
      <c r="DPL6" s="1962"/>
      <c r="DPM6" s="1962"/>
      <c r="DPN6" s="1962"/>
      <c r="DPO6" s="1962"/>
      <c r="DPP6" s="1962"/>
      <c r="DPQ6" s="1962"/>
      <c r="DPR6" s="1962"/>
      <c r="DPS6" s="1962"/>
      <c r="DPT6" s="1962"/>
      <c r="DPU6" s="1962"/>
      <c r="DPV6" s="1962"/>
      <c r="DPW6" s="1962"/>
      <c r="DPX6" s="1962"/>
      <c r="DPY6" s="1962"/>
      <c r="DPZ6" s="1962"/>
      <c r="DQA6" s="1962"/>
      <c r="DQB6" s="1962"/>
      <c r="DQC6" s="1962"/>
      <c r="DQD6" s="1962"/>
      <c r="DQE6" s="1962"/>
      <c r="DQF6" s="1962"/>
      <c r="DQG6" s="1962"/>
      <c r="DQH6" s="1962"/>
      <c r="DQI6" s="1962"/>
      <c r="DQJ6" s="1962"/>
      <c r="DQK6" s="1962"/>
      <c r="DQL6" s="1962"/>
      <c r="DQM6" s="1962"/>
      <c r="DQN6" s="1962"/>
      <c r="DQO6" s="1962"/>
      <c r="DQP6" s="1962"/>
      <c r="DQQ6" s="1962"/>
      <c r="DQR6" s="1962"/>
      <c r="DQS6" s="1962"/>
      <c r="DQT6" s="1962"/>
      <c r="DQU6" s="1962"/>
      <c r="DQV6" s="1962"/>
      <c r="DQW6" s="1962"/>
      <c r="DQX6" s="1962"/>
      <c r="DQY6" s="1962"/>
      <c r="DQZ6" s="1962"/>
      <c r="DRA6" s="1962"/>
      <c r="DRB6" s="1962"/>
      <c r="DRC6" s="1962"/>
      <c r="DRD6" s="1962"/>
      <c r="DRE6" s="1962"/>
      <c r="DRF6" s="1962"/>
      <c r="DRG6" s="1962"/>
      <c r="DRH6" s="1962"/>
      <c r="DRI6" s="1962"/>
      <c r="DRJ6" s="1962"/>
      <c r="DRK6" s="1962"/>
      <c r="DRL6" s="1962"/>
      <c r="DRM6" s="1962"/>
      <c r="DRN6" s="1962"/>
      <c r="DRO6" s="1962"/>
      <c r="DRP6" s="1962"/>
      <c r="DRQ6" s="1962"/>
      <c r="DRR6" s="1962"/>
      <c r="DRS6" s="1962"/>
      <c r="DRT6" s="1962"/>
      <c r="DRU6" s="1962"/>
      <c r="DRV6" s="1962"/>
      <c r="DRW6" s="1962"/>
      <c r="DRX6" s="1962"/>
      <c r="DRY6" s="1962"/>
      <c r="DRZ6" s="1962"/>
      <c r="DSA6" s="1962"/>
      <c r="DSB6" s="1962"/>
      <c r="DSC6" s="1962"/>
      <c r="DSD6" s="1962"/>
      <c r="DSE6" s="1962"/>
      <c r="DSF6" s="1962"/>
      <c r="DSG6" s="1962"/>
      <c r="DSH6" s="1962"/>
      <c r="DSI6" s="1962"/>
      <c r="DSJ6" s="1962"/>
      <c r="DSK6" s="1962"/>
      <c r="DSL6" s="1962"/>
      <c r="DSM6" s="1962"/>
      <c r="DSN6" s="1962"/>
      <c r="DSO6" s="1962"/>
      <c r="DSP6" s="1962"/>
      <c r="DSQ6" s="1962"/>
      <c r="DSR6" s="1962"/>
      <c r="DSS6" s="1962"/>
      <c r="DST6" s="1962"/>
      <c r="DSU6" s="1962"/>
      <c r="DSV6" s="1962"/>
      <c r="DSW6" s="1962"/>
      <c r="DSX6" s="1962"/>
      <c r="DSY6" s="1962"/>
      <c r="DSZ6" s="1962"/>
      <c r="DTA6" s="1962"/>
      <c r="DTB6" s="1962"/>
      <c r="DTC6" s="1962"/>
      <c r="DTD6" s="1962"/>
      <c r="DTE6" s="1962"/>
      <c r="DTF6" s="1962"/>
      <c r="DTG6" s="1962"/>
      <c r="DTH6" s="1962"/>
      <c r="DTI6" s="1962"/>
      <c r="DTJ6" s="1962"/>
      <c r="DTK6" s="1962"/>
      <c r="DTL6" s="1962"/>
      <c r="DTM6" s="1962"/>
      <c r="DTN6" s="1962"/>
      <c r="DTO6" s="1962"/>
      <c r="DTP6" s="1962"/>
      <c r="DTQ6" s="1962"/>
      <c r="DTR6" s="1962"/>
      <c r="DTS6" s="1962"/>
      <c r="DTT6" s="1962"/>
      <c r="DTU6" s="1962"/>
      <c r="DTV6" s="1962"/>
      <c r="DTW6" s="1962"/>
      <c r="DTX6" s="1962"/>
      <c r="DTY6" s="1962"/>
      <c r="DTZ6" s="1962"/>
      <c r="DUA6" s="1962"/>
      <c r="DUB6" s="1962"/>
      <c r="DUC6" s="1962"/>
      <c r="DUD6" s="1962"/>
      <c r="DUE6" s="1962"/>
      <c r="DUF6" s="1962"/>
      <c r="DUG6" s="1962"/>
      <c r="DUH6" s="1962"/>
      <c r="DUI6" s="1962"/>
      <c r="DUJ6" s="1962"/>
      <c r="DUK6" s="1962"/>
      <c r="DUL6" s="1962"/>
      <c r="DUM6" s="1962"/>
      <c r="DUN6" s="1962"/>
      <c r="DUO6" s="1962"/>
      <c r="DUP6" s="1962"/>
      <c r="DUQ6" s="1962"/>
      <c r="DUR6" s="1962"/>
      <c r="DUS6" s="1962"/>
      <c r="DUT6" s="1962"/>
      <c r="DUU6" s="1962"/>
      <c r="DUV6" s="1962"/>
      <c r="DUW6" s="1962"/>
      <c r="DUX6" s="1962"/>
      <c r="DUY6" s="1962"/>
      <c r="DUZ6" s="1962"/>
      <c r="DVA6" s="1962"/>
      <c r="DVB6" s="1962"/>
      <c r="DVC6" s="1962"/>
      <c r="DVD6" s="1962"/>
      <c r="DVE6" s="1962"/>
      <c r="DVF6" s="1962"/>
      <c r="DVG6" s="1962"/>
      <c r="DVH6" s="1962"/>
      <c r="DVI6" s="1962"/>
      <c r="DVJ6" s="1962"/>
      <c r="DVK6" s="1962"/>
      <c r="DVL6" s="1962"/>
      <c r="DVM6" s="1962"/>
      <c r="DVN6" s="1962"/>
      <c r="DVO6" s="1962"/>
      <c r="DVP6" s="1962"/>
      <c r="DVQ6" s="1962"/>
      <c r="DVR6" s="1962"/>
      <c r="DVS6" s="1962"/>
      <c r="DVT6" s="1962"/>
      <c r="DVU6" s="1962"/>
      <c r="DVV6" s="1962"/>
      <c r="DVW6" s="1962"/>
      <c r="DVX6" s="1962"/>
      <c r="DVY6" s="1962"/>
      <c r="DVZ6" s="1962"/>
      <c r="DWA6" s="1962"/>
      <c r="DWB6" s="1962"/>
      <c r="DWC6" s="1962"/>
      <c r="DWD6" s="1962"/>
      <c r="DWE6" s="1962"/>
      <c r="DWF6" s="1962"/>
      <c r="DWG6" s="1962"/>
      <c r="DWH6" s="1962"/>
      <c r="DWI6" s="1962"/>
      <c r="DWJ6" s="1962"/>
      <c r="DWK6" s="1962"/>
      <c r="DWL6" s="1962"/>
      <c r="DWM6" s="1962"/>
      <c r="DWN6" s="1962"/>
      <c r="DWO6" s="1962"/>
      <c r="DWP6" s="1962"/>
      <c r="DWQ6" s="1962"/>
      <c r="DWR6" s="1962"/>
      <c r="DWS6" s="1962"/>
      <c r="DWT6" s="1962"/>
      <c r="DWU6" s="1962"/>
      <c r="DWV6" s="1962"/>
      <c r="DWW6" s="1962"/>
      <c r="DWX6" s="1962"/>
      <c r="DWY6" s="1962"/>
      <c r="DWZ6" s="1962"/>
      <c r="DXA6" s="1962"/>
      <c r="DXB6" s="1962"/>
      <c r="DXC6" s="1962"/>
      <c r="DXD6" s="1962"/>
      <c r="DXE6" s="1962"/>
      <c r="DXF6" s="1962"/>
      <c r="DXG6" s="1962"/>
      <c r="DXH6" s="1962"/>
      <c r="DXI6" s="1962"/>
      <c r="DXJ6" s="1962"/>
      <c r="DXK6" s="1962"/>
      <c r="DXL6" s="1962"/>
      <c r="DXM6" s="1962"/>
      <c r="DXN6" s="1962"/>
      <c r="DXO6" s="1962"/>
      <c r="DXP6" s="1962"/>
      <c r="DXQ6" s="1962"/>
      <c r="DXR6" s="1962"/>
      <c r="DXS6" s="1962"/>
      <c r="DXT6" s="1962"/>
      <c r="DXU6" s="1962"/>
      <c r="DXV6" s="1962"/>
      <c r="DXW6" s="1962"/>
      <c r="DXX6" s="1962"/>
      <c r="DXY6" s="1962"/>
      <c r="DXZ6" s="1962"/>
      <c r="DYA6" s="1962"/>
      <c r="DYB6" s="1962"/>
      <c r="DYC6" s="1962"/>
      <c r="DYD6" s="1962"/>
      <c r="DYE6" s="1962"/>
      <c r="DYF6" s="1962"/>
      <c r="DYG6" s="1962"/>
      <c r="DYH6" s="1962"/>
      <c r="DYI6" s="1962"/>
      <c r="DYJ6" s="1962"/>
      <c r="DYK6" s="1962"/>
      <c r="DYL6" s="1962"/>
      <c r="DYM6" s="1962"/>
      <c r="DYN6" s="1962"/>
      <c r="DYO6" s="1962"/>
      <c r="DYP6" s="1962"/>
      <c r="DYQ6" s="1962"/>
      <c r="DYR6" s="1962"/>
      <c r="DYS6" s="1962"/>
      <c r="DYT6" s="1962"/>
      <c r="DYU6" s="1962"/>
      <c r="DYV6" s="1962"/>
      <c r="DYW6" s="1962"/>
      <c r="DYX6" s="1962"/>
      <c r="DYY6" s="1962"/>
      <c r="DYZ6" s="1962"/>
      <c r="DZA6" s="1962"/>
      <c r="DZB6" s="1962"/>
      <c r="DZC6" s="1962"/>
      <c r="DZD6" s="1962"/>
      <c r="DZE6" s="1962"/>
      <c r="DZF6" s="1962"/>
      <c r="DZG6" s="1962"/>
      <c r="DZH6" s="1962"/>
      <c r="DZI6" s="1962"/>
      <c r="DZJ6" s="1962"/>
      <c r="DZK6" s="1962"/>
      <c r="DZL6" s="1962"/>
      <c r="DZM6" s="1962"/>
      <c r="DZN6" s="1962"/>
      <c r="DZO6" s="1962"/>
      <c r="DZP6" s="1962"/>
      <c r="DZQ6" s="1962"/>
      <c r="DZR6" s="1962"/>
      <c r="DZS6" s="1962"/>
      <c r="DZT6" s="1962"/>
      <c r="DZU6" s="1962"/>
      <c r="DZV6" s="1962"/>
      <c r="DZW6" s="1962"/>
      <c r="DZX6" s="1962"/>
      <c r="DZY6" s="1962"/>
      <c r="DZZ6" s="1962"/>
      <c r="EAA6" s="1962"/>
      <c r="EAB6" s="1962"/>
      <c r="EAC6" s="1962"/>
      <c r="EAD6" s="1962"/>
      <c r="EAE6" s="1962"/>
      <c r="EAF6" s="1962"/>
      <c r="EAG6" s="1962"/>
      <c r="EAH6" s="1962"/>
      <c r="EAI6" s="1962"/>
      <c r="EAJ6" s="1962"/>
      <c r="EAK6" s="1962"/>
      <c r="EAL6" s="1962"/>
      <c r="EAM6" s="1962"/>
      <c r="EAN6" s="1962"/>
      <c r="EAO6" s="1962"/>
      <c r="EAP6" s="1962"/>
      <c r="EAQ6" s="1962"/>
      <c r="EAR6" s="1962"/>
      <c r="EAS6" s="1962"/>
      <c r="EAT6" s="1962"/>
      <c r="EAU6" s="1962"/>
      <c r="EAV6" s="1962"/>
      <c r="EAW6" s="1962"/>
      <c r="EAX6" s="1962"/>
      <c r="EAY6" s="1962"/>
      <c r="EAZ6" s="1962"/>
      <c r="EBA6" s="1962"/>
      <c r="EBB6" s="1962"/>
      <c r="EBC6" s="1962"/>
      <c r="EBD6" s="1962"/>
      <c r="EBE6" s="1962"/>
      <c r="EBF6" s="1962"/>
      <c r="EBG6" s="1962"/>
      <c r="EBH6" s="1962"/>
      <c r="EBI6" s="1962"/>
      <c r="EBJ6" s="1962"/>
      <c r="EBK6" s="1962"/>
      <c r="EBL6" s="1962"/>
      <c r="EBM6" s="1962"/>
      <c r="EBN6" s="1962"/>
      <c r="EBO6" s="1962"/>
      <c r="EBP6" s="1962"/>
      <c r="EBQ6" s="1962"/>
      <c r="EBR6" s="1962"/>
      <c r="EBS6" s="1962"/>
      <c r="EBT6" s="1962"/>
      <c r="EBU6" s="1962"/>
      <c r="EBV6" s="1962"/>
      <c r="EBW6" s="1962"/>
      <c r="EBX6" s="1962"/>
      <c r="EBY6" s="1962"/>
      <c r="EBZ6" s="1962"/>
      <c r="ECA6" s="1962"/>
      <c r="ECB6" s="1962"/>
      <c r="ECC6" s="1962"/>
      <c r="ECD6" s="1962"/>
      <c r="ECE6" s="1962"/>
      <c r="ECF6" s="1962"/>
      <c r="ECG6" s="1962"/>
      <c r="ECH6" s="1962"/>
      <c r="ECI6" s="1962"/>
      <c r="ECJ6" s="1962"/>
      <c r="ECK6" s="1962"/>
      <c r="ECL6" s="1962"/>
      <c r="ECM6" s="1962"/>
      <c r="ECN6" s="1962"/>
      <c r="ECO6" s="1962"/>
      <c r="ECP6" s="1962"/>
      <c r="ECQ6" s="1962"/>
      <c r="ECR6" s="1962"/>
      <c r="ECS6" s="1962"/>
      <c r="ECT6" s="1962"/>
      <c r="ECU6" s="1962"/>
      <c r="ECV6" s="1962"/>
      <c r="ECW6" s="1962"/>
      <c r="ECX6" s="1962"/>
      <c r="ECY6" s="1962"/>
      <c r="ECZ6" s="1962"/>
      <c r="EDA6" s="1962"/>
      <c r="EDB6" s="1962"/>
      <c r="EDC6" s="1962"/>
      <c r="EDD6" s="1962"/>
      <c r="EDE6" s="1962"/>
      <c r="EDF6" s="1962"/>
      <c r="EDG6" s="1962"/>
      <c r="EDH6" s="1962"/>
      <c r="EDI6" s="1962"/>
      <c r="EDJ6" s="1962"/>
      <c r="EDK6" s="1962"/>
      <c r="EDL6" s="1962"/>
      <c r="EDM6" s="1962"/>
      <c r="EDN6" s="1962"/>
      <c r="EDO6" s="1962"/>
      <c r="EDP6" s="1962"/>
      <c r="EDQ6" s="1962"/>
      <c r="EDR6" s="1962"/>
      <c r="EDS6" s="1962"/>
      <c r="EDT6" s="1962"/>
      <c r="EDU6" s="1962"/>
      <c r="EDV6" s="1962"/>
      <c r="EDW6" s="1962"/>
      <c r="EDX6" s="1962"/>
      <c r="EDY6" s="1962"/>
      <c r="EDZ6" s="1962"/>
      <c r="EEA6" s="1962"/>
      <c r="EEB6" s="1962"/>
      <c r="EEC6" s="1962"/>
      <c r="EED6" s="1962"/>
      <c r="EEE6" s="1962"/>
      <c r="EEF6" s="1962"/>
      <c r="EEG6" s="1962"/>
      <c r="EEH6" s="1962"/>
      <c r="EEI6" s="1962"/>
      <c r="EEJ6" s="1962"/>
      <c r="EEK6" s="1962"/>
      <c r="EEL6" s="1962"/>
      <c r="EEM6" s="1962"/>
      <c r="EEN6" s="1962"/>
      <c r="EEO6" s="1962"/>
      <c r="EEP6" s="1962"/>
      <c r="EEQ6" s="1962"/>
      <c r="EER6" s="1962"/>
      <c r="EES6" s="1962"/>
      <c r="EET6" s="1962"/>
      <c r="EEU6" s="1962"/>
      <c r="EEV6" s="1962"/>
      <c r="EEW6" s="1962"/>
      <c r="EEX6" s="1962"/>
      <c r="EEY6" s="1962"/>
      <c r="EEZ6" s="1962"/>
      <c r="EFA6" s="1962"/>
      <c r="EFB6" s="1962"/>
      <c r="EFC6" s="1962"/>
      <c r="EFD6" s="1962"/>
      <c r="EFE6" s="1962"/>
      <c r="EFF6" s="1962"/>
      <c r="EFG6" s="1962"/>
      <c r="EFH6" s="1962"/>
      <c r="EFI6" s="1962"/>
      <c r="EFJ6" s="1962"/>
      <c r="EFK6" s="1962"/>
      <c r="EFL6" s="1962"/>
      <c r="EFM6" s="1962"/>
      <c r="EFN6" s="1962"/>
      <c r="EFO6" s="1962"/>
      <c r="EFP6" s="1962"/>
      <c r="EFQ6" s="1962"/>
      <c r="EFR6" s="1962"/>
      <c r="EFS6" s="1962"/>
      <c r="EFT6" s="1962"/>
      <c r="EFU6" s="1962"/>
      <c r="EFV6" s="1962"/>
      <c r="EFW6" s="1962"/>
      <c r="EFX6" s="1962"/>
      <c r="EFY6" s="1962"/>
      <c r="EFZ6" s="1962"/>
      <c r="EGA6" s="1962"/>
      <c r="EGB6" s="1962"/>
      <c r="EGC6" s="1962"/>
      <c r="EGD6" s="1962"/>
      <c r="EGE6" s="1962"/>
      <c r="EGF6" s="1962"/>
      <c r="EGG6" s="1962"/>
      <c r="EGH6" s="1962"/>
      <c r="EGI6" s="1962"/>
      <c r="EGJ6" s="1962"/>
      <c r="EGK6" s="1962"/>
      <c r="EGL6" s="1962"/>
      <c r="EGM6" s="1962"/>
      <c r="EGN6" s="1962"/>
      <c r="EGO6" s="1962"/>
      <c r="EGP6" s="1962"/>
      <c r="EGQ6" s="1962"/>
      <c r="EGR6" s="1962"/>
      <c r="EGS6" s="1962"/>
      <c r="EGT6" s="1962"/>
      <c r="EGU6" s="1962"/>
      <c r="EGV6" s="1962"/>
      <c r="EGW6" s="1962"/>
      <c r="EGX6" s="1962"/>
      <c r="EGY6" s="1962"/>
      <c r="EGZ6" s="1962"/>
      <c r="EHA6" s="1962"/>
      <c r="EHB6" s="1962"/>
      <c r="EHC6" s="1962"/>
      <c r="EHD6" s="1962"/>
      <c r="EHE6" s="1962"/>
      <c r="EHF6" s="1962"/>
      <c r="EHG6" s="1962"/>
      <c r="EHH6" s="1962"/>
      <c r="EHI6" s="1962"/>
      <c r="EHJ6" s="1962"/>
      <c r="EHK6" s="1962"/>
      <c r="EHL6" s="1962"/>
      <c r="EHM6" s="1962"/>
      <c r="EHN6" s="1962"/>
      <c r="EHO6" s="1962"/>
      <c r="EHP6" s="1962"/>
      <c r="EHQ6" s="1962"/>
      <c r="EHR6" s="1962"/>
      <c r="EHS6" s="1962"/>
      <c r="EHT6" s="1962"/>
      <c r="EHU6" s="1962"/>
      <c r="EHV6" s="1962"/>
      <c r="EHW6" s="1962"/>
      <c r="EHX6" s="1962"/>
      <c r="EHY6" s="1962"/>
      <c r="EHZ6" s="1962"/>
      <c r="EIA6" s="1962"/>
      <c r="EIB6" s="1962"/>
      <c r="EIC6" s="1962"/>
      <c r="EID6" s="1962"/>
      <c r="EIE6" s="1962"/>
      <c r="EIF6" s="1962"/>
      <c r="EIG6" s="1962"/>
      <c r="EIH6" s="1962"/>
      <c r="EII6" s="1962"/>
      <c r="EIJ6" s="1962"/>
      <c r="EIK6" s="1962"/>
      <c r="EIL6" s="1962"/>
      <c r="EIM6" s="1962"/>
      <c r="EIN6" s="1962"/>
      <c r="EIO6" s="1962"/>
      <c r="EIP6" s="1962"/>
      <c r="EIQ6" s="1962"/>
      <c r="EIR6" s="1962"/>
      <c r="EIS6" s="1962"/>
      <c r="EIT6" s="1962"/>
      <c r="EIU6" s="1962"/>
      <c r="EIV6" s="1962"/>
      <c r="EIW6" s="1962"/>
      <c r="EIX6" s="1962"/>
      <c r="EIY6" s="1962"/>
      <c r="EIZ6" s="1962"/>
      <c r="EJA6" s="1962"/>
      <c r="EJB6" s="1962"/>
      <c r="EJC6" s="1962"/>
      <c r="EJD6" s="1962"/>
      <c r="EJE6" s="1962"/>
      <c r="EJF6" s="1962"/>
      <c r="EJG6" s="1962"/>
      <c r="EJH6" s="1962"/>
      <c r="EJI6" s="1962"/>
      <c r="EJJ6" s="1962"/>
      <c r="EJK6" s="1962"/>
      <c r="EJL6" s="1962"/>
      <c r="EJM6" s="1962"/>
      <c r="EJN6" s="1962"/>
      <c r="EJO6" s="1962"/>
      <c r="EJP6" s="1962"/>
      <c r="EJQ6" s="1962"/>
      <c r="EJR6" s="1962"/>
      <c r="EJS6" s="1962"/>
      <c r="EJT6" s="1962"/>
      <c r="EJU6" s="1962"/>
      <c r="EJV6" s="1962"/>
      <c r="EJW6" s="1962"/>
      <c r="EJX6" s="1962"/>
      <c r="EJY6" s="1962"/>
      <c r="EJZ6" s="1962"/>
      <c r="EKA6" s="1962"/>
      <c r="EKB6" s="1962"/>
      <c r="EKC6" s="1962"/>
      <c r="EKD6" s="1962"/>
      <c r="EKE6" s="1962"/>
      <c r="EKF6" s="1962"/>
      <c r="EKG6" s="1962"/>
      <c r="EKH6" s="1962"/>
      <c r="EKI6" s="1962"/>
      <c r="EKJ6" s="1962"/>
      <c r="EKK6" s="1962"/>
      <c r="EKL6" s="1962"/>
      <c r="EKM6" s="1962"/>
      <c r="EKN6" s="1962"/>
      <c r="EKO6" s="1962"/>
      <c r="EKP6" s="1962"/>
      <c r="EKQ6" s="1962"/>
      <c r="EKR6" s="1962"/>
      <c r="EKS6" s="1962"/>
      <c r="EKT6" s="1962"/>
      <c r="EKU6" s="1962"/>
      <c r="EKV6" s="1962"/>
      <c r="EKW6" s="1962"/>
      <c r="EKX6" s="1962"/>
      <c r="EKY6" s="1962"/>
      <c r="EKZ6" s="1962"/>
      <c r="ELA6" s="1962"/>
      <c r="ELB6" s="1962"/>
      <c r="ELC6" s="1962"/>
      <c r="ELD6" s="1962"/>
      <c r="ELE6" s="1962"/>
      <c r="ELF6" s="1962"/>
      <c r="ELG6" s="1962"/>
      <c r="ELH6" s="1962"/>
      <c r="ELI6" s="1962"/>
      <c r="ELJ6" s="1962"/>
      <c r="ELK6" s="1962"/>
      <c r="ELL6" s="1962"/>
      <c r="ELM6" s="1962"/>
      <c r="ELN6" s="1962"/>
      <c r="ELO6" s="1962"/>
      <c r="ELP6" s="1962"/>
      <c r="ELQ6" s="1962"/>
      <c r="ELR6" s="1962"/>
      <c r="ELS6" s="1962"/>
      <c r="ELT6" s="1962"/>
      <c r="ELU6" s="1962"/>
      <c r="ELV6" s="1962"/>
      <c r="ELW6" s="1962"/>
      <c r="ELX6" s="1962"/>
      <c r="ELY6" s="1962"/>
      <c r="ELZ6" s="1962"/>
      <c r="EMA6" s="1962"/>
      <c r="EMB6" s="1962"/>
      <c r="EMC6" s="1962"/>
      <c r="EMD6" s="1962"/>
      <c r="EME6" s="1962"/>
      <c r="EMF6" s="1962"/>
      <c r="EMG6" s="1962"/>
      <c r="EMH6" s="1962"/>
      <c r="EMI6" s="1962"/>
      <c r="EMJ6" s="1962"/>
      <c r="EMK6" s="1962"/>
      <c r="EML6" s="1962"/>
      <c r="EMM6" s="1962"/>
      <c r="EMN6" s="1962"/>
      <c r="EMO6" s="1962"/>
      <c r="EMP6" s="1962"/>
      <c r="EMQ6" s="1962"/>
      <c r="EMR6" s="1962"/>
      <c r="EMS6" s="1962"/>
      <c r="EMT6" s="1962"/>
      <c r="EMU6" s="1962"/>
      <c r="EMV6" s="1962"/>
      <c r="EMW6" s="1962"/>
      <c r="EMX6" s="1962"/>
      <c r="EMY6" s="1962"/>
      <c r="EMZ6" s="1962"/>
      <c r="ENA6" s="1962"/>
      <c r="ENB6" s="1962"/>
      <c r="ENC6" s="1962"/>
      <c r="END6" s="1962"/>
      <c r="ENE6" s="1962"/>
      <c r="ENF6" s="1962"/>
      <c r="ENG6" s="1962"/>
      <c r="ENH6" s="1962"/>
      <c r="ENI6" s="1962"/>
      <c r="ENJ6" s="1962"/>
      <c r="ENK6" s="1962"/>
      <c r="ENL6" s="1962"/>
      <c r="ENM6" s="1962"/>
      <c r="ENN6" s="1962"/>
      <c r="ENO6" s="1962"/>
      <c r="ENP6" s="1962"/>
      <c r="ENQ6" s="1962"/>
      <c r="ENR6" s="1962"/>
      <c r="ENS6" s="1962"/>
      <c r="ENT6" s="1962"/>
      <c r="ENU6" s="1962"/>
      <c r="ENV6" s="1962"/>
      <c r="ENW6" s="1962"/>
      <c r="ENX6" s="1962"/>
      <c r="ENY6" s="1962"/>
      <c r="ENZ6" s="1962"/>
      <c r="EOA6" s="1962"/>
      <c r="EOB6" s="1962"/>
      <c r="EOC6" s="1962"/>
      <c r="EOD6" s="1962"/>
      <c r="EOE6" s="1962"/>
      <c r="EOF6" s="1962"/>
      <c r="EOG6" s="1962"/>
      <c r="EOH6" s="1962"/>
      <c r="EOI6" s="1962"/>
      <c r="EOJ6" s="1962"/>
      <c r="EOK6" s="1962"/>
      <c r="EOL6" s="1962"/>
      <c r="EOM6" s="1962"/>
      <c r="EON6" s="1962"/>
      <c r="EOO6" s="1962"/>
      <c r="EOP6" s="1962"/>
      <c r="EOQ6" s="1962"/>
      <c r="EOR6" s="1962"/>
      <c r="EOS6" s="1962"/>
      <c r="EOT6" s="1962"/>
      <c r="EOU6" s="1962"/>
      <c r="EOV6" s="1962"/>
      <c r="EOW6" s="1962"/>
      <c r="EOX6" s="1962"/>
      <c r="EOY6" s="1962"/>
      <c r="EOZ6" s="1962"/>
      <c r="EPA6" s="1962"/>
      <c r="EPB6" s="1962"/>
      <c r="EPC6" s="1962"/>
      <c r="EPD6" s="1962"/>
      <c r="EPE6" s="1962"/>
      <c r="EPF6" s="1962"/>
      <c r="EPG6" s="1962"/>
      <c r="EPH6" s="1962"/>
      <c r="EPI6" s="1962"/>
      <c r="EPJ6" s="1962"/>
      <c r="EPK6" s="1962"/>
      <c r="EPL6" s="1962"/>
      <c r="EPM6" s="1962"/>
      <c r="EPN6" s="1962"/>
      <c r="EPO6" s="1962"/>
      <c r="EPP6" s="1962"/>
      <c r="EPQ6" s="1962"/>
      <c r="EPR6" s="1962"/>
      <c r="EPS6" s="1962"/>
      <c r="EPT6" s="1962"/>
      <c r="EPU6" s="1962"/>
      <c r="EPV6" s="1962"/>
      <c r="EPW6" s="1962"/>
      <c r="EPX6" s="1962"/>
      <c r="EPY6" s="1962"/>
      <c r="EPZ6" s="1962"/>
      <c r="EQA6" s="1962"/>
      <c r="EQB6" s="1962"/>
      <c r="EQC6" s="1962"/>
      <c r="EQD6" s="1962"/>
      <c r="EQE6" s="1962"/>
      <c r="EQF6" s="1962"/>
      <c r="EQG6" s="1962"/>
      <c r="EQH6" s="1962"/>
      <c r="EQI6" s="1962"/>
      <c r="EQJ6" s="1962"/>
      <c r="EQK6" s="1962"/>
      <c r="EQL6" s="1962"/>
      <c r="EQM6" s="1962"/>
      <c r="EQN6" s="1962"/>
      <c r="EQO6" s="1962"/>
      <c r="EQP6" s="1962"/>
      <c r="EQQ6" s="1962"/>
      <c r="EQR6" s="1962"/>
      <c r="EQS6" s="1962"/>
      <c r="EQT6" s="1962"/>
      <c r="EQU6" s="1962"/>
      <c r="EQV6" s="1962"/>
      <c r="EQW6" s="1962"/>
      <c r="EQX6" s="1962"/>
      <c r="EQY6" s="1962"/>
      <c r="EQZ6" s="1962"/>
      <c r="ERA6" s="1962"/>
      <c r="ERB6" s="1962"/>
      <c r="ERC6" s="1962"/>
      <c r="ERD6" s="1962"/>
      <c r="ERE6" s="1962"/>
      <c r="ERF6" s="1962"/>
      <c r="ERG6" s="1962"/>
      <c r="ERH6" s="1962"/>
      <c r="ERI6" s="1962"/>
      <c r="ERJ6" s="1962"/>
      <c r="ERK6" s="1962"/>
      <c r="ERL6" s="1962"/>
      <c r="ERM6" s="1962"/>
      <c r="ERN6" s="1962"/>
      <c r="ERO6" s="1962"/>
      <c r="ERP6" s="1962"/>
      <c r="ERQ6" s="1962"/>
      <c r="ERR6" s="1962"/>
      <c r="ERS6" s="1962"/>
      <c r="ERT6" s="1962"/>
      <c r="ERU6" s="1962"/>
      <c r="ERV6" s="1962"/>
      <c r="ERW6" s="1962"/>
      <c r="ERX6" s="1962"/>
      <c r="ERY6" s="1962"/>
      <c r="ERZ6" s="1962"/>
      <c r="ESA6" s="1962"/>
      <c r="ESB6" s="1962"/>
      <c r="ESC6" s="1962"/>
      <c r="ESD6" s="1962"/>
      <c r="ESE6" s="1962"/>
      <c r="ESF6" s="1962"/>
      <c r="ESG6" s="1962"/>
      <c r="ESH6" s="1962"/>
      <c r="ESI6" s="1962"/>
      <c r="ESJ6" s="1962"/>
      <c r="ESK6" s="1962"/>
      <c r="ESL6" s="1962"/>
      <c r="ESM6" s="1962"/>
      <c r="ESN6" s="1962"/>
      <c r="ESO6" s="1962"/>
      <c r="ESP6" s="1962"/>
      <c r="ESQ6" s="1962"/>
      <c r="ESR6" s="1962"/>
      <c r="ESS6" s="1962"/>
      <c r="EST6" s="1962"/>
      <c r="ESU6" s="1962"/>
      <c r="ESV6" s="1962"/>
      <c r="ESW6" s="1962"/>
      <c r="ESX6" s="1962"/>
      <c r="ESY6" s="1962"/>
      <c r="ESZ6" s="1962"/>
      <c r="ETA6" s="1962"/>
      <c r="ETB6" s="1962"/>
      <c r="ETC6" s="1962"/>
      <c r="ETD6" s="1962"/>
      <c r="ETE6" s="1962"/>
      <c r="ETF6" s="1962"/>
      <c r="ETG6" s="1962"/>
      <c r="ETH6" s="1962"/>
      <c r="ETI6" s="1962"/>
      <c r="ETJ6" s="1962"/>
      <c r="ETK6" s="1962"/>
      <c r="ETL6" s="1962"/>
      <c r="ETM6" s="1962"/>
      <c r="ETN6" s="1962"/>
      <c r="ETO6" s="1962"/>
      <c r="ETP6" s="1962"/>
      <c r="ETQ6" s="1962"/>
      <c r="ETR6" s="1962"/>
      <c r="ETS6" s="1962"/>
      <c r="ETT6" s="1962"/>
      <c r="ETU6" s="1962"/>
      <c r="ETV6" s="1962"/>
      <c r="ETW6" s="1962"/>
      <c r="ETX6" s="1962"/>
      <c r="ETY6" s="1962"/>
      <c r="ETZ6" s="1962"/>
      <c r="EUA6" s="1962"/>
      <c r="EUB6" s="1962"/>
      <c r="EUC6" s="1962"/>
      <c r="EUD6" s="1962"/>
      <c r="EUE6" s="1962"/>
      <c r="EUF6" s="1962"/>
      <c r="EUG6" s="1962"/>
      <c r="EUH6" s="1962"/>
      <c r="EUI6" s="1962"/>
      <c r="EUJ6" s="1962"/>
      <c r="EUK6" s="1962"/>
      <c r="EUL6" s="1962"/>
      <c r="EUM6" s="1962"/>
      <c r="EUN6" s="1962"/>
      <c r="EUO6" s="1962"/>
      <c r="EUP6" s="1962"/>
      <c r="EUQ6" s="1962"/>
      <c r="EUR6" s="1962"/>
      <c r="EUS6" s="1962"/>
      <c r="EUT6" s="1962"/>
      <c r="EUU6" s="1962"/>
      <c r="EUV6" s="1962"/>
      <c r="EUW6" s="1962"/>
      <c r="EUX6" s="1962"/>
      <c r="EUY6" s="1962"/>
      <c r="EUZ6" s="1962"/>
      <c r="EVA6" s="1962"/>
      <c r="EVB6" s="1962"/>
      <c r="EVC6" s="1962"/>
      <c r="EVD6" s="1962"/>
      <c r="EVE6" s="1962"/>
      <c r="EVF6" s="1962"/>
      <c r="EVG6" s="1962"/>
      <c r="EVH6" s="1962"/>
      <c r="EVI6" s="1962"/>
      <c r="EVJ6" s="1962"/>
      <c r="EVK6" s="1962"/>
      <c r="EVL6" s="1962"/>
      <c r="EVM6" s="1962"/>
      <c r="EVN6" s="1962"/>
      <c r="EVO6" s="1962"/>
      <c r="EVP6" s="1962"/>
      <c r="EVQ6" s="1962"/>
      <c r="EVR6" s="1962"/>
      <c r="EVS6" s="1962"/>
      <c r="EVT6" s="1962"/>
      <c r="EVU6" s="1962"/>
      <c r="EVV6" s="1962"/>
      <c r="EVW6" s="1962"/>
      <c r="EVX6" s="1962"/>
      <c r="EVY6" s="1962"/>
      <c r="EVZ6" s="1962"/>
      <c r="EWA6" s="1962"/>
      <c r="EWB6" s="1962"/>
      <c r="EWC6" s="1962"/>
      <c r="EWD6" s="1962"/>
      <c r="EWE6" s="1962"/>
      <c r="EWF6" s="1962"/>
      <c r="EWG6" s="1962"/>
      <c r="EWH6" s="1962"/>
      <c r="EWI6" s="1962"/>
      <c r="EWJ6" s="1962"/>
      <c r="EWK6" s="1962"/>
      <c r="EWL6" s="1962"/>
      <c r="EWM6" s="1962"/>
      <c r="EWN6" s="1962"/>
      <c r="EWO6" s="1962"/>
      <c r="EWP6" s="1962"/>
      <c r="EWQ6" s="1962"/>
      <c r="EWR6" s="1962"/>
      <c r="EWS6" s="1962"/>
      <c r="EWT6" s="1962"/>
      <c r="EWU6" s="1962"/>
      <c r="EWV6" s="1962"/>
      <c r="EWW6" s="1962"/>
      <c r="EWX6" s="1962"/>
      <c r="EWY6" s="1962"/>
      <c r="EWZ6" s="1962"/>
      <c r="EXA6" s="1962"/>
      <c r="EXB6" s="1962"/>
      <c r="EXC6" s="1962"/>
      <c r="EXD6" s="1962"/>
      <c r="EXE6" s="1962"/>
      <c r="EXF6" s="1962"/>
      <c r="EXG6" s="1962"/>
      <c r="EXH6" s="1962"/>
      <c r="EXI6" s="1962"/>
      <c r="EXJ6" s="1962"/>
      <c r="EXK6" s="1962"/>
      <c r="EXL6" s="1962"/>
      <c r="EXM6" s="1962"/>
      <c r="EXN6" s="1962"/>
      <c r="EXO6" s="1962"/>
      <c r="EXP6" s="1962"/>
      <c r="EXQ6" s="1962"/>
      <c r="EXR6" s="1962"/>
      <c r="EXS6" s="1962"/>
      <c r="EXT6" s="1962"/>
      <c r="EXU6" s="1962"/>
      <c r="EXV6" s="1962"/>
      <c r="EXW6" s="1962"/>
      <c r="EXX6" s="1962"/>
      <c r="EXY6" s="1962"/>
      <c r="EXZ6" s="1962"/>
      <c r="EYA6" s="1962"/>
      <c r="EYB6" s="1962"/>
      <c r="EYC6" s="1962"/>
      <c r="EYD6" s="1962"/>
      <c r="EYE6" s="1962"/>
      <c r="EYF6" s="1962"/>
      <c r="EYG6" s="1962"/>
      <c r="EYH6" s="1962"/>
      <c r="EYI6" s="1962"/>
      <c r="EYJ6" s="1962"/>
      <c r="EYK6" s="1962"/>
      <c r="EYL6" s="1962"/>
      <c r="EYM6" s="1962"/>
      <c r="EYN6" s="1962"/>
      <c r="EYO6" s="1962"/>
      <c r="EYP6" s="1962"/>
      <c r="EYQ6" s="1962"/>
      <c r="EYR6" s="1962"/>
      <c r="EYS6" s="1962"/>
      <c r="EYT6" s="1962"/>
      <c r="EYU6" s="1962"/>
      <c r="EYV6" s="1962"/>
      <c r="EYW6" s="1962"/>
      <c r="EYX6" s="1962"/>
      <c r="EYY6" s="1962"/>
      <c r="EYZ6" s="1962"/>
      <c r="EZA6" s="1962"/>
      <c r="EZB6" s="1962"/>
      <c r="EZC6" s="1962"/>
      <c r="EZD6" s="1962"/>
      <c r="EZE6" s="1962"/>
      <c r="EZF6" s="1962"/>
      <c r="EZG6" s="1962"/>
      <c r="EZH6" s="1962"/>
      <c r="EZI6" s="1962"/>
      <c r="EZJ6" s="1962"/>
      <c r="EZK6" s="1962"/>
      <c r="EZL6" s="1962"/>
      <c r="EZM6" s="1962"/>
      <c r="EZN6" s="1962"/>
      <c r="EZO6" s="1962"/>
      <c r="EZP6" s="1962"/>
      <c r="EZQ6" s="1962"/>
      <c r="EZR6" s="1962"/>
      <c r="EZS6" s="1962"/>
      <c r="EZT6" s="1962"/>
      <c r="EZU6" s="1962"/>
      <c r="EZV6" s="1962"/>
      <c r="EZW6" s="1962"/>
      <c r="EZX6" s="1962"/>
      <c r="EZY6" s="1962"/>
      <c r="EZZ6" s="1962"/>
      <c r="FAA6" s="1962"/>
      <c r="FAB6" s="1962"/>
      <c r="FAC6" s="1962"/>
      <c r="FAD6" s="1962"/>
      <c r="FAE6" s="1962"/>
      <c r="FAF6" s="1962"/>
      <c r="FAG6" s="1962"/>
      <c r="FAH6" s="1962"/>
      <c r="FAI6" s="1962"/>
      <c r="FAJ6" s="1962"/>
      <c r="FAK6" s="1962"/>
      <c r="FAL6" s="1962"/>
      <c r="FAM6" s="1962"/>
      <c r="FAN6" s="1962"/>
      <c r="FAO6" s="1962"/>
      <c r="FAP6" s="1962"/>
      <c r="FAQ6" s="1962"/>
      <c r="FAR6" s="1962"/>
      <c r="FAS6" s="1962"/>
      <c r="FAT6" s="1962"/>
      <c r="FAU6" s="1962"/>
      <c r="FAV6" s="1962"/>
      <c r="FAW6" s="1962"/>
      <c r="FAX6" s="1962"/>
      <c r="FAY6" s="1962"/>
      <c r="FAZ6" s="1962"/>
      <c r="FBA6" s="1962"/>
      <c r="FBB6" s="1962"/>
      <c r="FBC6" s="1962"/>
      <c r="FBD6" s="1962"/>
      <c r="FBE6" s="1962"/>
      <c r="FBF6" s="1962"/>
      <c r="FBG6" s="1962"/>
      <c r="FBH6" s="1962"/>
      <c r="FBI6" s="1962"/>
      <c r="FBJ6" s="1962"/>
      <c r="FBK6" s="1962"/>
      <c r="FBL6" s="1962"/>
      <c r="FBM6" s="1962"/>
      <c r="FBN6" s="1962"/>
      <c r="FBO6" s="1962"/>
      <c r="FBP6" s="1962"/>
      <c r="FBQ6" s="1962"/>
      <c r="FBR6" s="1962"/>
      <c r="FBS6" s="1962"/>
      <c r="FBT6" s="1962"/>
      <c r="FBU6" s="1962"/>
      <c r="FBV6" s="1962"/>
      <c r="FBW6" s="1962"/>
      <c r="FBX6" s="1962"/>
      <c r="FBY6" s="1962"/>
      <c r="FBZ6" s="1962"/>
      <c r="FCA6" s="1962"/>
      <c r="FCB6" s="1962"/>
      <c r="FCC6" s="1962"/>
      <c r="FCD6" s="1962"/>
      <c r="FCE6" s="1962"/>
      <c r="FCF6" s="1962"/>
      <c r="FCG6" s="1962"/>
      <c r="FCH6" s="1962"/>
      <c r="FCI6" s="1962"/>
      <c r="FCJ6" s="1962"/>
      <c r="FCK6" s="1962"/>
      <c r="FCL6" s="1962"/>
      <c r="FCM6" s="1962"/>
      <c r="FCN6" s="1962"/>
      <c r="FCO6" s="1962"/>
      <c r="FCP6" s="1962"/>
      <c r="FCQ6" s="1962"/>
      <c r="FCR6" s="1962"/>
      <c r="FCS6" s="1962"/>
      <c r="FCT6" s="1962"/>
      <c r="FCU6" s="1962"/>
      <c r="FCV6" s="1962"/>
      <c r="FCW6" s="1962"/>
      <c r="FCX6" s="1962"/>
      <c r="FCY6" s="1962"/>
      <c r="FCZ6" s="1962"/>
      <c r="FDA6" s="1962"/>
      <c r="FDB6" s="1962"/>
      <c r="FDC6" s="1962"/>
      <c r="FDD6" s="1962"/>
      <c r="FDE6" s="1962"/>
      <c r="FDF6" s="1962"/>
      <c r="FDG6" s="1962"/>
      <c r="FDH6" s="1962"/>
      <c r="FDI6" s="1962"/>
      <c r="FDJ6" s="1962"/>
      <c r="FDK6" s="1962"/>
      <c r="FDL6" s="1962"/>
      <c r="FDM6" s="1962"/>
      <c r="FDN6" s="1962"/>
      <c r="FDO6" s="1962"/>
      <c r="FDP6" s="1962"/>
      <c r="FDQ6" s="1962"/>
      <c r="FDR6" s="1962"/>
      <c r="FDS6" s="1962"/>
      <c r="FDT6" s="1962"/>
      <c r="FDU6" s="1962"/>
      <c r="FDV6" s="1962"/>
      <c r="FDW6" s="1962"/>
      <c r="FDX6" s="1962"/>
      <c r="FDY6" s="1962"/>
      <c r="FDZ6" s="1962"/>
      <c r="FEA6" s="1962"/>
      <c r="FEB6" s="1962"/>
      <c r="FEC6" s="1962"/>
      <c r="FED6" s="1962"/>
      <c r="FEE6" s="1962"/>
      <c r="FEF6" s="1962"/>
      <c r="FEG6" s="1962"/>
      <c r="FEH6" s="1962"/>
      <c r="FEI6" s="1962"/>
      <c r="FEJ6" s="1962"/>
      <c r="FEK6" s="1962"/>
      <c r="FEL6" s="1962"/>
      <c r="FEM6" s="1962"/>
      <c r="FEN6" s="1962"/>
      <c r="FEO6" s="1962"/>
      <c r="FEP6" s="1962"/>
      <c r="FEQ6" s="1962"/>
      <c r="FER6" s="1962"/>
      <c r="FES6" s="1962"/>
      <c r="FET6" s="1962"/>
      <c r="FEU6" s="1962"/>
      <c r="FEV6" s="1962"/>
      <c r="FEW6" s="1962"/>
      <c r="FEX6" s="1962"/>
      <c r="FEY6" s="1962"/>
      <c r="FEZ6" s="1962"/>
      <c r="FFA6" s="1962"/>
      <c r="FFB6" s="1962"/>
      <c r="FFC6" s="1962"/>
      <c r="FFD6" s="1962"/>
      <c r="FFE6" s="1962"/>
      <c r="FFF6" s="1962"/>
      <c r="FFG6" s="1962"/>
      <c r="FFH6" s="1962"/>
      <c r="FFI6" s="1962"/>
      <c r="FFJ6" s="1962"/>
      <c r="FFK6" s="1962"/>
      <c r="FFL6" s="1962"/>
      <c r="FFM6" s="1962"/>
      <c r="FFN6" s="1962"/>
      <c r="FFO6" s="1962"/>
      <c r="FFP6" s="1962"/>
      <c r="FFQ6" s="1962"/>
      <c r="FFR6" s="1962"/>
      <c r="FFS6" s="1962"/>
      <c r="FFT6" s="1962"/>
      <c r="FFU6" s="1962"/>
      <c r="FFV6" s="1962"/>
      <c r="FFW6" s="1962"/>
      <c r="FFX6" s="1962"/>
      <c r="FFY6" s="1962"/>
      <c r="FFZ6" s="1962"/>
      <c r="FGA6" s="1962"/>
      <c r="FGB6" s="1962"/>
      <c r="FGC6" s="1962"/>
      <c r="FGD6" s="1962"/>
      <c r="FGE6" s="1962"/>
      <c r="FGF6" s="1962"/>
      <c r="FGG6" s="1962"/>
      <c r="FGH6" s="1962"/>
      <c r="FGI6" s="1962"/>
      <c r="FGJ6" s="1962"/>
      <c r="FGK6" s="1962"/>
      <c r="FGL6" s="1962"/>
      <c r="FGM6" s="1962"/>
      <c r="FGN6" s="1962"/>
      <c r="FGO6" s="1962"/>
      <c r="FGP6" s="1962"/>
      <c r="FGQ6" s="1962"/>
      <c r="FGR6" s="1962"/>
      <c r="FGS6" s="1962"/>
      <c r="FGT6" s="1962"/>
      <c r="FGU6" s="1962"/>
      <c r="FGV6" s="1962"/>
      <c r="FGW6" s="1962"/>
      <c r="FGX6" s="1962"/>
      <c r="FGY6" s="1962"/>
      <c r="FGZ6" s="1962"/>
      <c r="FHA6" s="1962"/>
      <c r="FHB6" s="1962"/>
      <c r="FHC6" s="1962"/>
      <c r="FHD6" s="1962"/>
      <c r="FHE6" s="1962"/>
      <c r="FHF6" s="1962"/>
      <c r="FHG6" s="1962"/>
      <c r="FHH6" s="1962"/>
      <c r="FHI6" s="1962"/>
      <c r="FHJ6" s="1962"/>
      <c r="FHK6" s="1962"/>
      <c r="FHL6" s="1962"/>
      <c r="FHM6" s="1962"/>
      <c r="FHN6" s="1962"/>
      <c r="FHO6" s="1962"/>
      <c r="FHP6" s="1962"/>
      <c r="FHQ6" s="1962"/>
      <c r="FHR6" s="1962"/>
      <c r="FHS6" s="1962"/>
      <c r="FHT6" s="1962"/>
      <c r="FHU6" s="1962"/>
      <c r="FHV6" s="1962"/>
      <c r="FHW6" s="1962"/>
      <c r="FHX6" s="1962"/>
      <c r="FHY6" s="1962"/>
      <c r="FHZ6" s="1962"/>
      <c r="FIA6" s="1962"/>
      <c r="FIB6" s="1962"/>
      <c r="FIC6" s="1962"/>
      <c r="FID6" s="1962"/>
      <c r="FIE6" s="1962"/>
      <c r="FIF6" s="1962"/>
      <c r="FIG6" s="1962"/>
      <c r="FIH6" s="1962"/>
      <c r="FII6" s="1962"/>
      <c r="FIJ6" s="1962"/>
      <c r="FIK6" s="1962"/>
      <c r="FIL6" s="1962"/>
      <c r="FIM6" s="1962"/>
      <c r="FIN6" s="1962"/>
      <c r="FIO6" s="1962"/>
      <c r="FIP6" s="1962"/>
      <c r="FIQ6" s="1962"/>
      <c r="FIR6" s="1962"/>
      <c r="FIS6" s="1962"/>
      <c r="FIT6" s="1962"/>
      <c r="FIU6" s="1962"/>
      <c r="FIV6" s="1962"/>
      <c r="FIW6" s="1962"/>
      <c r="FIX6" s="1962"/>
      <c r="FIY6" s="1962"/>
      <c r="FIZ6" s="1962"/>
      <c r="FJA6" s="1962"/>
      <c r="FJB6" s="1962"/>
      <c r="FJC6" s="1962"/>
      <c r="FJD6" s="1962"/>
      <c r="FJE6" s="1962"/>
      <c r="FJF6" s="1962"/>
      <c r="FJG6" s="1962"/>
      <c r="FJH6" s="1962"/>
      <c r="FJI6" s="1962"/>
      <c r="FJJ6" s="1962"/>
      <c r="FJK6" s="1962"/>
      <c r="FJL6" s="1962"/>
      <c r="FJM6" s="1962"/>
      <c r="FJN6" s="1962"/>
      <c r="FJO6" s="1962"/>
      <c r="FJP6" s="1962"/>
      <c r="FJQ6" s="1962"/>
      <c r="FJR6" s="1962"/>
      <c r="FJS6" s="1962"/>
      <c r="FJT6" s="1962"/>
      <c r="FJU6" s="1962"/>
      <c r="FJV6" s="1962"/>
      <c r="FJW6" s="1962"/>
      <c r="FJX6" s="1962"/>
      <c r="FJY6" s="1962"/>
      <c r="FJZ6" s="1962"/>
      <c r="FKA6" s="1962"/>
      <c r="FKB6" s="1962"/>
      <c r="FKC6" s="1962"/>
      <c r="FKD6" s="1962"/>
      <c r="FKE6" s="1962"/>
      <c r="FKF6" s="1962"/>
      <c r="FKG6" s="1962"/>
      <c r="FKH6" s="1962"/>
      <c r="FKI6" s="1962"/>
      <c r="FKJ6" s="1962"/>
      <c r="FKK6" s="1962"/>
      <c r="FKL6" s="1962"/>
      <c r="FKM6" s="1962"/>
      <c r="FKN6" s="1962"/>
      <c r="FKO6" s="1962"/>
      <c r="FKP6" s="1962"/>
      <c r="FKQ6" s="1962"/>
      <c r="FKR6" s="1962"/>
      <c r="FKS6" s="1962"/>
      <c r="FKT6" s="1962"/>
      <c r="FKU6" s="1962"/>
      <c r="FKV6" s="1962"/>
      <c r="FKW6" s="1962"/>
      <c r="FKX6" s="1962"/>
      <c r="FKY6" s="1962"/>
      <c r="FKZ6" s="1962"/>
      <c r="FLA6" s="1962"/>
      <c r="FLB6" s="1962"/>
      <c r="FLC6" s="1962"/>
      <c r="FLD6" s="1962"/>
      <c r="FLE6" s="1962"/>
      <c r="FLF6" s="1962"/>
      <c r="FLG6" s="1962"/>
      <c r="FLH6" s="1962"/>
      <c r="FLI6" s="1962"/>
      <c r="FLJ6" s="1962"/>
      <c r="FLK6" s="1962"/>
      <c r="FLL6" s="1962"/>
      <c r="FLM6" s="1962"/>
      <c r="FLN6" s="1962"/>
      <c r="FLO6" s="1962"/>
      <c r="FLP6" s="1962"/>
      <c r="FLQ6" s="1962"/>
      <c r="FLR6" s="1962"/>
      <c r="FLS6" s="1962"/>
      <c r="FLT6" s="1962"/>
      <c r="FLU6" s="1962"/>
      <c r="FLV6" s="1962"/>
      <c r="FLW6" s="1962"/>
      <c r="FLX6" s="1962"/>
      <c r="FLY6" s="1962"/>
      <c r="FLZ6" s="1962"/>
      <c r="FMA6" s="1962"/>
      <c r="FMB6" s="1962"/>
      <c r="FMC6" s="1962"/>
      <c r="FMD6" s="1962"/>
      <c r="FME6" s="1962"/>
      <c r="FMF6" s="1962"/>
      <c r="FMG6" s="1962"/>
      <c r="FMH6" s="1962"/>
      <c r="FMI6" s="1962"/>
      <c r="FMJ6" s="1962"/>
      <c r="FMK6" s="1962"/>
      <c r="FML6" s="1962"/>
      <c r="FMM6" s="1962"/>
      <c r="FMN6" s="1962"/>
      <c r="FMO6" s="1962"/>
      <c r="FMP6" s="1962"/>
      <c r="FMQ6" s="1962"/>
      <c r="FMR6" s="1962"/>
      <c r="FMS6" s="1962"/>
      <c r="FMT6" s="1962"/>
      <c r="FMU6" s="1962"/>
      <c r="FMV6" s="1962"/>
      <c r="FMW6" s="1962"/>
      <c r="FMX6" s="1962"/>
      <c r="FMY6" s="1962"/>
      <c r="FMZ6" s="1962"/>
      <c r="FNA6" s="1962"/>
      <c r="FNB6" s="1962"/>
      <c r="FNC6" s="1962"/>
      <c r="FND6" s="1962"/>
      <c r="FNE6" s="1962"/>
      <c r="FNF6" s="1962"/>
      <c r="FNG6" s="1962"/>
      <c r="FNH6" s="1962"/>
      <c r="FNI6" s="1962"/>
      <c r="FNJ6" s="1962"/>
      <c r="FNK6" s="1962"/>
      <c r="FNL6" s="1962"/>
      <c r="FNM6" s="1962"/>
      <c r="FNN6" s="1962"/>
      <c r="FNO6" s="1962"/>
      <c r="FNP6" s="1962"/>
      <c r="FNQ6" s="1962"/>
      <c r="FNR6" s="1962"/>
      <c r="FNS6" s="1962"/>
      <c r="FNT6" s="1962"/>
      <c r="FNU6" s="1962"/>
      <c r="FNV6" s="1962"/>
      <c r="FNW6" s="1962"/>
      <c r="FNX6" s="1962"/>
      <c r="FNY6" s="1962"/>
      <c r="FNZ6" s="1962"/>
      <c r="FOA6" s="1962"/>
      <c r="FOB6" s="1962"/>
      <c r="FOC6" s="1962"/>
      <c r="FOD6" s="1962"/>
      <c r="FOE6" s="1962"/>
      <c r="FOF6" s="1962"/>
      <c r="FOG6" s="1962"/>
      <c r="FOH6" s="1962"/>
      <c r="FOI6" s="1962"/>
      <c r="FOJ6" s="1962"/>
      <c r="FOK6" s="1962"/>
      <c r="FOL6" s="1962"/>
      <c r="FOM6" s="1962"/>
      <c r="FON6" s="1962"/>
      <c r="FOO6" s="1962"/>
      <c r="FOP6" s="1962"/>
      <c r="FOQ6" s="1962"/>
      <c r="FOR6" s="1962"/>
      <c r="FOS6" s="1962"/>
      <c r="FOT6" s="1962"/>
      <c r="FOU6" s="1962"/>
      <c r="FOV6" s="1962"/>
      <c r="FOW6" s="1962"/>
      <c r="FOX6" s="1962"/>
      <c r="FOY6" s="1962"/>
      <c r="FOZ6" s="1962"/>
      <c r="FPA6" s="1962"/>
      <c r="FPB6" s="1962"/>
      <c r="FPC6" s="1962"/>
      <c r="FPD6" s="1962"/>
      <c r="FPE6" s="1962"/>
      <c r="FPF6" s="1962"/>
      <c r="FPG6" s="1962"/>
      <c r="FPH6" s="1962"/>
      <c r="FPI6" s="1962"/>
      <c r="FPJ6" s="1962"/>
      <c r="FPK6" s="1962"/>
      <c r="FPL6" s="1962"/>
      <c r="FPM6" s="1962"/>
      <c r="FPN6" s="1962"/>
      <c r="FPO6" s="1962"/>
      <c r="FPP6" s="1962"/>
      <c r="FPQ6" s="1962"/>
      <c r="FPR6" s="1962"/>
      <c r="FPS6" s="1962"/>
      <c r="FPT6" s="1962"/>
      <c r="FPU6" s="1962"/>
      <c r="FPV6" s="1962"/>
      <c r="FPW6" s="1962"/>
      <c r="FPX6" s="1962"/>
      <c r="FPY6" s="1962"/>
      <c r="FPZ6" s="1962"/>
      <c r="FQA6" s="1962"/>
      <c r="FQB6" s="1962"/>
      <c r="FQC6" s="1962"/>
      <c r="FQD6" s="1962"/>
      <c r="FQE6" s="1962"/>
      <c r="FQF6" s="1962"/>
      <c r="FQG6" s="1962"/>
      <c r="FQH6" s="1962"/>
      <c r="FQI6" s="1962"/>
      <c r="FQJ6" s="1962"/>
      <c r="FQK6" s="1962"/>
      <c r="FQL6" s="1962"/>
      <c r="FQM6" s="1962"/>
      <c r="FQN6" s="1962"/>
      <c r="FQO6" s="1962"/>
      <c r="FQP6" s="1962"/>
      <c r="FQQ6" s="1962"/>
      <c r="FQR6" s="1962"/>
      <c r="FQS6" s="1962"/>
      <c r="FQT6" s="1962"/>
      <c r="FQU6" s="1962"/>
      <c r="FQV6" s="1962"/>
      <c r="FQW6" s="1962"/>
      <c r="FQX6" s="1962"/>
      <c r="FQY6" s="1962"/>
      <c r="FQZ6" s="1962"/>
      <c r="FRA6" s="1962"/>
      <c r="FRB6" s="1962"/>
      <c r="FRC6" s="1962"/>
      <c r="FRD6" s="1962"/>
      <c r="FRE6" s="1962"/>
      <c r="FRF6" s="1962"/>
      <c r="FRG6" s="1962"/>
      <c r="FRH6" s="1962"/>
      <c r="FRI6" s="1962"/>
      <c r="FRJ6" s="1962"/>
      <c r="FRK6" s="1962"/>
      <c r="FRL6" s="1962"/>
      <c r="FRM6" s="1962"/>
      <c r="FRN6" s="1962"/>
      <c r="FRO6" s="1962"/>
      <c r="FRP6" s="1962"/>
      <c r="FRQ6" s="1962"/>
      <c r="FRR6" s="1962"/>
      <c r="FRS6" s="1962"/>
      <c r="FRT6" s="1962"/>
      <c r="FRU6" s="1962"/>
      <c r="FRV6" s="1962"/>
      <c r="FRW6" s="1962"/>
      <c r="FRX6" s="1962"/>
      <c r="FRY6" s="1962"/>
      <c r="FRZ6" s="1962"/>
      <c r="FSA6" s="1962"/>
      <c r="FSB6" s="1962"/>
      <c r="FSC6" s="1962"/>
      <c r="FSD6" s="1962"/>
      <c r="FSE6" s="1962"/>
      <c r="FSF6" s="1962"/>
      <c r="FSG6" s="1962"/>
      <c r="FSH6" s="1962"/>
      <c r="FSI6" s="1962"/>
      <c r="FSJ6" s="1962"/>
      <c r="FSK6" s="1962"/>
      <c r="FSL6" s="1962"/>
      <c r="FSM6" s="1962"/>
      <c r="FSN6" s="1962"/>
      <c r="FSO6" s="1962"/>
      <c r="FSP6" s="1962"/>
      <c r="FSQ6" s="1962"/>
      <c r="FSR6" s="1962"/>
      <c r="FSS6" s="1962"/>
      <c r="FST6" s="1962"/>
      <c r="FSU6" s="1962"/>
      <c r="FSV6" s="1962"/>
      <c r="FSW6" s="1962"/>
      <c r="FSX6" s="1962"/>
      <c r="FSY6" s="1962"/>
      <c r="FSZ6" s="1962"/>
      <c r="FTA6" s="1962"/>
      <c r="FTB6" s="1962"/>
      <c r="FTC6" s="1962"/>
      <c r="FTD6" s="1962"/>
      <c r="FTE6" s="1962"/>
      <c r="FTF6" s="1962"/>
      <c r="FTG6" s="1962"/>
      <c r="FTH6" s="1962"/>
      <c r="FTI6" s="1962"/>
      <c r="FTJ6" s="1962"/>
      <c r="FTK6" s="1962"/>
      <c r="FTL6" s="1962"/>
      <c r="FTM6" s="1962"/>
      <c r="FTN6" s="1962"/>
      <c r="FTO6" s="1962"/>
      <c r="FTP6" s="1962"/>
      <c r="FTQ6" s="1962"/>
      <c r="FTR6" s="1962"/>
      <c r="FTS6" s="1962"/>
      <c r="FTT6" s="1962"/>
      <c r="FTU6" s="1962"/>
      <c r="FTV6" s="1962"/>
      <c r="FTW6" s="1962"/>
      <c r="FTX6" s="1962"/>
      <c r="FTY6" s="1962"/>
      <c r="FTZ6" s="1962"/>
      <c r="FUA6" s="1962"/>
      <c r="FUB6" s="1962"/>
      <c r="FUC6" s="1962"/>
      <c r="FUD6" s="1962"/>
      <c r="FUE6" s="1962"/>
      <c r="FUF6" s="1962"/>
      <c r="FUG6" s="1962"/>
      <c r="FUH6" s="1962"/>
      <c r="FUI6" s="1962"/>
      <c r="FUJ6" s="1962"/>
      <c r="FUK6" s="1962"/>
      <c r="FUL6" s="1962"/>
      <c r="FUM6" s="1962"/>
      <c r="FUN6" s="1962"/>
      <c r="FUO6" s="1962"/>
      <c r="FUP6" s="1962"/>
      <c r="FUQ6" s="1962"/>
      <c r="FUR6" s="1962"/>
      <c r="FUS6" s="1962"/>
      <c r="FUT6" s="1962"/>
      <c r="FUU6" s="1962"/>
      <c r="FUV6" s="1962"/>
      <c r="FUW6" s="1962"/>
      <c r="FUX6" s="1962"/>
      <c r="FUY6" s="1962"/>
      <c r="FUZ6" s="1962"/>
      <c r="FVA6" s="1962"/>
      <c r="FVB6" s="1962"/>
      <c r="FVC6" s="1962"/>
      <c r="FVD6" s="1962"/>
      <c r="FVE6" s="1962"/>
      <c r="FVF6" s="1962"/>
      <c r="FVG6" s="1962"/>
      <c r="FVH6" s="1962"/>
      <c r="FVI6" s="1962"/>
      <c r="FVJ6" s="1962"/>
      <c r="FVK6" s="1962"/>
      <c r="FVL6" s="1962"/>
      <c r="FVM6" s="1962"/>
      <c r="FVN6" s="1962"/>
      <c r="FVO6" s="1962"/>
      <c r="FVP6" s="1962"/>
      <c r="FVQ6" s="1962"/>
      <c r="FVR6" s="1962"/>
      <c r="FVS6" s="1962"/>
      <c r="FVT6" s="1962"/>
      <c r="FVU6" s="1962"/>
      <c r="FVV6" s="1962"/>
      <c r="FVW6" s="1962"/>
      <c r="FVX6" s="1962"/>
      <c r="FVY6" s="1962"/>
      <c r="FVZ6" s="1962"/>
      <c r="FWA6" s="1962"/>
      <c r="FWB6" s="1962"/>
      <c r="FWC6" s="1962"/>
      <c r="FWD6" s="1962"/>
      <c r="FWE6" s="1962"/>
      <c r="FWF6" s="1962"/>
      <c r="FWG6" s="1962"/>
      <c r="FWH6" s="1962"/>
      <c r="FWI6" s="1962"/>
      <c r="FWJ6" s="1962"/>
      <c r="FWK6" s="1962"/>
      <c r="FWL6" s="1962"/>
      <c r="FWM6" s="1962"/>
      <c r="FWN6" s="1962"/>
      <c r="FWO6" s="1962"/>
      <c r="FWP6" s="1962"/>
      <c r="FWQ6" s="1962"/>
      <c r="FWR6" s="1962"/>
      <c r="FWS6" s="1962"/>
      <c r="FWT6" s="1962"/>
      <c r="FWU6" s="1962"/>
      <c r="FWV6" s="1962"/>
      <c r="FWW6" s="1962"/>
      <c r="FWX6" s="1962"/>
      <c r="FWY6" s="1962"/>
      <c r="FWZ6" s="1962"/>
      <c r="FXA6" s="1962"/>
      <c r="FXB6" s="1962"/>
      <c r="FXC6" s="1962"/>
      <c r="FXD6" s="1962"/>
      <c r="FXE6" s="1962"/>
      <c r="FXF6" s="1962"/>
      <c r="FXG6" s="1962"/>
      <c r="FXH6" s="1962"/>
      <c r="FXI6" s="1962"/>
      <c r="FXJ6" s="1962"/>
      <c r="FXK6" s="1962"/>
      <c r="FXL6" s="1962"/>
      <c r="FXM6" s="1962"/>
      <c r="FXN6" s="1962"/>
      <c r="FXO6" s="1962"/>
      <c r="FXP6" s="1962"/>
      <c r="FXQ6" s="1962"/>
      <c r="FXR6" s="1962"/>
      <c r="FXS6" s="1962"/>
      <c r="FXT6" s="1962"/>
      <c r="FXU6" s="1962"/>
      <c r="FXV6" s="1962"/>
      <c r="FXW6" s="1962"/>
      <c r="FXX6" s="1962"/>
      <c r="FXY6" s="1962"/>
      <c r="FXZ6" s="1962"/>
      <c r="FYA6" s="1962"/>
      <c r="FYB6" s="1962"/>
      <c r="FYC6" s="1962"/>
      <c r="FYD6" s="1962"/>
      <c r="FYE6" s="1962"/>
      <c r="FYF6" s="1962"/>
      <c r="FYG6" s="1962"/>
      <c r="FYH6" s="1962"/>
      <c r="FYI6" s="1962"/>
      <c r="FYJ6" s="1962"/>
      <c r="FYK6" s="1962"/>
      <c r="FYL6" s="1962"/>
      <c r="FYM6" s="1962"/>
      <c r="FYN6" s="1962"/>
      <c r="FYO6" s="1962"/>
      <c r="FYP6" s="1962"/>
      <c r="FYQ6" s="1962"/>
      <c r="FYR6" s="1962"/>
      <c r="FYS6" s="1962"/>
      <c r="FYT6" s="1962"/>
      <c r="FYU6" s="1962"/>
      <c r="FYV6" s="1962"/>
      <c r="FYW6" s="1962"/>
      <c r="FYX6" s="1962"/>
      <c r="FYY6" s="1962"/>
      <c r="FYZ6" s="1962"/>
      <c r="FZA6" s="1962"/>
      <c r="FZB6" s="1962"/>
      <c r="FZC6" s="1962"/>
      <c r="FZD6" s="1962"/>
      <c r="FZE6" s="1962"/>
      <c r="FZF6" s="1962"/>
      <c r="FZG6" s="1962"/>
      <c r="FZH6" s="1962"/>
      <c r="FZI6" s="1962"/>
      <c r="FZJ6" s="1962"/>
      <c r="FZK6" s="1962"/>
      <c r="FZL6" s="1962"/>
      <c r="FZM6" s="1962"/>
      <c r="FZN6" s="1962"/>
      <c r="FZO6" s="1962"/>
      <c r="FZP6" s="1962"/>
      <c r="FZQ6" s="1962"/>
      <c r="FZR6" s="1962"/>
      <c r="FZS6" s="1962"/>
      <c r="FZT6" s="1962"/>
      <c r="FZU6" s="1962"/>
      <c r="FZV6" s="1962"/>
      <c r="FZW6" s="1962"/>
      <c r="FZX6" s="1962"/>
      <c r="FZY6" s="1962"/>
      <c r="FZZ6" s="1962"/>
      <c r="GAA6" s="1962"/>
      <c r="GAB6" s="1962"/>
      <c r="GAC6" s="1962"/>
      <c r="GAD6" s="1962"/>
      <c r="GAE6" s="1962"/>
      <c r="GAF6" s="1962"/>
      <c r="GAG6" s="1962"/>
      <c r="GAH6" s="1962"/>
      <c r="GAI6" s="1962"/>
      <c r="GAJ6" s="1962"/>
      <c r="GAK6" s="1962"/>
      <c r="GAL6" s="1962"/>
      <c r="GAM6" s="1962"/>
      <c r="GAN6" s="1962"/>
      <c r="GAO6" s="1962"/>
      <c r="GAP6" s="1962"/>
      <c r="GAQ6" s="1962"/>
      <c r="GAR6" s="1962"/>
      <c r="GAS6" s="1962"/>
      <c r="GAT6" s="1962"/>
      <c r="GAU6" s="1962"/>
      <c r="GAV6" s="1962"/>
      <c r="GAW6" s="1962"/>
      <c r="GAX6" s="1962"/>
      <c r="GAY6" s="1962"/>
      <c r="GAZ6" s="1962"/>
      <c r="GBA6" s="1962"/>
      <c r="GBB6" s="1962"/>
      <c r="GBC6" s="1962"/>
      <c r="GBD6" s="1962"/>
      <c r="GBE6" s="1962"/>
      <c r="GBF6" s="1962"/>
      <c r="GBG6" s="1962"/>
      <c r="GBH6" s="1962"/>
      <c r="GBI6" s="1962"/>
      <c r="GBJ6" s="1962"/>
      <c r="GBK6" s="1962"/>
      <c r="GBL6" s="1962"/>
      <c r="GBM6" s="1962"/>
      <c r="GBN6" s="1962"/>
      <c r="GBO6" s="1962"/>
      <c r="GBP6" s="1962"/>
      <c r="GBQ6" s="1962"/>
      <c r="GBR6" s="1962"/>
      <c r="GBS6" s="1962"/>
      <c r="GBT6" s="1962"/>
      <c r="GBU6" s="1962"/>
      <c r="GBV6" s="1962"/>
      <c r="GBW6" s="1962"/>
      <c r="GBX6" s="1962"/>
      <c r="GBY6" s="1962"/>
      <c r="GBZ6" s="1962"/>
      <c r="GCA6" s="1962"/>
      <c r="GCB6" s="1962"/>
      <c r="GCC6" s="1962"/>
      <c r="GCD6" s="1962"/>
      <c r="GCE6" s="1962"/>
      <c r="GCF6" s="1962"/>
      <c r="GCG6" s="1962"/>
      <c r="GCH6" s="1962"/>
      <c r="GCI6" s="1962"/>
      <c r="GCJ6" s="1962"/>
      <c r="GCK6" s="1962"/>
      <c r="GCL6" s="1962"/>
      <c r="GCM6" s="1962"/>
      <c r="GCN6" s="1962"/>
      <c r="GCO6" s="1962"/>
      <c r="GCP6" s="1962"/>
      <c r="GCQ6" s="1962"/>
      <c r="GCR6" s="1962"/>
      <c r="GCS6" s="1962"/>
      <c r="GCT6" s="1962"/>
      <c r="GCU6" s="1962"/>
      <c r="GCV6" s="1962"/>
      <c r="GCW6" s="1962"/>
      <c r="GCX6" s="1962"/>
      <c r="GCY6" s="1962"/>
      <c r="GCZ6" s="1962"/>
      <c r="GDA6" s="1962"/>
      <c r="GDB6" s="1962"/>
      <c r="GDC6" s="1962"/>
      <c r="GDD6" s="1962"/>
      <c r="GDE6" s="1962"/>
      <c r="GDF6" s="1962"/>
      <c r="GDG6" s="1962"/>
      <c r="GDH6" s="1962"/>
      <c r="GDI6" s="1962"/>
      <c r="GDJ6" s="1962"/>
      <c r="GDK6" s="1962"/>
      <c r="GDL6" s="1962"/>
      <c r="GDM6" s="1962"/>
      <c r="GDN6" s="1962"/>
      <c r="GDO6" s="1962"/>
      <c r="GDP6" s="1962"/>
      <c r="GDQ6" s="1962"/>
      <c r="GDR6" s="1962"/>
      <c r="GDS6" s="1962"/>
      <c r="GDT6" s="1962"/>
      <c r="GDU6" s="1962"/>
      <c r="GDV6" s="1962"/>
      <c r="GDW6" s="1962"/>
      <c r="GDX6" s="1962"/>
      <c r="GDY6" s="1962"/>
      <c r="GDZ6" s="1962"/>
      <c r="GEA6" s="1962"/>
      <c r="GEB6" s="1962"/>
      <c r="GEC6" s="1962"/>
      <c r="GED6" s="1962"/>
      <c r="GEE6" s="1962"/>
      <c r="GEF6" s="1962"/>
      <c r="GEG6" s="1962"/>
      <c r="GEH6" s="1962"/>
      <c r="GEI6" s="1962"/>
      <c r="GEJ6" s="1962"/>
      <c r="GEK6" s="1962"/>
      <c r="GEL6" s="1962"/>
      <c r="GEM6" s="1962"/>
      <c r="GEN6" s="1962"/>
      <c r="GEO6" s="1962"/>
      <c r="GEP6" s="1962"/>
      <c r="GEQ6" s="1962"/>
      <c r="GER6" s="1962"/>
      <c r="GES6" s="1962"/>
      <c r="GET6" s="1962"/>
      <c r="GEU6" s="1962"/>
      <c r="GEV6" s="1962"/>
      <c r="GEW6" s="1962"/>
      <c r="GEX6" s="1962"/>
      <c r="GEY6" s="1962"/>
      <c r="GEZ6" s="1962"/>
      <c r="GFA6" s="1962"/>
      <c r="GFB6" s="1962"/>
      <c r="GFC6" s="1962"/>
      <c r="GFD6" s="1962"/>
      <c r="GFE6" s="1962"/>
      <c r="GFF6" s="1962"/>
      <c r="GFG6" s="1962"/>
      <c r="GFH6" s="1962"/>
      <c r="GFI6" s="1962"/>
      <c r="GFJ6" s="1962"/>
      <c r="GFK6" s="1962"/>
      <c r="GFL6" s="1962"/>
      <c r="GFM6" s="1962"/>
      <c r="GFN6" s="1962"/>
      <c r="GFO6" s="1962"/>
      <c r="GFP6" s="1962"/>
      <c r="GFQ6" s="1962"/>
      <c r="GFR6" s="1962"/>
      <c r="GFS6" s="1962"/>
      <c r="GFT6" s="1962"/>
      <c r="GFU6" s="1962"/>
      <c r="GFV6" s="1962"/>
      <c r="GFW6" s="1962"/>
      <c r="GFX6" s="1962"/>
      <c r="GFY6" s="1962"/>
      <c r="GFZ6" s="1962"/>
      <c r="GGA6" s="1962"/>
      <c r="GGB6" s="1962"/>
      <c r="GGC6" s="1962"/>
      <c r="GGD6" s="1962"/>
      <c r="GGE6" s="1962"/>
      <c r="GGF6" s="1962"/>
      <c r="GGG6" s="1962"/>
      <c r="GGH6" s="1962"/>
      <c r="GGI6" s="1962"/>
      <c r="GGJ6" s="1962"/>
      <c r="GGK6" s="1962"/>
      <c r="GGL6" s="1962"/>
      <c r="GGM6" s="1962"/>
      <c r="GGN6" s="1962"/>
      <c r="GGO6" s="1962"/>
      <c r="GGP6" s="1962"/>
      <c r="GGQ6" s="1962"/>
      <c r="GGR6" s="1962"/>
      <c r="GGS6" s="1962"/>
      <c r="GGT6" s="1962"/>
      <c r="GGU6" s="1962"/>
      <c r="GGV6" s="1962"/>
      <c r="GGW6" s="1962"/>
      <c r="GGX6" s="1962"/>
      <c r="GGY6" s="1962"/>
      <c r="GGZ6" s="1962"/>
      <c r="GHA6" s="1962"/>
      <c r="GHB6" s="1962"/>
      <c r="GHC6" s="1962"/>
      <c r="GHD6" s="1962"/>
      <c r="GHE6" s="1962"/>
      <c r="GHF6" s="1962"/>
      <c r="GHG6" s="1962"/>
      <c r="GHH6" s="1962"/>
      <c r="GHI6" s="1962"/>
      <c r="GHJ6" s="1962"/>
      <c r="GHK6" s="1962"/>
      <c r="GHL6" s="1962"/>
      <c r="GHM6" s="1962"/>
      <c r="GHN6" s="1962"/>
      <c r="GHO6" s="1962"/>
      <c r="GHP6" s="1962"/>
      <c r="GHQ6" s="1962"/>
      <c r="GHR6" s="1962"/>
      <c r="GHS6" s="1962"/>
      <c r="GHT6" s="1962"/>
      <c r="GHU6" s="1962"/>
      <c r="GHV6" s="1962"/>
      <c r="GHW6" s="1962"/>
      <c r="GHX6" s="1962"/>
      <c r="GHY6" s="1962"/>
      <c r="GHZ6" s="1962"/>
      <c r="GIA6" s="1962"/>
      <c r="GIB6" s="1962"/>
      <c r="GIC6" s="1962"/>
      <c r="GID6" s="1962"/>
      <c r="GIE6" s="1962"/>
      <c r="GIF6" s="1962"/>
      <c r="GIG6" s="1962"/>
      <c r="GIH6" s="1962"/>
      <c r="GII6" s="1962"/>
      <c r="GIJ6" s="1962"/>
      <c r="GIK6" s="1962"/>
      <c r="GIL6" s="1962"/>
      <c r="GIM6" s="1962"/>
      <c r="GIN6" s="1962"/>
      <c r="GIO6" s="1962"/>
      <c r="GIP6" s="1962"/>
      <c r="GIQ6" s="1962"/>
      <c r="GIR6" s="1962"/>
      <c r="GIS6" s="1962"/>
      <c r="GIT6" s="1962"/>
      <c r="GIU6" s="1962"/>
      <c r="GIV6" s="1962"/>
      <c r="GIW6" s="1962"/>
      <c r="GIX6" s="1962"/>
      <c r="GIY6" s="1962"/>
      <c r="GIZ6" s="1962"/>
      <c r="GJA6" s="1962"/>
      <c r="GJB6" s="1962"/>
      <c r="GJC6" s="1962"/>
      <c r="GJD6" s="1962"/>
      <c r="GJE6" s="1962"/>
      <c r="GJF6" s="1962"/>
      <c r="GJG6" s="1962"/>
      <c r="GJH6" s="1962"/>
      <c r="GJI6" s="1962"/>
      <c r="GJJ6" s="1962"/>
      <c r="GJK6" s="1962"/>
      <c r="GJL6" s="1962"/>
      <c r="GJM6" s="1962"/>
      <c r="GJN6" s="1962"/>
      <c r="GJO6" s="1962"/>
      <c r="GJP6" s="1962"/>
      <c r="GJQ6" s="1962"/>
      <c r="GJR6" s="1962"/>
      <c r="GJS6" s="1962"/>
      <c r="GJT6" s="1962"/>
      <c r="GJU6" s="1962"/>
      <c r="GJV6" s="1962"/>
      <c r="GJW6" s="1962"/>
      <c r="GJX6" s="1962"/>
      <c r="GJY6" s="1962"/>
      <c r="GJZ6" s="1962"/>
      <c r="GKA6" s="1962"/>
      <c r="GKB6" s="1962"/>
      <c r="GKC6" s="1962"/>
      <c r="GKD6" s="1962"/>
      <c r="GKE6" s="1962"/>
      <c r="GKF6" s="1962"/>
      <c r="GKG6" s="1962"/>
      <c r="GKH6" s="1962"/>
      <c r="GKI6" s="1962"/>
      <c r="GKJ6" s="1962"/>
      <c r="GKK6" s="1962"/>
      <c r="GKL6" s="1962"/>
      <c r="GKM6" s="1962"/>
      <c r="GKN6" s="1962"/>
      <c r="GKO6" s="1962"/>
      <c r="GKP6" s="1962"/>
      <c r="GKQ6" s="1962"/>
      <c r="GKR6" s="1962"/>
      <c r="GKS6" s="1962"/>
      <c r="GKT6" s="1962"/>
      <c r="GKU6" s="1962"/>
      <c r="GKV6" s="1962"/>
      <c r="GKW6" s="1962"/>
      <c r="GKX6" s="1962"/>
      <c r="GKY6" s="1962"/>
      <c r="GKZ6" s="1962"/>
      <c r="GLA6" s="1962"/>
      <c r="GLB6" s="1962"/>
      <c r="GLC6" s="1962"/>
      <c r="GLD6" s="1962"/>
      <c r="GLE6" s="1962"/>
      <c r="GLF6" s="1962"/>
      <c r="GLG6" s="1962"/>
      <c r="GLH6" s="1962"/>
      <c r="GLI6" s="1962"/>
      <c r="GLJ6" s="1962"/>
      <c r="GLK6" s="1962"/>
      <c r="GLL6" s="1962"/>
      <c r="GLM6" s="1962"/>
      <c r="GLN6" s="1962"/>
      <c r="GLO6" s="1962"/>
      <c r="GLP6" s="1962"/>
      <c r="GLQ6" s="1962"/>
      <c r="GLR6" s="1962"/>
      <c r="GLS6" s="1962"/>
      <c r="GLT6" s="1962"/>
      <c r="GLU6" s="1962"/>
      <c r="GLV6" s="1962"/>
      <c r="GLW6" s="1962"/>
      <c r="GLX6" s="1962"/>
      <c r="GLY6" s="1962"/>
      <c r="GLZ6" s="1962"/>
      <c r="GMA6" s="1962"/>
      <c r="GMB6" s="1962"/>
      <c r="GMC6" s="1962"/>
      <c r="GMD6" s="1962"/>
      <c r="GME6" s="1962"/>
      <c r="GMF6" s="1962"/>
      <c r="GMG6" s="1962"/>
      <c r="GMH6" s="1962"/>
      <c r="GMI6" s="1962"/>
      <c r="GMJ6" s="1962"/>
      <c r="GMK6" s="1962"/>
      <c r="GML6" s="1962"/>
      <c r="GMM6" s="1962"/>
      <c r="GMN6" s="1962"/>
      <c r="GMO6" s="1962"/>
      <c r="GMP6" s="1962"/>
      <c r="GMQ6" s="1962"/>
      <c r="GMR6" s="1962"/>
      <c r="GMS6" s="1962"/>
      <c r="GMT6" s="1962"/>
      <c r="GMU6" s="1962"/>
      <c r="GMV6" s="1962"/>
      <c r="GMW6" s="1962"/>
      <c r="GMX6" s="1962"/>
      <c r="GMY6" s="1962"/>
      <c r="GMZ6" s="1962"/>
      <c r="GNA6" s="1962"/>
      <c r="GNB6" s="1962"/>
      <c r="GNC6" s="1962"/>
      <c r="GND6" s="1962"/>
      <c r="GNE6" s="1962"/>
      <c r="GNF6" s="1962"/>
      <c r="GNG6" s="1962"/>
      <c r="GNH6" s="1962"/>
      <c r="GNI6" s="1962"/>
      <c r="GNJ6" s="1962"/>
      <c r="GNK6" s="1962"/>
      <c r="GNL6" s="1962"/>
      <c r="GNM6" s="1962"/>
      <c r="GNN6" s="1962"/>
      <c r="GNO6" s="1962"/>
      <c r="GNP6" s="1962"/>
      <c r="GNQ6" s="1962"/>
      <c r="GNR6" s="1962"/>
      <c r="GNS6" s="1962"/>
      <c r="GNT6" s="1962"/>
      <c r="GNU6" s="1962"/>
      <c r="GNV6" s="1962"/>
      <c r="GNW6" s="1962"/>
      <c r="GNX6" s="1962"/>
      <c r="GNY6" s="1962"/>
      <c r="GNZ6" s="1962"/>
      <c r="GOA6" s="1962"/>
      <c r="GOB6" s="1962"/>
      <c r="GOC6" s="1962"/>
      <c r="GOD6" s="1962"/>
      <c r="GOE6" s="1962"/>
      <c r="GOF6" s="1962"/>
      <c r="GOG6" s="1962"/>
      <c r="GOH6" s="1962"/>
      <c r="GOI6" s="1962"/>
      <c r="GOJ6" s="1962"/>
      <c r="GOK6" s="1962"/>
      <c r="GOL6" s="1962"/>
      <c r="GOM6" s="1962"/>
      <c r="GON6" s="1962"/>
      <c r="GOO6" s="1962"/>
      <c r="GOP6" s="1962"/>
      <c r="GOQ6" s="1962"/>
      <c r="GOR6" s="1962"/>
      <c r="GOS6" s="1962"/>
      <c r="GOT6" s="1962"/>
      <c r="GOU6" s="1962"/>
      <c r="GOV6" s="1962"/>
      <c r="GOW6" s="1962"/>
      <c r="GOX6" s="1962"/>
      <c r="GOY6" s="1962"/>
      <c r="GOZ6" s="1962"/>
      <c r="GPA6" s="1962"/>
      <c r="GPB6" s="1962"/>
      <c r="GPC6" s="1962"/>
      <c r="GPD6" s="1962"/>
      <c r="GPE6" s="1962"/>
      <c r="GPF6" s="1962"/>
      <c r="GPG6" s="1962"/>
      <c r="GPH6" s="1962"/>
      <c r="GPI6" s="1962"/>
      <c r="GPJ6" s="1962"/>
      <c r="GPK6" s="1962"/>
      <c r="GPL6" s="1962"/>
      <c r="GPM6" s="1962"/>
      <c r="GPN6" s="1962"/>
      <c r="GPO6" s="1962"/>
      <c r="GPP6" s="1962"/>
      <c r="GPQ6" s="1962"/>
      <c r="GPR6" s="1962"/>
      <c r="GPS6" s="1962"/>
      <c r="GPT6" s="1962"/>
      <c r="GPU6" s="1962"/>
      <c r="GPV6" s="1962"/>
      <c r="GPW6" s="1962"/>
      <c r="GPX6" s="1962"/>
      <c r="GPY6" s="1962"/>
      <c r="GPZ6" s="1962"/>
      <c r="GQA6" s="1962"/>
      <c r="GQB6" s="1962"/>
      <c r="GQC6" s="1962"/>
      <c r="GQD6" s="1962"/>
      <c r="GQE6" s="1962"/>
      <c r="GQF6" s="1962"/>
      <c r="GQG6" s="1962"/>
      <c r="GQH6" s="1962"/>
      <c r="GQI6" s="1962"/>
      <c r="GQJ6" s="1962"/>
      <c r="GQK6" s="1962"/>
      <c r="GQL6" s="1962"/>
      <c r="GQM6" s="1962"/>
      <c r="GQN6" s="1962"/>
      <c r="GQO6" s="1962"/>
      <c r="GQP6" s="1962"/>
      <c r="GQQ6" s="1962"/>
      <c r="GQR6" s="1962"/>
      <c r="GQS6" s="1962"/>
      <c r="GQT6" s="1962"/>
      <c r="GQU6" s="1962"/>
      <c r="GQV6" s="1962"/>
      <c r="GQW6" s="1962"/>
      <c r="GQX6" s="1962"/>
      <c r="GQY6" s="1962"/>
      <c r="GQZ6" s="1962"/>
      <c r="GRA6" s="1962"/>
      <c r="GRB6" s="1962"/>
      <c r="GRC6" s="1962"/>
      <c r="GRD6" s="1962"/>
      <c r="GRE6" s="1962"/>
      <c r="GRF6" s="1962"/>
      <c r="GRG6" s="1962"/>
      <c r="GRH6" s="1962"/>
      <c r="GRI6" s="1962"/>
      <c r="GRJ6" s="1962"/>
      <c r="GRK6" s="1962"/>
      <c r="GRL6" s="1962"/>
      <c r="GRM6" s="1962"/>
      <c r="GRN6" s="1962"/>
      <c r="GRO6" s="1962"/>
      <c r="GRP6" s="1962"/>
      <c r="GRQ6" s="1962"/>
      <c r="GRR6" s="1962"/>
      <c r="GRS6" s="1962"/>
      <c r="GRT6" s="1962"/>
      <c r="GRU6" s="1962"/>
      <c r="GRV6" s="1962"/>
      <c r="GRW6" s="1962"/>
      <c r="GRX6" s="1962"/>
      <c r="GRY6" s="1962"/>
      <c r="GRZ6" s="1962"/>
      <c r="GSA6" s="1962"/>
      <c r="GSB6" s="1962"/>
      <c r="GSC6" s="1962"/>
      <c r="GSD6" s="1962"/>
      <c r="GSE6" s="1962"/>
      <c r="GSF6" s="1962"/>
      <c r="GSG6" s="1962"/>
      <c r="GSH6" s="1962"/>
      <c r="GSI6" s="1962"/>
      <c r="GSJ6" s="1962"/>
      <c r="GSK6" s="1962"/>
      <c r="GSL6" s="1962"/>
      <c r="GSM6" s="1962"/>
      <c r="GSN6" s="1962"/>
      <c r="GSO6" s="1962"/>
      <c r="GSP6" s="1962"/>
      <c r="GSQ6" s="1962"/>
      <c r="GSR6" s="1962"/>
      <c r="GSS6" s="1962"/>
      <c r="GST6" s="1962"/>
      <c r="GSU6" s="1962"/>
      <c r="GSV6" s="1962"/>
      <c r="GSW6" s="1962"/>
      <c r="GSX6" s="1962"/>
      <c r="GSY6" s="1962"/>
      <c r="GSZ6" s="1962"/>
      <c r="GTA6" s="1962"/>
      <c r="GTB6" s="1962"/>
      <c r="GTC6" s="1962"/>
      <c r="GTD6" s="1962"/>
      <c r="GTE6" s="1962"/>
      <c r="GTF6" s="1962"/>
      <c r="GTG6" s="1962"/>
      <c r="GTH6" s="1962"/>
      <c r="GTI6" s="1962"/>
      <c r="GTJ6" s="1962"/>
      <c r="GTK6" s="1962"/>
      <c r="GTL6" s="1962"/>
      <c r="GTM6" s="1962"/>
      <c r="GTN6" s="1962"/>
      <c r="GTO6" s="1962"/>
      <c r="GTP6" s="1962"/>
      <c r="GTQ6" s="1962"/>
      <c r="GTR6" s="1962"/>
      <c r="GTS6" s="1962"/>
      <c r="GTT6" s="1962"/>
      <c r="GTU6" s="1962"/>
      <c r="GTV6" s="1962"/>
      <c r="GTW6" s="1962"/>
      <c r="GTX6" s="1962"/>
      <c r="GTY6" s="1962"/>
      <c r="GTZ6" s="1962"/>
      <c r="GUA6" s="1962"/>
      <c r="GUB6" s="1962"/>
      <c r="GUC6" s="1962"/>
      <c r="GUD6" s="1962"/>
      <c r="GUE6" s="1962"/>
      <c r="GUF6" s="1962"/>
      <c r="GUG6" s="1962"/>
      <c r="GUH6" s="1962"/>
      <c r="GUI6" s="1962"/>
      <c r="GUJ6" s="1962"/>
      <c r="GUK6" s="1962"/>
      <c r="GUL6" s="1962"/>
      <c r="GUM6" s="1962"/>
      <c r="GUN6" s="1962"/>
      <c r="GUO6" s="1962"/>
      <c r="GUP6" s="1962"/>
      <c r="GUQ6" s="1962"/>
      <c r="GUR6" s="1962"/>
      <c r="GUS6" s="1962"/>
      <c r="GUT6" s="1962"/>
      <c r="GUU6" s="1962"/>
      <c r="GUV6" s="1962"/>
      <c r="GUW6" s="1962"/>
      <c r="GUX6" s="1962"/>
      <c r="GUY6" s="1962"/>
      <c r="GUZ6" s="1962"/>
      <c r="GVA6" s="1962"/>
      <c r="GVB6" s="1962"/>
      <c r="GVC6" s="1962"/>
      <c r="GVD6" s="1962"/>
      <c r="GVE6" s="1962"/>
      <c r="GVF6" s="1962"/>
      <c r="GVG6" s="1962"/>
      <c r="GVH6" s="1962"/>
      <c r="GVI6" s="1962"/>
      <c r="GVJ6" s="1962"/>
      <c r="GVK6" s="1962"/>
      <c r="GVL6" s="1962"/>
      <c r="GVM6" s="1962"/>
      <c r="GVN6" s="1962"/>
      <c r="GVO6" s="1962"/>
      <c r="GVP6" s="1962"/>
      <c r="GVQ6" s="1962"/>
      <c r="GVR6" s="1962"/>
      <c r="GVS6" s="1962"/>
      <c r="GVT6" s="1962"/>
      <c r="GVU6" s="1962"/>
      <c r="GVV6" s="1962"/>
      <c r="GVW6" s="1962"/>
      <c r="GVX6" s="1962"/>
      <c r="GVY6" s="1962"/>
      <c r="GVZ6" s="1962"/>
      <c r="GWA6" s="1962"/>
      <c r="GWB6" s="1962"/>
      <c r="GWC6" s="1962"/>
      <c r="GWD6" s="1962"/>
      <c r="GWE6" s="1962"/>
      <c r="GWF6" s="1962"/>
      <c r="GWG6" s="1962"/>
      <c r="GWH6" s="1962"/>
      <c r="GWI6" s="1962"/>
      <c r="GWJ6" s="1962"/>
      <c r="GWK6" s="1962"/>
      <c r="GWL6" s="1962"/>
      <c r="GWM6" s="1962"/>
      <c r="GWN6" s="1962"/>
      <c r="GWO6" s="1962"/>
      <c r="GWP6" s="1962"/>
      <c r="GWQ6" s="1962"/>
      <c r="GWR6" s="1962"/>
      <c r="GWS6" s="1962"/>
      <c r="GWT6" s="1962"/>
      <c r="GWU6" s="1962"/>
      <c r="GWV6" s="1962"/>
      <c r="GWW6" s="1962"/>
      <c r="GWX6" s="1962"/>
      <c r="GWY6" s="1962"/>
      <c r="GWZ6" s="1962"/>
      <c r="GXA6" s="1962"/>
      <c r="GXB6" s="1962"/>
      <c r="GXC6" s="1962"/>
      <c r="GXD6" s="1962"/>
      <c r="GXE6" s="1962"/>
      <c r="GXF6" s="1962"/>
      <c r="GXG6" s="1962"/>
      <c r="GXH6" s="1962"/>
      <c r="GXI6" s="1962"/>
      <c r="GXJ6" s="1962"/>
      <c r="GXK6" s="1962"/>
      <c r="GXL6" s="1962"/>
      <c r="GXM6" s="1962"/>
      <c r="GXN6" s="1962"/>
      <c r="GXO6" s="1962"/>
      <c r="GXP6" s="1962"/>
      <c r="GXQ6" s="1962"/>
      <c r="GXR6" s="1962"/>
      <c r="GXS6" s="1962"/>
      <c r="GXT6" s="1962"/>
      <c r="GXU6" s="1962"/>
      <c r="GXV6" s="1962"/>
      <c r="GXW6" s="1962"/>
      <c r="GXX6" s="1962"/>
      <c r="GXY6" s="1962"/>
      <c r="GXZ6" s="1962"/>
      <c r="GYA6" s="1962"/>
      <c r="GYB6" s="1962"/>
      <c r="GYC6" s="1962"/>
      <c r="GYD6" s="1962"/>
      <c r="GYE6" s="1962"/>
      <c r="GYF6" s="1962"/>
      <c r="GYG6" s="1962"/>
      <c r="GYH6" s="1962"/>
      <c r="GYI6" s="1962"/>
      <c r="GYJ6" s="1962"/>
      <c r="GYK6" s="1962"/>
      <c r="GYL6" s="1962"/>
      <c r="GYM6" s="1962"/>
      <c r="GYN6" s="1962"/>
      <c r="GYO6" s="1962"/>
      <c r="GYP6" s="1962"/>
      <c r="GYQ6" s="1962"/>
      <c r="GYR6" s="1962"/>
      <c r="GYS6" s="1962"/>
      <c r="GYT6" s="1962"/>
      <c r="GYU6" s="1962"/>
      <c r="GYV6" s="1962"/>
      <c r="GYW6" s="1962"/>
      <c r="GYX6" s="1962"/>
      <c r="GYY6" s="1962"/>
      <c r="GYZ6" s="1962"/>
      <c r="GZA6" s="1962"/>
      <c r="GZB6" s="1962"/>
      <c r="GZC6" s="1962"/>
      <c r="GZD6" s="1962"/>
      <c r="GZE6" s="1962"/>
      <c r="GZF6" s="1962"/>
      <c r="GZG6" s="1962"/>
      <c r="GZH6" s="1962"/>
      <c r="GZI6" s="1962"/>
      <c r="GZJ6" s="1962"/>
      <c r="GZK6" s="1962"/>
      <c r="GZL6" s="1962"/>
      <c r="GZM6" s="1962"/>
      <c r="GZN6" s="1962"/>
      <c r="GZO6" s="1962"/>
      <c r="GZP6" s="1962"/>
      <c r="GZQ6" s="1962"/>
      <c r="GZR6" s="1962"/>
      <c r="GZS6" s="1962"/>
      <c r="GZT6" s="1962"/>
      <c r="GZU6" s="1962"/>
      <c r="GZV6" s="1962"/>
      <c r="GZW6" s="1962"/>
      <c r="GZX6" s="1962"/>
      <c r="GZY6" s="1962"/>
      <c r="GZZ6" s="1962"/>
      <c r="HAA6" s="1962"/>
      <c r="HAB6" s="1962"/>
      <c r="HAC6" s="1962"/>
      <c r="HAD6" s="1962"/>
      <c r="HAE6" s="1962"/>
      <c r="HAF6" s="1962"/>
      <c r="HAG6" s="1962"/>
      <c r="HAH6" s="1962"/>
      <c r="HAI6" s="1962"/>
      <c r="HAJ6" s="1962"/>
      <c r="HAK6" s="1962"/>
      <c r="HAL6" s="1962"/>
      <c r="HAM6" s="1962"/>
      <c r="HAN6" s="1962"/>
      <c r="HAO6" s="1962"/>
      <c r="HAP6" s="1962"/>
      <c r="HAQ6" s="1962"/>
      <c r="HAR6" s="1962"/>
      <c r="HAS6" s="1962"/>
      <c r="HAT6" s="1962"/>
      <c r="HAU6" s="1962"/>
      <c r="HAV6" s="1962"/>
      <c r="HAW6" s="1962"/>
      <c r="HAX6" s="1962"/>
      <c r="HAY6" s="1962"/>
      <c r="HAZ6" s="1962"/>
      <c r="HBA6" s="1962"/>
      <c r="HBB6" s="1962"/>
      <c r="HBC6" s="1962"/>
      <c r="HBD6" s="1962"/>
      <c r="HBE6" s="1962"/>
      <c r="HBF6" s="1962"/>
      <c r="HBG6" s="1962"/>
      <c r="HBH6" s="1962"/>
      <c r="HBI6" s="1962"/>
      <c r="HBJ6" s="1962"/>
      <c r="HBK6" s="1962"/>
      <c r="HBL6" s="1962"/>
      <c r="HBM6" s="1962"/>
      <c r="HBN6" s="1962"/>
      <c r="HBO6" s="1962"/>
      <c r="HBP6" s="1962"/>
      <c r="HBQ6" s="1962"/>
      <c r="HBR6" s="1962"/>
      <c r="HBS6" s="1962"/>
      <c r="HBT6" s="1962"/>
      <c r="HBU6" s="1962"/>
      <c r="HBV6" s="1962"/>
      <c r="HBW6" s="1962"/>
      <c r="HBX6" s="1962"/>
      <c r="HBY6" s="1962"/>
      <c r="HBZ6" s="1962"/>
      <c r="HCA6" s="1962"/>
      <c r="HCB6" s="1962"/>
      <c r="HCC6" s="1962"/>
      <c r="HCD6" s="1962"/>
      <c r="HCE6" s="1962"/>
      <c r="HCF6" s="1962"/>
      <c r="HCG6" s="1962"/>
      <c r="HCH6" s="1962"/>
      <c r="HCI6" s="1962"/>
      <c r="HCJ6" s="1962"/>
      <c r="HCK6" s="1962"/>
      <c r="HCL6" s="1962"/>
      <c r="HCM6" s="1962"/>
      <c r="HCN6" s="1962"/>
      <c r="HCO6" s="1962"/>
      <c r="HCP6" s="1962"/>
      <c r="HCQ6" s="1962"/>
      <c r="HCR6" s="1962"/>
      <c r="HCS6" s="1962"/>
      <c r="HCT6" s="1962"/>
      <c r="HCU6" s="1962"/>
      <c r="HCV6" s="1962"/>
      <c r="HCW6" s="1962"/>
      <c r="HCX6" s="1962"/>
      <c r="HCY6" s="1962"/>
      <c r="HCZ6" s="1962"/>
      <c r="HDA6" s="1962"/>
      <c r="HDB6" s="1962"/>
      <c r="HDC6" s="1962"/>
      <c r="HDD6" s="1962"/>
      <c r="HDE6" s="1962"/>
      <c r="HDF6" s="1962"/>
      <c r="HDG6" s="1962"/>
      <c r="HDH6" s="1962"/>
      <c r="HDI6" s="1962"/>
      <c r="HDJ6" s="1962"/>
      <c r="HDK6" s="1962"/>
      <c r="HDL6" s="1962"/>
      <c r="HDM6" s="1962"/>
      <c r="HDN6" s="1962"/>
      <c r="HDO6" s="1962"/>
      <c r="HDP6" s="1962"/>
      <c r="HDQ6" s="1962"/>
      <c r="HDR6" s="1962"/>
      <c r="HDS6" s="1962"/>
      <c r="HDT6" s="1962"/>
      <c r="HDU6" s="1962"/>
      <c r="HDV6" s="1962"/>
      <c r="HDW6" s="1962"/>
      <c r="HDX6" s="1962"/>
      <c r="HDY6" s="1962"/>
      <c r="HDZ6" s="1962"/>
      <c r="HEA6" s="1962"/>
      <c r="HEB6" s="1962"/>
      <c r="HEC6" s="1962"/>
      <c r="HED6" s="1962"/>
      <c r="HEE6" s="1962"/>
      <c r="HEF6" s="1962"/>
      <c r="HEG6" s="1962"/>
      <c r="HEH6" s="1962"/>
      <c r="HEI6" s="1962"/>
      <c r="HEJ6" s="1962"/>
      <c r="HEK6" s="1962"/>
      <c r="HEL6" s="1962"/>
      <c r="HEM6" s="1962"/>
      <c r="HEN6" s="1962"/>
      <c r="HEO6" s="1962"/>
      <c r="HEP6" s="1962"/>
      <c r="HEQ6" s="1962"/>
      <c r="HER6" s="1962"/>
      <c r="HES6" s="1962"/>
      <c r="HET6" s="1962"/>
      <c r="HEU6" s="1962"/>
      <c r="HEV6" s="1962"/>
      <c r="HEW6" s="1962"/>
      <c r="HEX6" s="1962"/>
      <c r="HEY6" s="1962"/>
      <c r="HEZ6" s="1962"/>
      <c r="HFA6" s="1962"/>
      <c r="HFB6" s="1962"/>
      <c r="HFC6" s="1962"/>
      <c r="HFD6" s="1962"/>
      <c r="HFE6" s="1962"/>
      <c r="HFF6" s="1962"/>
      <c r="HFG6" s="1962"/>
      <c r="HFH6" s="1962"/>
      <c r="HFI6" s="1962"/>
      <c r="HFJ6" s="1962"/>
      <c r="HFK6" s="1962"/>
      <c r="HFL6" s="1962"/>
      <c r="HFM6" s="1962"/>
      <c r="HFN6" s="1962"/>
      <c r="HFO6" s="1962"/>
      <c r="HFP6" s="1962"/>
      <c r="HFQ6" s="1962"/>
      <c r="HFR6" s="1962"/>
      <c r="HFS6" s="1962"/>
      <c r="HFT6" s="1962"/>
      <c r="HFU6" s="1962"/>
      <c r="HFV6" s="1962"/>
      <c r="HFW6" s="1962"/>
      <c r="HFX6" s="1962"/>
      <c r="HFY6" s="1962"/>
      <c r="HFZ6" s="1962"/>
      <c r="HGA6" s="1962"/>
      <c r="HGB6" s="1962"/>
      <c r="HGC6" s="1962"/>
      <c r="HGD6" s="1962"/>
      <c r="HGE6" s="1962"/>
      <c r="HGF6" s="1962"/>
      <c r="HGG6" s="1962"/>
      <c r="HGH6" s="1962"/>
      <c r="HGI6" s="1962"/>
      <c r="HGJ6" s="1962"/>
      <c r="HGK6" s="1962"/>
      <c r="HGL6" s="1962"/>
      <c r="HGM6" s="1962"/>
      <c r="HGN6" s="1962"/>
      <c r="HGO6" s="1962"/>
      <c r="HGP6" s="1962"/>
      <c r="HGQ6" s="1962"/>
      <c r="HGR6" s="1962"/>
      <c r="HGS6" s="1962"/>
      <c r="HGT6" s="1962"/>
      <c r="HGU6" s="1962"/>
      <c r="HGV6" s="1962"/>
      <c r="HGW6" s="1962"/>
      <c r="HGX6" s="1962"/>
      <c r="HGY6" s="1962"/>
      <c r="HGZ6" s="1962"/>
      <c r="HHA6" s="1962"/>
      <c r="HHB6" s="1962"/>
      <c r="HHC6" s="1962"/>
      <c r="HHD6" s="1962"/>
      <c r="HHE6" s="1962"/>
      <c r="HHF6" s="1962"/>
      <c r="HHG6" s="1962"/>
      <c r="HHH6" s="1962"/>
      <c r="HHI6" s="1962"/>
      <c r="HHJ6" s="1962"/>
      <c r="HHK6" s="1962"/>
      <c r="HHL6" s="1962"/>
      <c r="HHM6" s="1962"/>
      <c r="HHN6" s="1962"/>
      <c r="HHO6" s="1962"/>
      <c r="HHP6" s="1962"/>
      <c r="HHQ6" s="1962"/>
      <c r="HHR6" s="1962"/>
      <c r="HHS6" s="1962"/>
      <c r="HHT6" s="1962"/>
      <c r="HHU6" s="1962"/>
      <c r="HHV6" s="1962"/>
      <c r="HHW6" s="1962"/>
      <c r="HHX6" s="1962"/>
      <c r="HHY6" s="1962"/>
      <c r="HHZ6" s="1962"/>
      <c r="HIA6" s="1962"/>
      <c r="HIB6" s="1962"/>
      <c r="HIC6" s="1962"/>
      <c r="HID6" s="1962"/>
      <c r="HIE6" s="1962"/>
      <c r="HIF6" s="1962"/>
      <c r="HIG6" s="1962"/>
      <c r="HIH6" s="1962"/>
      <c r="HII6" s="1962"/>
      <c r="HIJ6" s="1962"/>
      <c r="HIK6" s="1962"/>
      <c r="HIL6" s="1962"/>
      <c r="HIM6" s="1962"/>
      <c r="HIN6" s="1962"/>
      <c r="HIO6" s="1962"/>
      <c r="HIP6" s="1962"/>
      <c r="HIQ6" s="1962"/>
      <c r="HIR6" s="1962"/>
      <c r="HIS6" s="1962"/>
      <c r="HIT6" s="1962"/>
      <c r="HIU6" s="1962"/>
      <c r="HIV6" s="1962"/>
      <c r="HIW6" s="1962"/>
      <c r="HIX6" s="1962"/>
      <c r="HIY6" s="1962"/>
      <c r="HIZ6" s="1962"/>
      <c r="HJA6" s="1962"/>
      <c r="HJB6" s="1962"/>
      <c r="HJC6" s="1962"/>
      <c r="HJD6" s="1962"/>
      <c r="HJE6" s="1962"/>
      <c r="HJF6" s="1962"/>
      <c r="HJG6" s="1962"/>
      <c r="HJH6" s="1962"/>
      <c r="HJI6" s="1962"/>
      <c r="HJJ6" s="1962"/>
      <c r="HJK6" s="1962"/>
      <c r="HJL6" s="1962"/>
      <c r="HJM6" s="1962"/>
      <c r="HJN6" s="1962"/>
      <c r="HJO6" s="1962"/>
      <c r="HJP6" s="1962"/>
      <c r="HJQ6" s="1962"/>
      <c r="HJR6" s="1962"/>
      <c r="HJS6" s="1962"/>
      <c r="HJT6" s="1962"/>
      <c r="HJU6" s="1962"/>
      <c r="HJV6" s="1962"/>
      <c r="HJW6" s="1962"/>
      <c r="HJX6" s="1962"/>
      <c r="HJY6" s="1962"/>
      <c r="HJZ6" s="1962"/>
      <c r="HKA6" s="1962"/>
      <c r="HKB6" s="1962"/>
      <c r="HKC6" s="1962"/>
      <c r="HKD6" s="1962"/>
      <c r="HKE6" s="1962"/>
      <c r="HKF6" s="1962"/>
      <c r="HKG6" s="1962"/>
      <c r="HKH6" s="1962"/>
      <c r="HKI6" s="1962"/>
      <c r="HKJ6" s="1962"/>
      <c r="HKK6" s="1962"/>
      <c r="HKL6" s="1962"/>
      <c r="HKM6" s="1962"/>
      <c r="HKN6" s="1962"/>
      <c r="HKO6" s="1962"/>
      <c r="HKP6" s="1962"/>
      <c r="HKQ6" s="1962"/>
      <c r="HKR6" s="1962"/>
      <c r="HKS6" s="1962"/>
      <c r="HKT6" s="1962"/>
      <c r="HKU6" s="1962"/>
      <c r="HKV6" s="1962"/>
      <c r="HKW6" s="1962"/>
      <c r="HKX6" s="1962"/>
      <c r="HKY6" s="1962"/>
      <c r="HKZ6" s="1962"/>
      <c r="HLA6" s="1962"/>
      <c r="HLB6" s="1962"/>
      <c r="HLC6" s="1962"/>
      <c r="HLD6" s="1962"/>
      <c r="HLE6" s="1962"/>
      <c r="HLF6" s="1962"/>
      <c r="HLG6" s="1962"/>
      <c r="HLH6" s="1962"/>
      <c r="HLI6" s="1962"/>
      <c r="HLJ6" s="1962"/>
      <c r="HLK6" s="1962"/>
      <c r="HLL6" s="1962"/>
      <c r="HLM6" s="1962"/>
      <c r="HLN6" s="1962"/>
      <c r="HLO6" s="1962"/>
      <c r="HLP6" s="1962"/>
      <c r="HLQ6" s="1962"/>
      <c r="HLR6" s="1962"/>
      <c r="HLS6" s="1962"/>
      <c r="HLT6" s="1962"/>
      <c r="HLU6" s="1962"/>
      <c r="HLV6" s="1962"/>
      <c r="HLW6" s="1962"/>
      <c r="HLX6" s="1962"/>
      <c r="HLY6" s="1962"/>
      <c r="HLZ6" s="1962"/>
      <c r="HMA6" s="1962"/>
      <c r="HMB6" s="1962"/>
      <c r="HMC6" s="1962"/>
      <c r="HMD6" s="1962"/>
      <c r="HME6" s="1962"/>
      <c r="HMF6" s="1962"/>
      <c r="HMG6" s="1962"/>
      <c r="HMH6" s="1962"/>
      <c r="HMI6" s="1962"/>
      <c r="HMJ6" s="1962"/>
      <c r="HMK6" s="1962"/>
      <c r="HML6" s="1962"/>
      <c r="HMM6" s="1962"/>
      <c r="HMN6" s="1962"/>
      <c r="HMO6" s="1962"/>
      <c r="HMP6" s="1962"/>
      <c r="HMQ6" s="1962"/>
      <c r="HMR6" s="1962"/>
      <c r="HMS6" s="1962"/>
      <c r="HMT6" s="1962"/>
      <c r="HMU6" s="1962"/>
      <c r="HMV6" s="1962"/>
      <c r="HMW6" s="1962"/>
      <c r="HMX6" s="1962"/>
      <c r="HMY6" s="1962"/>
      <c r="HMZ6" s="1962"/>
      <c r="HNA6" s="1962"/>
      <c r="HNB6" s="1962"/>
      <c r="HNC6" s="1962"/>
      <c r="HND6" s="1962"/>
      <c r="HNE6" s="1962"/>
      <c r="HNF6" s="1962"/>
      <c r="HNG6" s="1962"/>
      <c r="HNH6" s="1962"/>
      <c r="HNI6" s="1962"/>
      <c r="HNJ6" s="1962"/>
      <c r="HNK6" s="1962"/>
      <c r="HNL6" s="1962"/>
      <c r="HNM6" s="1962"/>
      <c r="HNN6" s="1962"/>
      <c r="HNO6" s="1962"/>
      <c r="HNP6" s="1962"/>
      <c r="HNQ6" s="1962"/>
      <c r="HNR6" s="1962"/>
      <c r="HNS6" s="1962"/>
      <c r="HNT6" s="1962"/>
      <c r="HNU6" s="1962"/>
      <c r="HNV6" s="1962"/>
      <c r="HNW6" s="1962"/>
      <c r="HNX6" s="1962"/>
      <c r="HNY6" s="1962"/>
      <c r="HNZ6" s="1962"/>
      <c r="HOA6" s="1962"/>
      <c r="HOB6" s="1962"/>
      <c r="HOC6" s="1962"/>
      <c r="HOD6" s="1962"/>
      <c r="HOE6" s="1962"/>
      <c r="HOF6" s="1962"/>
      <c r="HOG6" s="1962"/>
      <c r="HOH6" s="1962"/>
      <c r="HOI6" s="1962"/>
      <c r="HOJ6" s="1962"/>
      <c r="HOK6" s="1962"/>
      <c r="HOL6" s="1962"/>
      <c r="HOM6" s="1962"/>
      <c r="HON6" s="1962"/>
      <c r="HOO6" s="1962"/>
      <c r="HOP6" s="1962"/>
      <c r="HOQ6" s="1962"/>
      <c r="HOR6" s="1962"/>
      <c r="HOS6" s="1962"/>
      <c r="HOT6" s="1962"/>
      <c r="HOU6" s="1962"/>
      <c r="HOV6" s="1962"/>
      <c r="HOW6" s="1962"/>
      <c r="HOX6" s="1962"/>
      <c r="HOY6" s="1962"/>
      <c r="HOZ6" s="1962"/>
      <c r="HPA6" s="1962"/>
      <c r="HPB6" s="1962"/>
      <c r="HPC6" s="1962"/>
      <c r="HPD6" s="1962"/>
      <c r="HPE6" s="1962"/>
      <c r="HPF6" s="1962"/>
      <c r="HPG6" s="1962"/>
      <c r="HPH6" s="1962"/>
      <c r="HPI6" s="1962"/>
      <c r="HPJ6" s="1962"/>
      <c r="HPK6" s="1962"/>
      <c r="HPL6" s="1962"/>
      <c r="HPM6" s="1962"/>
      <c r="HPN6" s="1962"/>
      <c r="HPO6" s="1962"/>
      <c r="HPP6" s="1962"/>
      <c r="HPQ6" s="1962"/>
      <c r="HPR6" s="1962"/>
      <c r="HPS6" s="1962"/>
      <c r="HPT6" s="1962"/>
      <c r="HPU6" s="1962"/>
      <c r="HPV6" s="1962"/>
      <c r="HPW6" s="1962"/>
      <c r="HPX6" s="1962"/>
      <c r="HPY6" s="1962"/>
      <c r="HPZ6" s="1962"/>
      <c r="HQA6" s="1962"/>
      <c r="HQB6" s="1962"/>
      <c r="HQC6" s="1962"/>
      <c r="HQD6" s="1962"/>
      <c r="HQE6" s="1962"/>
      <c r="HQF6" s="1962"/>
      <c r="HQG6" s="1962"/>
      <c r="HQH6" s="1962"/>
      <c r="HQI6" s="1962"/>
      <c r="HQJ6" s="1962"/>
      <c r="HQK6" s="1962"/>
      <c r="HQL6" s="1962"/>
      <c r="HQM6" s="1962"/>
      <c r="HQN6" s="1962"/>
      <c r="HQO6" s="1962"/>
      <c r="HQP6" s="1962"/>
      <c r="HQQ6" s="1962"/>
      <c r="HQR6" s="1962"/>
      <c r="HQS6" s="1962"/>
      <c r="HQT6" s="1962"/>
      <c r="HQU6" s="1962"/>
      <c r="HQV6" s="1962"/>
      <c r="HQW6" s="1962"/>
      <c r="HQX6" s="1962"/>
      <c r="HQY6" s="1962"/>
      <c r="HQZ6" s="1962"/>
      <c r="HRA6" s="1962"/>
      <c r="HRB6" s="1962"/>
      <c r="HRC6" s="1962"/>
      <c r="HRD6" s="1962"/>
      <c r="HRE6" s="1962"/>
      <c r="HRF6" s="1962"/>
      <c r="HRG6" s="1962"/>
      <c r="HRH6" s="1962"/>
      <c r="HRI6" s="1962"/>
      <c r="HRJ6" s="1962"/>
      <c r="HRK6" s="1962"/>
      <c r="HRL6" s="1962"/>
      <c r="HRM6" s="1962"/>
      <c r="HRN6" s="1962"/>
      <c r="HRO6" s="1962"/>
      <c r="HRP6" s="1962"/>
      <c r="HRQ6" s="1962"/>
      <c r="HRR6" s="1962"/>
      <c r="HRS6" s="1962"/>
      <c r="HRT6" s="1962"/>
      <c r="HRU6" s="1962"/>
      <c r="HRV6" s="1962"/>
      <c r="HRW6" s="1962"/>
      <c r="HRX6" s="1962"/>
      <c r="HRY6" s="1962"/>
      <c r="HRZ6" s="1962"/>
      <c r="HSA6" s="1962"/>
      <c r="HSB6" s="1962"/>
      <c r="HSC6" s="1962"/>
      <c r="HSD6" s="1962"/>
      <c r="HSE6" s="1962"/>
      <c r="HSF6" s="1962"/>
      <c r="HSG6" s="1962"/>
      <c r="HSH6" s="1962"/>
      <c r="HSI6" s="1962"/>
      <c r="HSJ6" s="1962"/>
      <c r="HSK6" s="1962"/>
      <c r="HSL6" s="1962"/>
      <c r="HSM6" s="1962"/>
      <c r="HSN6" s="1962"/>
      <c r="HSO6" s="1962"/>
      <c r="HSP6" s="1962"/>
      <c r="HSQ6" s="1962"/>
      <c r="HSR6" s="1962"/>
      <c r="HSS6" s="1962"/>
      <c r="HST6" s="1962"/>
      <c r="HSU6" s="1962"/>
      <c r="HSV6" s="1962"/>
      <c r="HSW6" s="1962"/>
      <c r="HSX6" s="1962"/>
      <c r="HSY6" s="1962"/>
      <c r="HSZ6" s="1962"/>
      <c r="HTA6" s="1962"/>
      <c r="HTB6" s="1962"/>
      <c r="HTC6" s="1962"/>
      <c r="HTD6" s="1962"/>
      <c r="HTE6" s="1962"/>
      <c r="HTF6" s="1962"/>
      <c r="HTG6" s="1962"/>
      <c r="HTH6" s="1962"/>
      <c r="HTI6" s="1962"/>
      <c r="HTJ6" s="1962"/>
      <c r="HTK6" s="1962"/>
      <c r="HTL6" s="1962"/>
      <c r="HTM6" s="1962"/>
      <c r="HTN6" s="1962"/>
      <c r="HTO6" s="1962"/>
      <c r="HTP6" s="1962"/>
      <c r="HTQ6" s="1962"/>
      <c r="HTR6" s="1962"/>
      <c r="HTS6" s="1962"/>
      <c r="HTT6" s="1962"/>
      <c r="HTU6" s="1962"/>
      <c r="HTV6" s="1962"/>
      <c r="HTW6" s="1962"/>
      <c r="HTX6" s="1962"/>
      <c r="HTY6" s="1962"/>
      <c r="HTZ6" s="1962"/>
      <c r="HUA6" s="1962"/>
      <c r="HUB6" s="1962"/>
      <c r="HUC6" s="1962"/>
      <c r="HUD6" s="1962"/>
      <c r="HUE6" s="1962"/>
      <c r="HUF6" s="1962"/>
      <c r="HUG6" s="1962"/>
      <c r="HUH6" s="1962"/>
      <c r="HUI6" s="1962"/>
      <c r="HUJ6" s="1962"/>
      <c r="HUK6" s="1962"/>
      <c r="HUL6" s="1962"/>
      <c r="HUM6" s="1962"/>
      <c r="HUN6" s="1962"/>
      <c r="HUO6" s="1962"/>
      <c r="HUP6" s="1962"/>
      <c r="HUQ6" s="1962"/>
      <c r="HUR6" s="1962"/>
      <c r="HUS6" s="1962"/>
      <c r="HUT6" s="1962"/>
      <c r="HUU6" s="1962"/>
      <c r="HUV6" s="1962"/>
      <c r="HUW6" s="1962"/>
      <c r="HUX6" s="1962"/>
      <c r="HUY6" s="1962"/>
      <c r="HUZ6" s="1962"/>
      <c r="HVA6" s="1962"/>
      <c r="HVB6" s="1962"/>
      <c r="HVC6" s="1962"/>
      <c r="HVD6" s="1962"/>
      <c r="HVE6" s="1962"/>
      <c r="HVF6" s="1962"/>
      <c r="HVG6" s="1962"/>
      <c r="HVH6" s="1962"/>
      <c r="HVI6" s="1962"/>
      <c r="HVJ6" s="1962"/>
      <c r="HVK6" s="1962"/>
      <c r="HVL6" s="1962"/>
      <c r="HVM6" s="1962"/>
      <c r="HVN6" s="1962"/>
      <c r="HVO6" s="1962"/>
      <c r="HVP6" s="1962"/>
      <c r="HVQ6" s="1962"/>
      <c r="HVR6" s="1962"/>
      <c r="HVS6" s="1962"/>
      <c r="HVT6" s="1962"/>
      <c r="HVU6" s="1962"/>
      <c r="HVV6" s="1962"/>
      <c r="HVW6" s="1962"/>
      <c r="HVX6" s="1962"/>
      <c r="HVY6" s="1962"/>
      <c r="HVZ6" s="1962"/>
      <c r="HWA6" s="1962"/>
      <c r="HWB6" s="1962"/>
      <c r="HWC6" s="1962"/>
      <c r="HWD6" s="1962"/>
      <c r="HWE6" s="1962"/>
      <c r="HWF6" s="1962"/>
      <c r="HWG6" s="1962"/>
      <c r="HWH6" s="1962"/>
      <c r="HWI6" s="1962"/>
      <c r="HWJ6" s="1962"/>
      <c r="HWK6" s="1962"/>
      <c r="HWL6" s="1962"/>
      <c r="HWM6" s="1962"/>
      <c r="HWN6" s="1962"/>
      <c r="HWO6" s="1962"/>
      <c r="HWP6" s="1962"/>
      <c r="HWQ6" s="1962"/>
      <c r="HWR6" s="1962"/>
      <c r="HWS6" s="1962"/>
      <c r="HWT6" s="1962"/>
      <c r="HWU6" s="1962"/>
      <c r="HWV6" s="1962"/>
      <c r="HWW6" s="1962"/>
      <c r="HWX6" s="1962"/>
      <c r="HWY6" s="1962"/>
      <c r="HWZ6" s="1962"/>
      <c r="HXA6" s="1962"/>
      <c r="HXB6" s="1962"/>
      <c r="HXC6" s="1962"/>
      <c r="HXD6" s="1962"/>
      <c r="HXE6" s="1962"/>
      <c r="HXF6" s="1962"/>
      <c r="HXG6" s="1962"/>
      <c r="HXH6" s="1962"/>
      <c r="HXI6" s="1962"/>
      <c r="HXJ6" s="1962"/>
      <c r="HXK6" s="1962"/>
      <c r="HXL6" s="1962"/>
      <c r="HXM6" s="1962"/>
      <c r="HXN6" s="1962"/>
      <c r="HXO6" s="1962"/>
      <c r="HXP6" s="1962"/>
      <c r="HXQ6" s="1962"/>
      <c r="HXR6" s="1962"/>
      <c r="HXS6" s="1962"/>
      <c r="HXT6" s="1962"/>
      <c r="HXU6" s="1962"/>
      <c r="HXV6" s="1962"/>
      <c r="HXW6" s="1962"/>
      <c r="HXX6" s="1962"/>
      <c r="HXY6" s="1962"/>
      <c r="HXZ6" s="1962"/>
      <c r="HYA6" s="1962"/>
      <c r="HYB6" s="1962"/>
      <c r="HYC6" s="1962"/>
      <c r="HYD6" s="1962"/>
      <c r="HYE6" s="1962"/>
      <c r="HYF6" s="1962"/>
      <c r="HYG6" s="1962"/>
      <c r="HYH6" s="1962"/>
      <c r="HYI6" s="1962"/>
      <c r="HYJ6" s="1962"/>
      <c r="HYK6" s="1962"/>
      <c r="HYL6" s="1962"/>
      <c r="HYM6" s="1962"/>
      <c r="HYN6" s="1962"/>
      <c r="HYO6" s="1962"/>
      <c r="HYP6" s="1962"/>
      <c r="HYQ6" s="1962"/>
      <c r="HYR6" s="1962"/>
      <c r="HYS6" s="1962"/>
      <c r="HYT6" s="1962"/>
      <c r="HYU6" s="1962"/>
      <c r="HYV6" s="1962"/>
      <c r="HYW6" s="1962"/>
      <c r="HYX6" s="1962"/>
      <c r="HYY6" s="1962"/>
      <c r="HYZ6" s="1962"/>
      <c r="HZA6" s="1962"/>
      <c r="HZB6" s="1962"/>
      <c r="HZC6" s="1962"/>
      <c r="HZD6" s="1962"/>
      <c r="HZE6" s="1962"/>
      <c r="HZF6" s="1962"/>
      <c r="HZG6" s="1962"/>
      <c r="HZH6" s="1962"/>
      <c r="HZI6" s="1962"/>
      <c r="HZJ6" s="1962"/>
      <c r="HZK6" s="1962"/>
      <c r="HZL6" s="1962"/>
      <c r="HZM6" s="1962"/>
      <c r="HZN6" s="1962"/>
      <c r="HZO6" s="1962"/>
      <c r="HZP6" s="1962"/>
      <c r="HZQ6" s="1962"/>
      <c r="HZR6" s="1962"/>
      <c r="HZS6" s="1962"/>
      <c r="HZT6" s="1962"/>
      <c r="HZU6" s="1962"/>
      <c r="HZV6" s="1962"/>
      <c r="HZW6" s="1962"/>
      <c r="HZX6" s="1962"/>
      <c r="HZY6" s="1962"/>
      <c r="HZZ6" s="1962"/>
      <c r="IAA6" s="1962"/>
      <c r="IAB6" s="1962"/>
      <c r="IAC6" s="1962"/>
      <c r="IAD6" s="1962"/>
      <c r="IAE6" s="1962"/>
      <c r="IAF6" s="1962"/>
      <c r="IAG6" s="1962"/>
      <c r="IAH6" s="1962"/>
      <c r="IAI6" s="1962"/>
      <c r="IAJ6" s="1962"/>
      <c r="IAK6" s="1962"/>
      <c r="IAL6" s="1962"/>
      <c r="IAM6" s="1962"/>
      <c r="IAN6" s="1962"/>
      <c r="IAO6" s="1962"/>
      <c r="IAP6" s="1962"/>
      <c r="IAQ6" s="1962"/>
      <c r="IAR6" s="1962"/>
      <c r="IAS6" s="1962"/>
      <c r="IAT6" s="1962"/>
      <c r="IAU6" s="1962"/>
      <c r="IAV6" s="1962"/>
      <c r="IAW6" s="1962"/>
      <c r="IAX6" s="1962"/>
      <c r="IAY6" s="1962"/>
      <c r="IAZ6" s="1962"/>
      <c r="IBA6" s="1962"/>
      <c r="IBB6" s="1962"/>
      <c r="IBC6" s="1962"/>
      <c r="IBD6" s="1962"/>
      <c r="IBE6" s="1962"/>
      <c r="IBF6" s="1962"/>
      <c r="IBG6" s="1962"/>
      <c r="IBH6" s="1962"/>
      <c r="IBI6" s="1962"/>
      <c r="IBJ6" s="1962"/>
      <c r="IBK6" s="1962"/>
      <c r="IBL6" s="1962"/>
      <c r="IBM6" s="1962"/>
      <c r="IBN6" s="1962"/>
      <c r="IBO6" s="1962"/>
      <c r="IBP6" s="1962"/>
      <c r="IBQ6" s="1962"/>
      <c r="IBR6" s="1962"/>
      <c r="IBS6" s="1962"/>
      <c r="IBT6" s="1962"/>
      <c r="IBU6" s="1962"/>
      <c r="IBV6" s="1962"/>
      <c r="IBW6" s="1962"/>
      <c r="IBX6" s="1962"/>
      <c r="IBY6" s="1962"/>
      <c r="IBZ6" s="1962"/>
      <c r="ICA6" s="1962"/>
      <c r="ICB6" s="1962"/>
      <c r="ICC6" s="1962"/>
      <c r="ICD6" s="1962"/>
      <c r="ICE6" s="1962"/>
      <c r="ICF6" s="1962"/>
      <c r="ICG6" s="1962"/>
      <c r="ICH6" s="1962"/>
      <c r="ICI6" s="1962"/>
      <c r="ICJ6" s="1962"/>
      <c r="ICK6" s="1962"/>
      <c r="ICL6" s="1962"/>
      <c r="ICM6" s="1962"/>
      <c r="ICN6" s="1962"/>
      <c r="ICO6" s="1962"/>
      <c r="ICP6" s="1962"/>
      <c r="ICQ6" s="1962"/>
      <c r="ICR6" s="1962"/>
      <c r="ICS6" s="1962"/>
      <c r="ICT6" s="1962"/>
      <c r="ICU6" s="1962"/>
      <c r="ICV6" s="1962"/>
      <c r="ICW6" s="1962"/>
      <c r="ICX6" s="1962"/>
      <c r="ICY6" s="1962"/>
      <c r="ICZ6" s="1962"/>
      <c r="IDA6" s="1962"/>
      <c r="IDB6" s="1962"/>
      <c r="IDC6" s="1962"/>
      <c r="IDD6" s="1962"/>
      <c r="IDE6" s="1962"/>
      <c r="IDF6" s="1962"/>
      <c r="IDG6" s="1962"/>
      <c r="IDH6" s="1962"/>
      <c r="IDI6" s="1962"/>
      <c r="IDJ6" s="1962"/>
      <c r="IDK6" s="1962"/>
      <c r="IDL6" s="1962"/>
      <c r="IDM6" s="1962"/>
      <c r="IDN6" s="1962"/>
      <c r="IDO6" s="1962"/>
      <c r="IDP6" s="1962"/>
      <c r="IDQ6" s="1962"/>
      <c r="IDR6" s="1962"/>
      <c r="IDS6" s="1962"/>
      <c r="IDT6" s="1962"/>
      <c r="IDU6" s="1962"/>
      <c r="IDV6" s="1962"/>
      <c r="IDW6" s="1962"/>
      <c r="IDX6" s="1962"/>
      <c r="IDY6" s="1962"/>
      <c r="IDZ6" s="1962"/>
      <c r="IEA6" s="1962"/>
      <c r="IEB6" s="1962"/>
      <c r="IEC6" s="1962"/>
      <c r="IED6" s="1962"/>
      <c r="IEE6" s="1962"/>
      <c r="IEF6" s="1962"/>
      <c r="IEG6" s="1962"/>
      <c r="IEH6" s="1962"/>
      <c r="IEI6" s="1962"/>
      <c r="IEJ6" s="1962"/>
      <c r="IEK6" s="1962"/>
      <c r="IEL6" s="1962"/>
      <c r="IEM6" s="1962"/>
      <c r="IEN6" s="1962"/>
      <c r="IEO6" s="1962"/>
      <c r="IEP6" s="1962"/>
      <c r="IEQ6" s="1962"/>
      <c r="IER6" s="1962"/>
      <c r="IES6" s="1962"/>
      <c r="IET6" s="1962"/>
      <c r="IEU6" s="1962"/>
      <c r="IEV6" s="1962"/>
      <c r="IEW6" s="1962"/>
      <c r="IEX6" s="1962"/>
      <c r="IEY6" s="1962"/>
      <c r="IEZ6" s="1962"/>
      <c r="IFA6" s="1962"/>
      <c r="IFB6" s="1962"/>
      <c r="IFC6" s="1962"/>
      <c r="IFD6" s="1962"/>
      <c r="IFE6" s="1962"/>
      <c r="IFF6" s="1962"/>
      <c r="IFG6" s="1962"/>
      <c r="IFH6" s="1962"/>
      <c r="IFI6" s="1962"/>
      <c r="IFJ6" s="1962"/>
      <c r="IFK6" s="1962"/>
      <c r="IFL6" s="1962"/>
      <c r="IFM6" s="1962"/>
      <c r="IFN6" s="1962"/>
      <c r="IFO6" s="1962"/>
      <c r="IFP6" s="1962"/>
      <c r="IFQ6" s="1962"/>
      <c r="IFR6" s="1962"/>
      <c r="IFS6" s="1962"/>
      <c r="IFT6" s="1962"/>
      <c r="IFU6" s="1962"/>
      <c r="IFV6" s="1962"/>
      <c r="IFW6" s="1962"/>
      <c r="IFX6" s="1962"/>
      <c r="IFY6" s="1962"/>
      <c r="IFZ6" s="1962"/>
      <c r="IGA6" s="1962"/>
      <c r="IGB6" s="1962"/>
      <c r="IGC6" s="1962"/>
      <c r="IGD6" s="1962"/>
      <c r="IGE6" s="1962"/>
      <c r="IGF6" s="1962"/>
      <c r="IGG6" s="1962"/>
      <c r="IGH6" s="1962"/>
      <c r="IGI6" s="1962"/>
      <c r="IGJ6" s="1962"/>
      <c r="IGK6" s="1962"/>
      <c r="IGL6" s="1962"/>
      <c r="IGM6" s="1962"/>
      <c r="IGN6" s="1962"/>
      <c r="IGO6" s="1962"/>
      <c r="IGP6" s="1962"/>
      <c r="IGQ6" s="1962"/>
      <c r="IGR6" s="1962"/>
      <c r="IGS6" s="1962"/>
      <c r="IGT6" s="1962"/>
      <c r="IGU6" s="1962"/>
      <c r="IGV6" s="1962"/>
      <c r="IGW6" s="1962"/>
      <c r="IGX6" s="1962"/>
      <c r="IGY6" s="1962"/>
      <c r="IGZ6" s="1962"/>
      <c r="IHA6" s="1962"/>
      <c r="IHB6" s="1962"/>
      <c r="IHC6" s="1962"/>
      <c r="IHD6" s="1962"/>
      <c r="IHE6" s="1962"/>
      <c r="IHF6" s="1962"/>
      <c r="IHG6" s="1962"/>
      <c r="IHH6" s="1962"/>
      <c r="IHI6" s="1962"/>
      <c r="IHJ6" s="1962"/>
      <c r="IHK6" s="1962"/>
      <c r="IHL6" s="1962"/>
      <c r="IHM6" s="1962"/>
      <c r="IHN6" s="1962"/>
      <c r="IHO6" s="1962"/>
      <c r="IHP6" s="1962"/>
      <c r="IHQ6" s="1962"/>
      <c r="IHR6" s="1962"/>
      <c r="IHS6" s="1962"/>
      <c r="IHT6" s="1962"/>
      <c r="IHU6" s="1962"/>
      <c r="IHV6" s="1962"/>
      <c r="IHW6" s="1962"/>
      <c r="IHX6" s="1962"/>
      <c r="IHY6" s="1962"/>
      <c r="IHZ6" s="1962"/>
      <c r="IIA6" s="1962"/>
      <c r="IIB6" s="1962"/>
      <c r="IIC6" s="1962"/>
      <c r="IID6" s="1962"/>
      <c r="IIE6" s="1962"/>
      <c r="IIF6" s="1962"/>
      <c r="IIG6" s="1962"/>
      <c r="IIH6" s="1962"/>
      <c r="III6" s="1962"/>
      <c r="IIJ6" s="1962"/>
      <c r="IIK6" s="1962"/>
      <c r="IIL6" s="1962"/>
      <c r="IIM6" s="1962"/>
      <c r="IIN6" s="1962"/>
      <c r="IIO6" s="1962"/>
      <c r="IIP6" s="1962"/>
      <c r="IIQ6" s="1962"/>
      <c r="IIR6" s="1962"/>
      <c r="IIS6" s="1962"/>
      <c r="IIT6" s="1962"/>
      <c r="IIU6" s="1962"/>
      <c r="IIV6" s="1962"/>
      <c r="IIW6" s="1962"/>
      <c r="IIX6" s="1962"/>
      <c r="IIY6" s="1962"/>
      <c r="IIZ6" s="1962"/>
      <c r="IJA6" s="1962"/>
      <c r="IJB6" s="1962"/>
      <c r="IJC6" s="1962"/>
      <c r="IJD6" s="1962"/>
      <c r="IJE6" s="1962"/>
      <c r="IJF6" s="1962"/>
      <c r="IJG6" s="1962"/>
      <c r="IJH6" s="1962"/>
      <c r="IJI6" s="1962"/>
      <c r="IJJ6" s="1962"/>
      <c r="IJK6" s="1962"/>
      <c r="IJL6" s="1962"/>
      <c r="IJM6" s="1962"/>
      <c r="IJN6" s="1962"/>
      <c r="IJO6" s="1962"/>
      <c r="IJP6" s="1962"/>
      <c r="IJQ6" s="1962"/>
      <c r="IJR6" s="1962"/>
      <c r="IJS6" s="1962"/>
      <c r="IJT6" s="1962"/>
      <c r="IJU6" s="1962"/>
      <c r="IJV6" s="1962"/>
      <c r="IJW6" s="1962"/>
      <c r="IJX6" s="1962"/>
      <c r="IJY6" s="1962"/>
      <c r="IJZ6" s="1962"/>
      <c r="IKA6" s="1962"/>
      <c r="IKB6" s="1962"/>
      <c r="IKC6" s="1962"/>
      <c r="IKD6" s="1962"/>
      <c r="IKE6" s="1962"/>
      <c r="IKF6" s="1962"/>
      <c r="IKG6" s="1962"/>
      <c r="IKH6" s="1962"/>
      <c r="IKI6" s="1962"/>
      <c r="IKJ6" s="1962"/>
      <c r="IKK6" s="1962"/>
      <c r="IKL6" s="1962"/>
      <c r="IKM6" s="1962"/>
      <c r="IKN6" s="1962"/>
      <c r="IKO6" s="1962"/>
      <c r="IKP6" s="1962"/>
      <c r="IKQ6" s="1962"/>
      <c r="IKR6" s="1962"/>
      <c r="IKS6" s="1962"/>
      <c r="IKT6" s="1962"/>
      <c r="IKU6" s="1962"/>
      <c r="IKV6" s="1962"/>
      <c r="IKW6" s="1962"/>
      <c r="IKX6" s="1962"/>
      <c r="IKY6" s="1962"/>
      <c r="IKZ6" s="1962"/>
      <c r="ILA6" s="1962"/>
      <c r="ILB6" s="1962"/>
      <c r="ILC6" s="1962"/>
      <c r="ILD6" s="1962"/>
      <c r="ILE6" s="1962"/>
      <c r="ILF6" s="1962"/>
      <c r="ILG6" s="1962"/>
      <c r="ILH6" s="1962"/>
      <c r="ILI6" s="1962"/>
      <c r="ILJ6" s="1962"/>
      <c r="ILK6" s="1962"/>
      <c r="ILL6" s="1962"/>
      <c r="ILM6" s="1962"/>
      <c r="ILN6" s="1962"/>
      <c r="ILO6" s="1962"/>
      <c r="ILP6" s="1962"/>
      <c r="ILQ6" s="1962"/>
      <c r="ILR6" s="1962"/>
      <c r="ILS6" s="1962"/>
      <c r="ILT6" s="1962"/>
      <c r="ILU6" s="1962"/>
      <c r="ILV6" s="1962"/>
      <c r="ILW6" s="1962"/>
      <c r="ILX6" s="1962"/>
      <c r="ILY6" s="1962"/>
      <c r="ILZ6" s="1962"/>
      <c r="IMA6" s="1962"/>
      <c r="IMB6" s="1962"/>
      <c r="IMC6" s="1962"/>
      <c r="IMD6" s="1962"/>
      <c r="IME6" s="1962"/>
      <c r="IMF6" s="1962"/>
      <c r="IMG6" s="1962"/>
      <c r="IMH6" s="1962"/>
      <c r="IMI6" s="1962"/>
      <c r="IMJ6" s="1962"/>
      <c r="IMK6" s="1962"/>
      <c r="IML6" s="1962"/>
      <c r="IMM6" s="1962"/>
      <c r="IMN6" s="1962"/>
      <c r="IMO6" s="1962"/>
      <c r="IMP6" s="1962"/>
      <c r="IMQ6" s="1962"/>
      <c r="IMR6" s="1962"/>
      <c r="IMS6" s="1962"/>
      <c r="IMT6" s="1962"/>
      <c r="IMU6" s="1962"/>
      <c r="IMV6" s="1962"/>
      <c r="IMW6" s="1962"/>
      <c r="IMX6" s="1962"/>
      <c r="IMY6" s="1962"/>
      <c r="IMZ6" s="1962"/>
      <c r="INA6" s="1962"/>
      <c r="INB6" s="1962"/>
      <c r="INC6" s="1962"/>
      <c r="IND6" s="1962"/>
      <c r="INE6" s="1962"/>
      <c r="INF6" s="1962"/>
      <c r="ING6" s="1962"/>
      <c r="INH6" s="1962"/>
      <c r="INI6" s="1962"/>
      <c r="INJ6" s="1962"/>
      <c r="INK6" s="1962"/>
      <c r="INL6" s="1962"/>
      <c r="INM6" s="1962"/>
      <c r="INN6" s="1962"/>
      <c r="INO6" s="1962"/>
      <c r="INP6" s="1962"/>
      <c r="INQ6" s="1962"/>
      <c r="INR6" s="1962"/>
      <c r="INS6" s="1962"/>
      <c r="INT6" s="1962"/>
      <c r="INU6" s="1962"/>
      <c r="INV6" s="1962"/>
      <c r="INW6" s="1962"/>
      <c r="INX6" s="1962"/>
      <c r="INY6" s="1962"/>
      <c r="INZ6" s="1962"/>
      <c r="IOA6" s="1962"/>
      <c r="IOB6" s="1962"/>
      <c r="IOC6" s="1962"/>
      <c r="IOD6" s="1962"/>
      <c r="IOE6" s="1962"/>
      <c r="IOF6" s="1962"/>
      <c r="IOG6" s="1962"/>
      <c r="IOH6" s="1962"/>
      <c r="IOI6" s="1962"/>
      <c r="IOJ6" s="1962"/>
      <c r="IOK6" s="1962"/>
      <c r="IOL6" s="1962"/>
      <c r="IOM6" s="1962"/>
      <c r="ION6" s="1962"/>
      <c r="IOO6" s="1962"/>
      <c r="IOP6" s="1962"/>
      <c r="IOQ6" s="1962"/>
      <c r="IOR6" s="1962"/>
      <c r="IOS6" s="1962"/>
      <c r="IOT6" s="1962"/>
      <c r="IOU6" s="1962"/>
      <c r="IOV6" s="1962"/>
      <c r="IOW6" s="1962"/>
      <c r="IOX6" s="1962"/>
      <c r="IOY6" s="1962"/>
      <c r="IOZ6" s="1962"/>
      <c r="IPA6" s="1962"/>
      <c r="IPB6" s="1962"/>
      <c r="IPC6" s="1962"/>
      <c r="IPD6" s="1962"/>
      <c r="IPE6" s="1962"/>
      <c r="IPF6" s="1962"/>
      <c r="IPG6" s="1962"/>
      <c r="IPH6" s="1962"/>
      <c r="IPI6" s="1962"/>
      <c r="IPJ6" s="1962"/>
      <c r="IPK6" s="1962"/>
      <c r="IPL6" s="1962"/>
      <c r="IPM6" s="1962"/>
      <c r="IPN6" s="1962"/>
      <c r="IPO6" s="1962"/>
      <c r="IPP6" s="1962"/>
      <c r="IPQ6" s="1962"/>
      <c r="IPR6" s="1962"/>
      <c r="IPS6" s="1962"/>
      <c r="IPT6" s="1962"/>
      <c r="IPU6" s="1962"/>
      <c r="IPV6" s="1962"/>
      <c r="IPW6" s="1962"/>
      <c r="IPX6" s="1962"/>
      <c r="IPY6" s="1962"/>
      <c r="IPZ6" s="1962"/>
      <c r="IQA6" s="1962"/>
      <c r="IQB6" s="1962"/>
      <c r="IQC6" s="1962"/>
      <c r="IQD6" s="1962"/>
      <c r="IQE6" s="1962"/>
      <c r="IQF6" s="1962"/>
      <c r="IQG6" s="1962"/>
      <c r="IQH6" s="1962"/>
      <c r="IQI6" s="1962"/>
      <c r="IQJ6" s="1962"/>
      <c r="IQK6" s="1962"/>
      <c r="IQL6" s="1962"/>
      <c r="IQM6" s="1962"/>
      <c r="IQN6" s="1962"/>
      <c r="IQO6" s="1962"/>
      <c r="IQP6" s="1962"/>
      <c r="IQQ6" s="1962"/>
      <c r="IQR6" s="1962"/>
      <c r="IQS6" s="1962"/>
      <c r="IQT6" s="1962"/>
      <c r="IQU6" s="1962"/>
      <c r="IQV6" s="1962"/>
      <c r="IQW6" s="1962"/>
      <c r="IQX6" s="1962"/>
      <c r="IQY6" s="1962"/>
      <c r="IQZ6" s="1962"/>
      <c r="IRA6" s="1962"/>
      <c r="IRB6" s="1962"/>
      <c r="IRC6" s="1962"/>
      <c r="IRD6" s="1962"/>
      <c r="IRE6" s="1962"/>
      <c r="IRF6" s="1962"/>
      <c r="IRG6" s="1962"/>
      <c r="IRH6" s="1962"/>
      <c r="IRI6" s="1962"/>
      <c r="IRJ6" s="1962"/>
      <c r="IRK6" s="1962"/>
      <c r="IRL6" s="1962"/>
      <c r="IRM6" s="1962"/>
      <c r="IRN6" s="1962"/>
      <c r="IRO6" s="1962"/>
      <c r="IRP6" s="1962"/>
      <c r="IRQ6" s="1962"/>
      <c r="IRR6" s="1962"/>
      <c r="IRS6" s="1962"/>
      <c r="IRT6" s="1962"/>
      <c r="IRU6" s="1962"/>
      <c r="IRV6" s="1962"/>
      <c r="IRW6" s="1962"/>
      <c r="IRX6" s="1962"/>
      <c r="IRY6" s="1962"/>
      <c r="IRZ6" s="1962"/>
      <c r="ISA6" s="1962"/>
      <c r="ISB6" s="1962"/>
      <c r="ISC6" s="1962"/>
      <c r="ISD6" s="1962"/>
      <c r="ISE6" s="1962"/>
      <c r="ISF6" s="1962"/>
      <c r="ISG6" s="1962"/>
      <c r="ISH6" s="1962"/>
      <c r="ISI6" s="1962"/>
      <c r="ISJ6" s="1962"/>
      <c r="ISK6" s="1962"/>
      <c r="ISL6" s="1962"/>
      <c r="ISM6" s="1962"/>
      <c r="ISN6" s="1962"/>
      <c r="ISO6" s="1962"/>
      <c r="ISP6" s="1962"/>
      <c r="ISQ6" s="1962"/>
      <c r="ISR6" s="1962"/>
      <c r="ISS6" s="1962"/>
      <c r="IST6" s="1962"/>
      <c r="ISU6" s="1962"/>
      <c r="ISV6" s="1962"/>
      <c r="ISW6" s="1962"/>
      <c r="ISX6" s="1962"/>
      <c r="ISY6" s="1962"/>
      <c r="ISZ6" s="1962"/>
      <c r="ITA6" s="1962"/>
      <c r="ITB6" s="1962"/>
      <c r="ITC6" s="1962"/>
      <c r="ITD6" s="1962"/>
      <c r="ITE6" s="1962"/>
      <c r="ITF6" s="1962"/>
      <c r="ITG6" s="1962"/>
      <c r="ITH6" s="1962"/>
      <c r="ITI6" s="1962"/>
      <c r="ITJ6" s="1962"/>
      <c r="ITK6" s="1962"/>
      <c r="ITL6" s="1962"/>
      <c r="ITM6" s="1962"/>
      <c r="ITN6" s="1962"/>
      <c r="ITO6" s="1962"/>
      <c r="ITP6" s="1962"/>
      <c r="ITQ6" s="1962"/>
      <c r="ITR6" s="1962"/>
      <c r="ITS6" s="1962"/>
      <c r="ITT6" s="1962"/>
      <c r="ITU6" s="1962"/>
      <c r="ITV6" s="1962"/>
      <c r="ITW6" s="1962"/>
      <c r="ITX6" s="1962"/>
      <c r="ITY6" s="1962"/>
      <c r="ITZ6" s="1962"/>
      <c r="IUA6" s="1962"/>
      <c r="IUB6" s="1962"/>
      <c r="IUC6" s="1962"/>
      <c r="IUD6" s="1962"/>
      <c r="IUE6" s="1962"/>
      <c r="IUF6" s="1962"/>
      <c r="IUG6" s="1962"/>
      <c r="IUH6" s="1962"/>
      <c r="IUI6" s="1962"/>
      <c r="IUJ6" s="1962"/>
      <c r="IUK6" s="1962"/>
      <c r="IUL6" s="1962"/>
      <c r="IUM6" s="1962"/>
      <c r="IUN6" s="1962"/>
      <c r="IUO6" s="1962"/>
      <c r="IUP6" s="1962"/>
      <c r="IUQ6" s="1962"/>
      <c r="IUR6" s="1962"/>
      <c r="IUS6" s="1962"/>
      <c r="IUT6" s="1962"/>
      <c r="IUU6" s="1962"/>
      <c r="IUV6" s="1962"/>
      <c r="IUW6" s="1962"/>
      <c r="IUX6" s="1962"/>
      <c r="IUY6" s="1962"/>
      <c r="IUZ6" s="1962"/>
      <c r="IVA6" s="1962"/>
      <c r="IVB6" s="1962"/>
      <c r="IVC6" s="1962"/>
      <c r="IVD6" s="1962"/>
      <c r="IVE6" s="1962"/>
      <c r="IVF6" s="1962"/>
      <c r="IVG6" s="1962"/>
      <c r="IVH6" s="1962"/>
      <c r="IVI6" s="1962"/>
      <c r="IVJ6" s="1962"/>
      <c r="IVK6" s="1962"/>
      <c r="IVL6" s="1962"/>
      <c r="IVM6" s="1962"/>
      <c r="IVN6" s="1962"/>
      <c r="IVO6" s="1962"/>
      <c r="IVP6" s="1962"/>
      <c r="IVQ6" s="1962"/>
      <c r="IVR6" s="1962"/>
      <c r="IVS6" s="1962"/>
      <c r="IVT6" s="1962"/>
      <c r="IVU6" s="1962"/>
      <c r="IVV6" s="1962"/>
      <c r="IVW6" s="1962"/>
      <c r="IVX6" s="1962"/>
      <c r="IVY6" s="1962"/>
      <c r="IVZ6" s="1962"/>
      <c r="IWA6" s="1962"/>
      <c r="IWB6" s="1962"/>
      <c r="IWC6" s="1962"/>
      <c r="IWD6" s="1962"/>
      <c r="IWE6" s="1962"/>
      <c r="IWF6" s="1962"/>
      <c r="IWG6" s="1962"/>
      <c r="IWH6" s="1962"/>
      <c r="IWI6" s="1962"/>
      <c r="IWJ6" s="1962"/>
      <c r="IWK6" s="1962"/>
      <c r="IWL6" s="1962"/>
      <c r="IWM6" s="1962"/>
      <c r="IWN6" s="1962"/>
      <c r="IWO6" s="1962"/>
      <c r="IWP6" s="1962"/>
      <c r="IWQ6" s="1962"/>
      <c r="IWR6" s="1962"/>
      <c r="IWS6" s="1962"/>
      <c r="IWT6" s="1962"/>
      <c r="IWU6" s="1962"/>
      <c r="IWV6" s="1962"/>
      <c r="IWW6" s="1962"/>
      <c r="IWX6" s="1962"/>
      <c r="IWY6" s="1962"/>
      <c r="IWZ6" s="1962"/>
      <c r="IXA6" s="1962"/>
      <c r="IXB6" s="1962"/>
      <c r="IXC6" s="1962"/>
      <c r="IXD6" s="1962"/>
      <c r="IXE6" s="1962"/>
      <c r="IXF6" s="1962"/>
      <c r="IXG6" s="1962"/>
      <c r="IXH6" s="1962"/>
      <c r="IXI6" s="1962"/>
      <c r="IXJ6" s="1962"/>
      <c r="IXK6" s="1962"/>
      <c r="IXL6" s="1962"/>
      <c r="IXM6" s="1962"/>
      <c r="IXN6" s="1962"/>
      <c r="IXO6" s="1962"/>
      <c r="IXP6" s="1962"/>
      <c r="IXQ6" s="1962"/>
      <c r="IXR6" s="1962"/>
      <c r="IXS6" s="1962"/>
      <c r="IXT6" s="1962"/>
      <c r="IXU6" s="1962"/>
      <c r="IXV6" s="1962"/>
      <c r="IXW6" s="1962"/>
      <c r="IXX6" s="1962"/>
      <c r="IXY6" s="1962"/>
      <c r="IXZ6" s="1962"/>
      <c r="IYA6" s="1962"/>
      <c r="IYB6" s="1962"/>
      <c r="IYC6" s="1962"/>
      <c r="IYD6" s="1962"/>
      <c r="IYE6" s="1962"/>
      <c r="IYF6" s="1962"/>
      <c r="IYG6" s="1962"/>
      <c r="IYH6" s="1962"/>
      <c r="IYI6" s="1962"/>
      <c r="IYJ6" s="1962"/>
      <c r="IYK6" s="1962"/>
      <c r="IYL6" s="1962"/>
      <c r="IYM6" s="1962"/>
      <c r="IYN6" s="1962"/>
      <c r="IYO6" s="1962"/>
      <c r="IYP6" s="1962"/>
      <c r="IYQ6" s="1962"/>
      <c r="IYR6" s="1962"/>
      <c r="IYS6" s="1962"/>
      <c r="IYT6" s="1962"/>
      <c r="IYU6" s="1962"/>
      <c r="IYV6" s="1962"/>
      <c r="IYW6" s="1962"/>
      <c r="IYX6" s="1962"/>
      <c r="IYY6" s="1962"/>
      <c r="IYZ6" s="1962"/>
      <c r="IZA6" s="1962"/>
      <c r="IZB6" s="1962"/>
      <c r="IZC6" s="1962"/>
      <c r="IZD6" s="1962"/>
      <c r="IZE6" s="1962"/>
      <c r="IZF6" s="1962"/>
      <c r="IZG6" s="1962"/>
      <c r="IZH6" s="1962"/>
      <c r="IZI6" s="1962"/>
      <c r="IZJ6" s="1962"/>
      <c r="IZK6" s="1962"/>
      <c r="IZL6" s="1962"/>
      <c r="IZM6" s="1962"/>
      <c r="IZN6" s="1962"/>
      <c r="IZO6" s="1962"/>
      <c r="IZP6" s="1962"/>
      <c r="IZQ6" s="1962"/>
      <c r="IZR6" s="1962"/>
      <c r="IZS6" s="1962"/>
      <c r="IZT6" s="1962"/>
      <c r="IZU6" s="1962"/>
      <c r="IZV6" s="1962"/>
      <c r="IZW6" s="1962"/>
      <c r="IZX6" s="1962"/>
      <c r="IZY6" s="1962"/>
      <c r="IZZ6" s="1962"/>
      <c r="JAA6" s="1962"/>
      <c r="JAB6" s="1962"/>
      <c r="JAC6" s="1962"/>
      <c r="JAD6" s="1962"/>
      <c r="JAE6" s="1962"/>
      <c r="JAF6" s="1962"/>
      <c r="JAG6" s="1962"/>
      <c r="JAH6" s="1962"/>
      <c r="JAI6" s="1962"/>
      <c r="JAJ6" s="1962"/>
      <c r="JAK6" s="1962"/>
      <c r="JAL6" s="1962"/>
      <c r="JAM6" s="1962"/>
      <c r="JAN6" s="1962"/>
      <c r="JAO6" s="1962"/>
      <c r="JAP6" s="1962"/>
      <c r="JAQ6" s="1962"/>
      <c r="JAR6" s="1962"/>
      <c r="JAS6" s="1962"/>
      <c r="JAT6" s="1962"/>
      <c r="JAU6" s="1962"/>
      <c r="JAV6" s="1962"/>
      <c r="JAW6" s="1962"/>
      <c r="JAX6" s="1962"/>
      <c r="JAY6" s="1962"/>
      <c r="JAZ6" s="1962"/>
      <c r="JBA6" s="1962"/>
      <c r="JBB6" s="1962"/>
      <c r="JBC6" s="1962"/>
      <c r="JBD6" s="1962"/>
      <c r="JBE6" s="1962"/>
      <c r="JBF6" s="1962"/>
      <c r="JBG6" s="1962"/>
      <c r="JBH6" s="1962"/>
      <c r="JBI6" s="1962"/>
      <c r="JBJ6" s="1962"/>
      <c r="JBK6" s="1962"/>
      <c r="JBL6" s="1962"/>
      <c r="JBM6" s="1962"/>
      <c r="JBN6" s="1962"/>
      <c r="JBO6" s="1962"/>
      <c r="JBP6" s="1962"/>
      <c r="JBQ6" s="1962"/>
      <c r="JBR6" s="1962"/>
      <c r="JBS6" s="1962"/>
      <c r="JBT6" s="1962"/>
      <c r="JBU6" s="1962"/>
      <c r="JBV6" s="1962"/>
      <c r="JBW6" s="1962"/>
      <c r="JBX6" s="1962"/>
      <c r="JBY6" s="1962"/>
      <c r="JBZ6" s="1962"/>
      <c r="JCA6" s="1962"/>
      <c r="JCB6" s="1962"/>
      <c r="JCC6" s="1962"/>
      <c r="JCD6" s="1962"/>
      <c r="JCE6" s="1962"/>
      <c r="JCF6" s="1962"/>
      <c r="JCG6" s="1962"/>
      <c r="JCH6" s="1962"/>
      <c r="JCI6" s="1962"/>
      <c r="JCJ6" s="1962"/>
      <c r="JCK6" s="1962"/>
      <c r="JCL6" s="1962"/>
      <c r="JCM6" s="1962"/>
      <c r="JCN6" s="1962"/>
      <c r="JCO6" s="1962"/>
      <c r="JCP6" s="1962"/>
      <c r="JCQ6" s="1962"/>
      <c r="JCR6" s="1962"/>
      <c r="JCS6" s="1962"/>
      <c r="JCT6" s="1962"/>
      <c r="JCU6" s="1962"/>
      <c r="JCV6" s="1962"/>
      <c r="JCW6" s="1962"/>
      <c r="JCX6" s="1962"/>
      <c r="JCY6" s="1962"/>
      <c r="JCZ6" s="1962"/>
      <c r="JDA6" s="1962"/>
      <c r="JDB6" s="1962"/>
      <c r="JDC6" s="1962"/>
      <c r="JDD6" s="1962"/>
      <c r="JDE6" s="1962"/>
      <c r="JDF6" s="1962"/>
      <c r="JDG6" s="1962"/>
      <c r="JDH6" s="1962"/>
      <c r="JDI6" s="1962"/>
      <c r="JDJ6" s="1962"/>
      <c r="JDK6" s="1962"/>
      <c r="JDL6" s="1962"/>
      <c r="JDM6" s="1962"/>
      <c r="JDN6" s="1962"/>
      <c r="JDO6" s="1962"/>
      <c r="JDP6" s="1962"/>
      <c r="JDQ6" s="1962"/>
      <c r="JDR6" s="1962"/>
      <c r="JDS6" s="1962"/>
      <c r="JDT6" s="1962"/>
      <c r="JDU6" s="1962"/>
      <c r="JDV6" s="1962"/>
      <c r="JDW6" s="1962"/>
      <c r="JDX6" s="1962"/>
      <c r="JDY6" s="1962"/>
      <c r="JDZ6" s="1962"/>
      <c r="JEA6" s="1962"/>
      <c r="JEB6" s="1962"/>
      <c r="JEC6" s="1962"/>
      <c r="JED6" s="1962"/>
      <c r="JEE6" s="1962"/>
      <c r="JEF6" s="1962"/>
      <c r="JEG6" s="1962"/>
      <c r="JEH6" s="1962"/>
      <c r="JEI6" s="1962"/>
      <c r="JEJ6" s="1962"/>
      <c r="JEK6" s="1962"/>
      <c r="JEL6" s="1962"/>
      <c r="JEM6" s="1962"/>
      <c r="JEN6" s="1962"/>
      <c r="JEO6" s="1962"/>
      <c r="JEP6" s="1962"/>
      <c r="JEQ6" s="1962"/>
      <c r="JER6" s="1962"/>
      <c r="JES6" s="1962"/>
      <c r="JET6" s="1962"/>
      <c r="JEU6" s="1962"/>
      <c r="JEV6" s="1962"/>
      <c r="JEW6" s="1962"/>
      <c r="JEX6" s="1962"/>
      <c r="JEY6" s="1962"/>
      <c r="JEZ6" s="1962"/>
      <c r="JFA6" s="1962"/>
      <c r="JFB6" s="1962"/>
      <c r="JFC6" s="1962"/>
      <c r="JFD6" s="1962"/>
      <c r="JFE6" s="1962"/>
      <c r="JFF6" s="1962"/>
      <c r="JFG6" s="1962"/>
      <c r="JFH6" s="1962"/>
      <c r="JFI6" s="1962"/>
      <c r="JFJ6" s="1962"/>
      <c r="JFK6" s="1962"/>
      <c r="JFL6" s="1962"/>
      <c r="JFM6" s="1962"/>
      <c r="JFN6" s="1962"/>
      <c r="JFO6" s="1962"/>
      <c r="JFP6" s="1962"/>
      <c r="JFQ6" s="1962"/>
      <c r="JFR6" s="1962"/>
      <c r="JFS6" s="1962"/>
      <c r="JFT6" s="1962"/>
      <c r="JFU6" s="1962"/>
      <c r="JFV6" s="1962"/>
      <c r="JFW6" s="1962"/>
      <c r="JFX6" s="1962"/>
      <c r="JFY6" s="1962"/>
      <c r="JFZ6" s="1962"/>
      <c r="JGA6" s="1962"/>
      <c r="JGB6" s="1962"/>
      <c r="JGC6" s="1962"/>
      <c r="JGD6" s="1962"/>
      <c r="JGE6" s="1962"/>
      <c r="JGF6" s="1962"/>
      <c r="JGG6" s="1962"/>
      <c r="JGH6" s="1962"/>
      <c r="JGI6" s="1962"/>
      <c r="JGJ6" s="1962"/>
      <c r="JGK6" s="1962"/>
      <c r="JGL6" s="1962"/>
      <c r="JGM6" s="1962"/>
      <c r="JGN6" s="1962"/>
      <c r="JGO6" s="1962"/>
      <c r="JGP6" s="1962"/>
      <c r="JGQ6" s="1962"/>
      <c r="JGR6" s="1962"/>
      <c r="JGS6" s="1962"/>
      <c r="JGT6" s="1962"/>
      <c r="JGU6" s="1962"/>
      <c r="JGV6" s="1962"/>
      <c r="JGW6" s="1962"/>
      <c r="JGX6" s="1962"/>
      <c r="JGY6" s="1962"/>
      <c r="JGZ6" s="1962"/>
      <c r="JHA6" s="1962"/>
      <c r="JHB6" s="1962"/>
      <c r="JHC6" s="1962"/>
      <c r="JHD6" s="1962"/>
      <c r="JHE6" s="1962"/>
      <c r="JHF6" s="1962"/>
      <c r="JHG6" s="1962"/>
      <c r="JHH6" s="1962"/>
      <c r="JHI6" s="1962"/>
      <c r="JHJ6" s="1962"/>
      <c r="JHK6" s="1962"/>
      <c r="JHL6" s="1962"/>
      <c r="JHM6" s="1962"/>
      <c r="JHN6" s="1962"/>
      <c r="JHO6" s="1962"/>
      <c r="JHP6" s="1962"/>
      <c r="JHQ6" s="1962"/>
      <c r="JHR6" s="1962"/>
      <c r="JHS6" s="1962"/>
      <c r="JHT6" s="1962"/>
      <c r="JHU6" s="1962"/>
      <c r="JHV6" s="1962"/>
      <c r="JHW6" s="1962"/>
      <c r="JHX6" s="1962"/>
      <c r="JHY6" s="1962"/>
      <c r="JHZ6" s="1962"/>
      <c r="JIA6" s="1962"/>
      <c r="JIB6" s="1962"/>
      <c r="JIC6" s="1962"/>
      <c r="JID6" s="1962"/>
      <c r="JIE6" s="1962"/>
      <c r="JIF6" s="1962"/>
      <c r="JIG6" s="1962"/>
      <c r="JIH6" s="1962"/>
      <c r="JII6" s="1962"/>
      <c r="JIJ6" s="1962"/>
      <c r="JIK6" s="1962"/>
      <c r="JIL6" s="1962"/>
      <c r="JIM6" s="1962"/>
      <c r="JIN6" s="1962"/>
      <c r="JIO6" s="1962"/>
      <c r="JIP6" s="1962"/>
      <c r="JIQ6" s="1962"/>
      <c r="JIR6" s="1962"/>
      <c r="JIS6" s="1962"/>
      <c r="JIT6" s="1962"/>
      <c r="JIU6" s="1962"/>
      <c r="JIV6" s="1962"/>
      <c r="JIW6" s="1962"/>
      <c r="JIX6" s="1962"/>
      <c r="JIY6" s="1962"/>
      <c r="JIZ6" s="1962"/>
      <c r="JJA6" s="1962"/>
      <c r="JJB6" s="1962"/>
      <c r="JJC6" s="1962"/>
      <c r="JJD6" s="1962"/>
      <c r="JJE6" s="1962"/>
      <c r="JJF6" s="1962"/>
      <c r="JJG6" s="1962"/>
      <c r="JJH6" s="1962"/>
      <c r="JJI6" s="1962"/>
      <c r="JJJ6" s="1962"/>
      <c r="JJK6" s="1962"/>
      <c r="JJL6" s="1962"/>
      <c r="JJM6" s="1962"/>
      <c r="JJN6" s="1962"/>
      <c r="JJO6" s="1962"/>
      <c r="JJP6" s="1962"/>
      <c r="JJQ6" s="1962"/>
      <c r="JJR6" s="1962"/>
      <c r="JJS6" s="1962"/>
      <c r="JJT6" s="1962"/>
      <c r="JJU6" s="1962"/>
      <c r="JJV6" s="1962"/>
      <c r="JJW6" s="1962"/>
      <c r="JJX6" s="1962"/>
      <c r="JJY6" s="1962"/>
      <c r="JJZ6" s="1962"/>
      <c r="JKA6" s="1962"/>
      <c r="JKB6" s="1962"/>
      <c r="JKC6" s="1962"/>
      <c r="JKD6" s="1962"/>
      <c r="JKE6" s="1962"/>
      <c r="JKF6" s="1962"/>
      <c r="JKG6" s="1962"/>
      <c r="JKH6" s="1962"/>
      <c r="JKI6" s="1962"/>
      <c r="JKJ6" s="1962"/>
      <c r="JKK6" s="1962"/>
      <c r="JKL6" s="1962"/>
      <c r="JKM6" s="1962"/>
      <c r="JKN6" s="1962"/>
      <c r="JKO6" s="1962"/>
      <c r="JKP6" s="1962"/>
      <c r="JKQ6" s="1962"/>
      <c r="JKR6" s="1962"/>
      <c r="JKS6" s="1962"/>
      <c r="JKT6" s="1962"/>
      <c r="JKU6" s="1962"/>
      <c r="JKV6" s="1962"/>
      <c r="JKW6" s="1962"/>
      <c r="JKX6" s="1962"/>
      <c r="JKY6" s="1962"/>
      <c r="JKZ6" s="1962"/>
      <c r="JLA6" s="1962"/>
      <c r="JLB6" s="1962"/>
      <c r="JLC6" s="1962"/>
      <c r="JLD6" s="1962"/>
      <c r="JLE6" s="1962"/>
      <c r="JLF6" s="1962"/>
      <c r="JLG6" s="1962"/>
      <c r="JLH6" s="1962"/>
      <c r="JLI6" s="1962"/>
      <c r="JLJ6" s="1962"/>
      <c r="JLK6" s="1962"/>
      <c r="JLL6" s="1962"/>
      <c r="JLM6" s="1962"/>
      <c r="JLN6" s="1962"/>
      <c r="JLO6" s="1962"/>
      <c r="JLP6" s="1962"/>
      <c r="JLQ6" s="1962"/>
      <c r="JLR6" s="1962"/>
      <c r="JLS6" s="1962"/>
      <c r="JLT6" s="1962"/>
      <c r="JLU6" s="1962"/>
      <c r="JLV6" s="1962"/>
      <c r="JLW6" s="1962"/>
      <c r="JLX6" s="1962"/>
      <c r="JLY6" s="1962"/>
      <c r="JLZ6" s="1962"/>
      <c r="JMA6" s="1962"/>
      <c r="JMB6" s="1962"/>
      <c r="JMC6" s="1962"/>
      <c r="JMD6" s="1962"/>
      <c r="JME6" s="1962"/>
      <c r="JMF6" s="1962"/>
      <c r="JMG6" s="1962"/>
      <c r="JMH6" s="1962"/>
      <c r="JMI6" s="1962"/>
      <c r="JMJ6" s="1962"/>
      <c r="JMK6" s="1962"/>
      <c r="JML6" s="1962"/>
      <c r="JMM6" s="1962"/>
      <c r="JMN6" s="1962"/>
      <c r="JMO6" s="1962"/>
      <c r="JMP6" s="1962"/>
      <c r="JMQ6" s="1962"/>
      <c r="JMR6" s="1962"/>
      <c r="JMS6" s="1962"/>
      <c r="JMT6" s="1962"/>
      <c r="JMU6" s="1962"/>
      <c r="JMV6" s="1962"/>
      <c r="JMW6" s="1962"/>
      <c r="JMX6" s="1962"/>
      <c r="JMY6" s="1962"/>
      <c r="JMZ6" s="1962"/>
      <c r="JNA6" s="1962"/>
      <c r="JNB6" s="1962"/>
      <c r="JNC6" s="1962"/>
      <c r="JND6" s="1962"/>
      <c r="JNE6" s="1962"/>
      <c r="JNF6" s="1962"/>
      <c r="JNG6" s="1962"/>
      <c r="JNH6" s="1962"/>
      <c r="JNI6" s="1962"/>
      <c r="JNJ6" s="1962"/>
      <c r="JNK6" s="1962"/>
      <c r="JNL6" s="1962"/>
      <c r="JNM6" s="1962"/>
      <c r="JNN6" s="1962"/>
      <c r="JNO6" s="1962"/>
      <c r="JNP6" s="1962"/>
      <c r="JNQ6" s="1962"/>
      <c r="JNR6" s="1962"/>
      <c r="JNS6" s="1962"/>
      <c r="JNT6" s="1962"/>
      <c r="JNU6" s="1962"/>
      <c r="JNV6" s="1962"/>
      <c r="JNW6" s="1962"/>
      <c r="JNX6" s="1962"/>
      <c r="JNY6" s="1962"/>
      <c r="JNZ6" s="1962"/>
      <c r="JOA6" s="1962"/>
      <c r="JOB6" s="1962"/>
      <c r="JOC6" s="1962"/>
      <c r="JOD6" s="1962"/>
      <c r="JOE6" s="1962"/>
      <c r="JOF6" s="1962"/>
      <c r="JOG6" s="1962"/>
      <c r="JOH6" s="1962"/>
      <c r="JOI6" s="1962"/>
      <c r="JOJ6" s="1962"/>
      <c r="JOK6" s="1962"/>
      <c r="JOL6" s="1962"/>
      <c r="JOM6" s="1962"/>
      <c r="JON6" s="1962"/>
      <c r="JOO6" s="1962"/>
      <c r="JOP6" s="1962"/>
      <c r="JOQ6" s="1962"/>
      <c r="JOR6" s="1962"/>
      <c r="JOS6" s="1962"/>
      <c r="JOT6" s="1962"/>
      <c r="JOU6" s="1962"/>
      <c r="JOV6" s="1962"/>
      <c r="JOW6" s="1962"/>
      <c r="JOX6" s="1962"/>
      <c r="JOY6" s="1962"/>
      <c r="JOZ6" s="1962"/>
      <c r="JPA6" s="1962"/>
      <c r="JPB6" s="1962"/>
      <c r="JPC6" s="1962"/>
      <c r="JPD6" s="1962"/>
      <c r="JPE6" s="1962"/>
      <c r="JPF6" s="1962"/>
      <c r="JPG6" s="1962"/>
      <c r="JPH6" s="1962"/>
      <c r="JPI6" s="1962"/>
      <c r="JPJ6" s="1962"/>
      <c r="JPK6" s="1962"/>
      <c r="JPL6" s="1962"/>
      <c r="JPM6" s="1962"/>
      <c r="JPN6" s="1962"/>
      <c r="JPO6" s="1962"/>
      <c r="JPP6" s="1962"/>
      <c r="JPQ6" s="1962"/>
      <c r="JPR6" s="1962"/>
      <c r="JPS6" s="1962"/>
      <c r="JPT6" s="1962"/>
      <c r="JPU6" s="1962"/>
      <c r="JPV6" s="1962"/>
      <c r="JPW6" s="1962"/>
      <c r="JPX6" s="1962"/>
      <c r="JPY6" s="1962"/>
      <c r="JPZ6" s="1962"/>
      <c r="JQA6" s="1962"/>
      <c r="JQB6" s="1962"/>
      <c r="JQC6" s="1962"/>
      <c r="JQD6" s="1962"/>
      <c r="JQE6" s="1962"/>
      <c r="JQF6" s="1962"/>
      <c r="JQG6" s="1962"/>
      <c r="JQH6" s="1962"/>
      <c r="JQI6" s="1962"/>
      <c r="JQJ6" s="1962"/>
      <c r="JQK6" s="1962"/>
      <c r="JQL6" s="1962"/>
      <c r="JQM6" s="1962"/>
      <c r="JQN6" s="1962"/>
      <c r="JQO6" s="1962"/>
      <c r="JQP6" s="1962"/>
      <c r="JQQ6" s="1962"/>
      <c r="JQR6" s="1962"/>
      <c r="JQS6" s="1962"/>
      <c r="JQT6" s="1962"/>
      <c r="JQU6" s="1962"/>
      <c r="JQV6" s="1962"/>
      <c r="JQW6" s="1962"/>
      <c r="JQX6" s="1962"/>
      <c r="JQY6" s="1962"/>
      <c r="JQZ6" s="1962"/>
      <c r="JRA6" s="1962"/>
      <c r="JRB6" s="1962"/>
      <c r="JRC6" s="1962"/>
      <c r="JRD6" s="1962"/>
      <c r="JRE6" s="1962"/>
      <c r="JRF6" s="1962"/>
      <c r="JRG6" s="1962"/>
      <c r="JRH6" s="1962"/>
      <c r="JRI6" s="1962"/>
      <c r="JRJ6" s="1962"/>
      <c r="JRK6" s="1962"/>
      <c r="JRL6" s="1962"/>
      <c r="JRM6" s="1962"/>
      <c r="JRN6" s="1962"/>
      <c r="JRO6" s="1962"/>
      <c r="JRP6" s="1962"/>
      <c r="JRQ6" s="1962"/>
      <c r="JRR6" s="1962"/>
      <c r="JRS6" s="1962"/>
      <c r="JRT6" s="1962"/>
      <c r="JRU6" s="1962"/>
      <c r="JRV6" s="1962"/>
      <c r="JRW6" s="1962"/>
      <c r="JRX6" s="1962"/>
      <c r="JRY6" s="1962"/>
      <c r="JRZ6" s="1962"/>
      <c r="JSA6" s="1962"/>
      <c r="JSB6" s="1962"/>
      <c r="JSC6" s="1962"/>
      <c r="JSD6" s="1962"/>
      <c r="JSE6" s="1962"/>
      <c r="JSF6" s="1962"/>
      <c r="JSG6" s="1962"/>
      <c r="JSH6" s="1962"/>
      <c r="JSI6" s="1962"/>
      <c r="JSJ6" s="1962"/>
      <c r="JSK6" s="1962"/>
      <c r="JSL6" s="1962"/>
      <c r="JSM6" s="1962"/>
      <c r="JSN6" s="1962"/>
      <c r="JSO6" s="1962"/>
      <c r="JSP6" s="1962"/>
      <c r="JSQ6" s="1962"/>
      <c r="JSR6" s="1962"/>
      <c r="JSS6" s="1962"/>
      <c r="JST6" s="1962"/>
      <c r="JSU6" s="1962"/>
      <c r="JSV6" s="1962"/>
      <c r="JSW6" s="1962"/>
      <c r="JSX6" s="1962"/>
      <c r="JSY6" s="1962"/>
      <c r="JSZ6" s="1962"/>
      <c r="JTA6" s="1962"/>
      <c r="JTB6" s="1962"/>
      <c r="JTC6" s="1962"/>
      <c r="JTD6" s="1962"/>
      <c r="JTE6" s="1962"/>
      <c r="JTF6" s="1962"/>
      <c r="JTG6" s="1962"/>
      <c r="JTH6" s="1962"/>
      <c r="JTI6" s="1962"/>
      <c r="JTJ6" s="1962"/>
      <c r="JTK6" s="1962"/>
      <c r="JTL6" s="1962"/>
      <c r="JTM6" s="1962"/>
      <c r="JTN6" s="1962"/>
      <c r="JTO6" s="1962"/>
      <c r="JTP6" s="1962"/>
      <c r="JTQ6" s="1962"/>
      <c r="JTR6" s="1962"/>
      <c r="JTS6" s="1962"/>
      <c r="JTT6" s="1962"/>
      <c r="JTU6" s="1962"/>
      <c r="JTV6" s="1962"/>
      <c r="JTW6" s="1962"/>
      <c r="JTX6" s="1962"/>
      <c r="JTY6" s="1962"/>
      <c r="JTZ6" s="1962"/>
      <c r="JUA6" s="1962"/>
      <c r="JUB6" s="1962"/>
      <c r="JUC6" s="1962"/>
      <c r="JUD6" s="1962"/>
      <c r="JUE6" s="1962"/>
      <c r="JUF6" s="1962"/>
      <c r="JUG6" s="1962"/>
      <c r="JUH6" s="1962"/>
      <c r="JUI6" s="1962"/>
      <c r="JUJ6" s="1962"/>
      <c r="JUK6" s="1962"/>
      <c r="JUL6" s="1962"/>
      <c r="JUM6" s="1962"/>
      <c r="JUN6" s="1962"/>
      <c r="JUO6" s="1962"/>
      <c r="JUP6" s="1962"/>
      <c r="JUQ6" s="1962"/>
      <c r="JUR6" s="1962"/>
      <c r="JUS6" s="1962"/>
      <c r="JUT6" s="1962"/>
      <c r="JUU6" s="1962"/>
      <c r="JUV6" s="1962"/>
      <c r="JUW6" s="1962"/>
      <c r="JUX6" s="1962"/>
      <c r="JUY6" s="1962"/>
      <c r="JUZ6" s="1962"/>
      <c r="JVA6" s="1962"/>
      <c r="JVB6" s="1962"/>
      <c r="JVC6" s="1962"/>
      <c r="JVD6" s="1962"/>
      <c r="JVE6" s="1962"/>
      <c r="JVF6" s="1962"/>
      <c r="JVG6" s="1962"/>
      <c r="JVH6" s="1962"/>
      <c r="JVI6" s="1962"/>
      <c r="JVJ6" s="1962"/>
      <c r="JVK6" s="1962"/>
      <c r="JVL6" s="1962"/>
      <c r="JVM6" s="1962"/>
      <c r="JVN6" s="1962"/>
      <c r="JVO6" s="1962"/>
      <c r="JVP6" s="1962"/>
      <c r="JVQ6" s="1962"/>
      <c r="JVR6" s="1962"/>
      <c r="JVS6" s="1962"/>
      <c r="JVT6" s="1962"/>
      <c r="JVU6" s="1962"/>
      <c r="JVV6" s="1962"/>
      <c r="JVW6" s="1962"/>
      <c r="JVX6" s="1962"/>
      <c r="JVY6" s="1962"/>
      <c r="JVZ6" s="1962"/>
      <c r="JWA6" s="1962"/>
      <c r="JWB6" s="1962"/>
      <c r="JWC6" s="1962"/>
      <c r="JWD6" s="1962"/>
      <c r="JWE6" s="1962"/>
      <c r="JWF6" s="1962"/>
      <c r="JWG6" s="1962"/>
      <c r="JWH6" s="1962"/>
      <c r="JWI6" s="1962"/>
      <c r="JWJ6" s="1962"/>
      <c r="JWK6" s="1962"/>
      <c r="JWL6" s="1962"/>
      <c r="JWM6" s="1962"/>
      <c r="JWN6" s="1962"/>
      <c r="JWO6" s="1962"/>
      <c r="JWP6" s="1962"/>
      <c r="JWQ6" s="1962"/>
      <c r="JWR6" s="1962"/>
      <c r="JWS6" s="1962"/>
      <c r="JWT6" s="1962"/>
      <c r="JWU6" s="1962"/>
      <c r="JWV6" s="1962"/>
      <c r="JWW6" s="1962"/>
      <c r="JWX6" s="1962"/>
      <c r="JWY6" s="1962"/>
      <c r="JWZ6" s="1962"/>
      <c r="JXA6" s="1962"/>
      <c r="JXB6" s="1962"/>
      <c r="JXC6" s="1962"/>
      <c r="JXD6" s="1962"/>
      <c r="JXE6" s="1962"/>
      <c r="JXF6" s="1962"/>
      <c r="JXG6" s="1962"/>
      <c r="JXH6" s="1962"/>
      <c r="JXI6" s="1962"/>
      <c r="JXJ6" s="1962"/>
      <c r="JXK6" s="1962"/>
      <c r="JXL6" s="1962"/>
      <c r="JXM6" s="1962"/>
      <c r="JXN6" s="1962"/>
      <c r="JXO6" s="1962"/>
      <c r="JXP6" s="1962"/>
      <c r="JXQ6" s="1962"/>
      <c r="JXR6" s="1962"/>
      <c r="JXS6" s="1962"/>
      <c r="JXT6" s="1962"/>
      <c r="JXU6" s="1962"/>
      <c r="JXV6" s="1962"/>
      <c r="JXW6" s="1962"/>
      <c r="JXX6" s="1962"/>
      <c r="JXY6" s="1962"/>
      <c r="JXZ6" s="1962"/>
      <c r="JYA6" s="1962"/>
      <c r="JYB6" s="1962"/>
      <c r="JYC6" s="1962"/>
      <c r="JYD6" s="1962"/>
      <c r="JYE6" s="1962"/>
      <c r="JYF6" s="1962"/>
      <c r="JYG6" s="1962"/>
      <c r="JYH6" s="1962"/>
      <c r="JYI6" s="1962"/>
      <c r="JYJ6" s="1962"/>
      <c r="JYK6" s="1962"/>
      <c r="JYL6" s="1962"/>
      <c r="JYM6" s="1962"/>
      <c r="JYN6" s="1962"/>
      <c r="JYO6" s="1962"/>
      <c r="JYP6" s="1962"/>
      <c r="JYQ6" s="1962"/>
      <c r="JYR6" s="1962"/>
      <c r="JYS6" s="1962"/>
      <c r="JYT6" s="1962"/>
      <c r="JYU6" s="1962"/>
      <c r="JYV6" s="1962"/>
      <c r="JYW6" s="1962"/>
      <c r="JYX6" s="1962"/>
      <c r="JYY6" s="1962"/>
      <c r="JYZ6" s="1962"/>
      <c r="JZA6" s="1962"/>
      <c r="JZB6" s="1962"/>
      <c r="JZC6" s="1962"/>
      <c r="JZD6" s="1962"/>
      <c r="JZE6" s="1962"/>
      <c r="JZF6" s="1962"/>
      <c r="JZG6" s="1962"/>
      <c r="JZH6" s="1962"/>
      <c r="JZI6" s="1962"/>
      <c r="JZJ6" s="1962"/>
      <c r="JZK6" s="1962"/>
      <c r="JZL6" s="1962"/>
      <c r="JZM6" s="1962"/>
      <c r="JZN6" s="1962"/>
      <c r="JZO6" s="1962"/>
      <c r="JZP6" s="1962"/>
      <c r="JZQ6" s="1962"/>
      <c r="JZR6" s="1962"/>
      <c r="JZS6" s="1962"/>
      <c r="JZT6" s="1962"/>
      <c r="JZU6" s="1962"/>
      <c r="JZV6" s="1962"/>
      <c r="JZW6" s="1962"/>
      <c r="JZX6" s="1962"/>
      <c r="JZY6" s="1962"/>
      <c r="JZZ6" s="1962"/>
      <c r="KAA6" s="1962"/>
      <c r="KAB6" s="1962"/>
      <c r="KAC6" s="1962"/>
      <c r="KAD6" s="1962"/>
      <c r="KAE6" s="1962"/>
      <c r="KAF6" s="1962"/>
      <c r="KAG6" s="1962"/>
      <c r="KAH6" s="1962"/>
      <c r="KAI6" s="1962"/>
      <c r="KAJ6" s="1962"/>
      <c r="KAK6" s="1962"/>
      <c r="KAL6" s="1962"/>
      <c r="KAM6" s="1962"/>
      <c r="KAN6" s="1962"/>
      <c r="KAO6" s="1962"/>
      <c r="KAP6" s="1962"/>
      <c r="KAQ6" s="1962"/>
      <c r="KAR6" s="1962"/>
      <c r="KAS6" s="1962"/>
      <c r="KAT6" s="1962"/>
      <c r="KAU6" s="1962"/>
      <c r="KAV6" s="1962"/>
      <c r="KAW6" s="1962"/>
      <c r="KAX6" s="1962"/>
      <c r="KAY6" s="1962"/>
      <c r="KAZ6" s="1962"/>
      <c r="KBA6" s="1962"/>
      <c r="KBB6" s="1962"/>
      <c r="KBC6" s="1962"/>
      <c r="KBD6" s="1962"/>
      <c r="KBE6" s="1962"/>
      <c r="KBF6" s="1962"/>
      <c r="KBG6" s="1962"/>
      <c r="KBH6" s="1962"/>
      <c r="KBI6" s="1962"/>
      <c r="KBJ6" s="1962"/>
      <c r="KBK6" s="1962"/>
      <c r="KBL6" s="1962"/>
      <c r="KBM6" s="1962"/>
      <c r="KBN6" s="1962"/>
      <c r="KBO6" s="1962"/>
      <c r="KBP6" s="1962"/>
      <c r="KBQ6" s="1962"/>
      <c r="KBR6" s="1962"/>
      <c r="KBS6" s="1962"/>
      <c r="KBT6" s="1962"/>
      <c r="KBU6" s="1962"/>
      <c r="KBV6" s="1962"/>
      <c r="KBW6" s="1962"/>
      <c r="KBX6" s="1962"/>
      <c r="KBY6" s="1962"/>
      <c r="KBZ6" s="1962"/>
      <c r="KCA6" s="1962"/>
      <c r="KCB6" s="1962"/>
      <c r="KCC6" s="1962"/>
      <c r="KCD6" s="1962"/>
      <c r="KCE6" s="1962"/>
      <c r="KCF6" s="1962"/>
      <c r="KCG6" s="1962"/>
      <c r="KCH6" s="1962"/>
      <c r="KCI6" s="1962"/>
      <c r="KCJ6" s="1962"/>
      <c r="KCK6" s="1962"/>
      <c r="KCL6" s="1962"/>
      <c r="KCM6" s="1962"/>
      <c r="KCN6" s="1962"/>
      <c r="KCO6" s="1962"/>
      <c r="KCP6" s="1962"/>
      <c r="KCQ6" s="1962"/>
      <c r="KCR6" s="1962"/>
      <c r="KCS6" s="1962"/>
      <c r="KCT6" s="1962"/>
      <c r="KCU6" s="1962"/>
      <c r="KCV6" s="1962"/>
      <c r="KCW6" s="1962"/>
      <c r="KCX6" s="1962"/>
      <c r="KCY6" s="1962"/>
      <c r="KCZ6" s="1962"/>
      <c r="KDA6" s="1962"/>
      <c r="KDB6" s="1962"/>
      <c r="KDC6" s="1962"/>
      <c r="KDD6" s="1962"/>
      <c r="KDE6" s="1962"/>
      <c r="KDF6" s="1962"/>
      <c r="KDG6" s="1962"/>
      <c r="KDH6" s="1962"/>
      <c r="KDI6" s="1962"/>
      <c r="KDJ6" s="1962"/>
      <c r="KDK6" s="1962"/>
      <c r="KDL6" s="1962"/>
      <c r="KDM6" s="1962"/>
      <c r="KDN6" s="1962"/>
      <c r="KDO6" s="1962"/>
      <c r="KDP6" s="1962"/>
      <c r="KDQ6" s="1962"/>
      <c r="KDR6" s="1962"/>
      <c r="KDS6" s="1962"/>
      <c r="KDT6" s="1962"/>
      <c r="KDU6" s="1962"/>
      <c r="KDV6" s="1962"/>
      <c r="KDW6" s="1962"/>
      <c r="KDX6" s="1962"/>
      <c r="KDY6" s="1962"/>
      <c r="KDZ6" s="1962"/>
      <c r="KEA6" s="1962"/>
      <c r="KEB6" s="1962"/>
      <c r="KEC6" s="1962"/>
      <c r="KED6" s="1962"/>
      <c r="KEE6" s="1962"/>
      <c r="KEF6" s="1962"/>
      <c r="KEG6" s="1962"/>
      <c r="KEH6" s="1962"/>
      <c r="KEI6" s="1962"/>
      <c r="KEJ6" s="1962"/>
      <c r="KEK6" s="1962"/>
      <c r="KEL6" s="1962"/>
      <c r="KEM6" s="1962"/>
      <c r="KEN6" s="1962"/>
      <c r="KEO6" s="1962"/>
      <c r="KEP6" s="1962"/>
      <c r="KEQ6" s="1962"/>
      <c r="KER6" s="1962"/>
      <c r="KES6" s="1962"/>
      <c r="KET6" s="1962"/>
      <c r="KEU6" s="1962"/>
      <c r="KEV6" s="1962"/>
      <c r="KEW6" s="1962"/>
      <c r="KEX6" s="1962"/>
      <c r="KEY6" s="1962"/>
      <c r="KEZ6" s="1962"/>
      <c r="KFA6" s="1962"/>
      <c r="KFB6" s="1962"/>
      <c r="KFC6" s="1962"/>
      <c r="KFD6" s="1962"/>
      <c r="KFE6" s="1962"/>
      <c r="KFF6" s="1962"/>
      <c r="KFG6" s="1962"/>
      <c r="KFH6" s="1962"/>
      <c r="KFI6" s="1962"/>
      <c r="KFJ6" s="1962"/>
      <c r="KFK6" s="1962"/>
      <c r="KFL6" s="1962"/>
      <c r="KFM6" s="1962"/>
      <c r="KFN6" s="1962"/>
      <c r="KFO6" s="1962"/>
      <c r="KFP6" s="1962"/>
      <c r="KFQ6" s="1962"/>
      <c r="KFR6" s="1962"/>
      <c r="KFS6" s="1962"/>
      <c r="KFT6" s="1962"/>
      <c r="KFU6" s="1962"/>
      <c r="KFV6" s="1962"/>
      <c r="KFW6" s="1962"/>
      <c r="KFX6" s="1962"/>
      <c r="KFY6" s="1962"/>
      <c r="KFZ6" s="1962"/>
      <c r="KGA6" s="1962"/>
      <c r="KGB6" s="1962"/>
      <c r="KGC6" s="1962"/>
      <c r="KGD6" s="1962"/>
      <c r="KGE6" s="1962"/>
      <c r="KGF6" s="1962"/>
      <c r="KGG6" s="1962"/>
      <c r="KGH6" s="1962"/>
      <c r="KGI6" s="1962"/>
      <c r="KGJ6" s="1962"/>
      <c r="KGK6" s="1962"/>
      <c r="KGL6" s="1962"/>
      <c r="KGM6" s="1962"/>
      <c r="KGN6" s="1962"/>
      <c r="KGO6" s="1962"/>
      <c r="KGP6" s="1962"/>
      <c r="KGQ6" s="1962"/>
      <c r="KGR6" s="1962"/>
      <c r="KGS6" s="1962"/>
      <c r="KGT6" s="1962"/>
      <c r="KGU6" s="1962"/>
      <c r="KGV6" s="1962"/>
      <c r="KGW6" s="1962"/>
      <c r="KGX6" s="1962"/>
      <c r="KGY6" s="1962"/>
      <c r="KGZ6" s="1962"/>
      <c r="KHA6" s="1962"/>
      <c r="KHB6" s="1962"/>
      <c r="KHC6" s="1962"/>
      <c r="KHD6" s="1962"/>
      <c r="KHE6" s="1962"/>
      <c r="KHF6" s="1962"/>
      <c r="KHG6" s="1962"/>
      <c r="KHH6" s="1962"/>
      <c r="KHI6" s="1962"/>
      <c r="KHJ6" s="1962"/>
      <c r="KHK6" s="1962"/>
      <c r="KHL6" s="1962"/>
      <c r="KHM6" s="1962"/>
      <c r="KHN6" s="1962"/>
      <c r="KHO6" s="1962"/>
      <c r="KHP6" s="1962"/>
      <c r="KHQ6" s="1962"/>
      <c r="KHR6" s="1962"/>
      <c r="KHS6" s="1962"/>
      <c r="KHT6" s="1962"/>
      <c r="KHU6" s="1962"/>
      <c r="KHV6" s="1962"/>
      <c r="KHW6" s="1962"/>
      <c r="KHX6" s="1962"/>
      <c r="KHY6" s="1962"/>
      <c r="KHZ6" s="1962"/>
      <c r="KIA6" s="1962"/>
      <c r="KIB6" s="1962"/>
      <c r="KIC6" s="1962"/>
      <c r="KID6" s="1962"/>
      <c r="KIE6" s="1962"/>
      <c r="KIF6" s="1962"/>
      <c r="KIG6" s="1962"/>
      <c r="KIH6" s="1962"/>
      <c r="KII6" s="1962"/>
      <c r="KIJ6" s="1962"/>
      <c r="KIK6" s="1962"/>
      <c r="KIL6" s="1962"/>
      <c r="KIM6" s="1962"/>
      <c r="KIN6" s="1962"/>
      <c r="KIO6" s="1962"/>
      <c r="KIP6" s="1962"/>
      <c r="KIQ6" s="1962"/>
      <c r="KIR6" s="1962"/>
      <c r="KIS6" s="1962"/>
      <c r="KIT6" s="1962"/>
      <c r="KIU6" s="1962"/>
      <c r="KIV6" s="1962"/>
      <c r="KIW6" s="1962"/>
      <c r="KIX6" s="1962"/>
      <c r="KIY6" s="1962"/>
      <c r="KIZ6" s="1962"/>
      <c r="KJA6" s="1962"/>
      <c r="KJB6" s="1962"/>
      <c r="KJC6" s="1962"/>
      <c r="KJD6" s="1962"/>
      <c r="KJE6" s="1962"/>
      <c r="KJF6" s="1962"/>
      <c r="KJG6" s="1962"/>
      <c r="KJH6" s="1962"/>
      <c r="KJI6" s="1962"/>
      <c r="KJJ6" s="1962"/>
      <c r="KJK6" s="1962"/>
      <c r="KJL6" s="1962"/>
      <c r="KJM6" s="1962"/>
      <c r="KJN6" s="1962"/>
      <c r="KJO6" s="1962"/>
      <c r="KJP6" s="1962"/>
      <c r="KJQ6" s="1962"/>
      <c r="KJR6" s="1962"/>
      <c r="KJS6" s="1962"/>
      <c r="KJT6" s="1962"/>
      <c r="KJU6" s="1962"/>
      <c r="KJV6" s="1962"/>
      <c r="KJW6" s="1962"/>
      <c r="KJX6" s="1962"/>
      <c r="KJY6" s="1962"/>
      <c r="KJZ6" s="1962"/>
      <c r="KKA6" s="1962"/>
      <c r="KKB6" s="1962"/>
      <c r="KKC6" s="1962"/>
      <c r="KKD6" s="1962"/>
      <c r="KKE6" s="1962"/>
      <c r="KKF6" s="1962"/>
      <c r="KKG6" s="1962"/>
      <c r="KKH6" s="1962"/>
      <c r="KKI6" s="1962"/>
      <c r="KKJ6" s="1962"/>
      <c r="KKK6" s="1962"/>
      <c r="KKL6" s="1962"/>
      <c r="KKM6" s="1962"/>
      <c r="KKN6" s="1962"/>
      <c r="KKO6" s="1962"/>
      <c r="KKP6" s="1962"/>
      <c r="KKQ6" s="1962"/>
      <c r="KKR6" s="1962"/>
      <c r="KKS6" s="1962"/>
      <c r="KKT6" s="1962"/>
      <c r="KKU6" s="1962"/>
      <c r="KKV6" s="1962"/>
      <c r="KKW6" s="1962"/>
      <c r="KKX6" s="1962"/>
      <c r="KKY6" s="1962"/>
      <c r="KKZ6" s="1962"/>
      <c r="KLA6" s="1962"/>
      <c r="KLB6" s="1962"/>
      <c r="KLC6" s="1962"/>
      <c r="KLD6" s="1962"/>
      <c r="KLE6" s="1962"/>
      <c r="KLF6" s="1962"/>
      <c r="KLG6" s="1962"/>
      <c r="KLH6" s="1962"/>
      <c r="KLI6" s="1962"/>
      <c r="KLJ6" s="1962"/>
      <c r="KLK6" s="1962"/>
      <c r="KLL6" s="1962"/>
      <c r="KLM6" s="1962"/>
      <c r="KLN6" s="1962"/>
      <c r="KLO6" s="1962"/>
      <c r="KLP6" s="1962"/>
      <c r="KLQ6" s="1962"/>
      <c r="KLR6" s="1962"/>
      <c r="KLS6" s="1962"/>
      <c r="KLT6" s="1962"/>
      <c r="KLU6" s="1962"/>
      <c r="KLV6" s="1962"/>
      <c r="KLW6" s="1962"/>
      <c r="KLX6" s="1962"/>
      <c r="KLY6" s="1962"/>
      <c r="KLZ6" s="1962"/>
      <c r="KMA6" s="1962"/>
      <c r="KMB6" s="1962"/>
      <c r="KMC6" s="1962"/>
      <c r="KMD6" s="1962"/>
      <c r="KME6" s="1962"/>
      <c r="KMF6" s="1962"/>
      <c r="KMG6" s="1962"/>
      <c r="KMH6" s="1962"/>
      <c r="KMI6" s="1962"/>
      <c r="KMJ6" s="1962"/>
      <c r="KMK6" s="1962"/>
      <c r="KML6" s="1962"/>
      <c r="KMM6" s="1962"/>
      <c r="KMN6" s="1962"/>
      <c r="KMO6" s="1962"/>
      <c r="KMP6" s="1962"/>
      <c r="KMQ6" s="1962"/>
      <c r="KMR6" s="1962"/>
      <c r="KMS6" s="1962"/>
      <c r="KMT6" s="1962"/>
      <c r="KMU6" s="1962"/>
      <c r="KMV6" s="1962"/>
      <c r="KMW6" s="1962"/>
      <c r="KMX6" s="1962"/>
      <c r="KMY6" s="1962"/>
      <c r="KMZ6" s="1962"/>
      <c r="KNA6" s="1962"/>
      <c r="KNB6" s="1962"/>
      <c r="KNC6" s="1962"/>
      <c r="KND6" s="1962"/>
      <c r="KNE6" s="1962"/>
      <c r="KNF6" s="1962"/>
      <c r="KNG6" s="1962"/>
      <c r="KNH6" s="1962"/>
      <c r="KNI6" s="1962"/>
      <c r="KNJ6" s="1962"/>
      <c r="KNK6" s="1962"/>
      <c r="KNL6" s="1962"/>
      <c r="KNM6" s="1962"/>
      <c r="KNN6" s="1962"/>
      <c r="KNO6" s="1962"/>
      <c r="KNP6" s="1962"/>
      <c r="KNQ6" s="1962"/>
      <c r="KNR6" s="1962"/>
      <c r="KNS6" s="1962"/>
      <c r="KNT6" s="1962"/>
      <c r="KNU6" s="1962"/>
      <c r="KNV6" s="1962"/>
      <c r="KNW6" s="1962"/>
      <c r="KNX6" s="1962"/>
      <c r="KNY6" s="1962"/>
      <c r="KNZ6" s="1962"/>
      <c r="KOA6" s="1962"/>
      <c r="KOB6" s="1962"/>
      <c r="KOC6" s="1962"/>
      <c r="KOD6" s="1962"/>
      <c r="KOE6" s="1962"/>
      <c r="KOF6" s="1962"/>
      <c r="KOG6" s="1962"/>
      <c r="KOH6" s="1962"/>
      <c r="KOI6" s="1962"/>
      <c r="KOJ6" s="1962"/>
      <c r="KOK6" s="1962"/>
      <c r="KOL6" s="1962"/>
      <c r="KOM6" s="1962"/>
      <c r="KON6" s="1962"/>
      <c r="KOO6" s="1962"/>
      <c r="KOP6" s="1962"/>
      <c r="KOQ6" s="1962"/>
      <c r="KOR6" s="1962"/>
      <c r="KOS6" s="1962"/>
      <c r="KOT6" s="1962"/>
      <c r="KOU6" s="1962"/>
      <c r="KOV6" s="1962"/>
      <c r="KOW6" s="1962"/>
      <c r="KOX6" s="1962"/>
      <c r="KOY6" s="1962"/>
      <c r="KOZ6" s="1962"/>
      <c r="KPA6" s="1962"/>
      <c r="KPB6" s="1962"/>
      <c r="KPC6" s="1962"/>
      <c r="KPD6" s="1962"/>
      <c r="KPE6" s="1962"/>
      <c r="KPF6" s="1962"/>
      <c r="KPG6" s="1962"/>
      <c r="KPH6" s="1962"/>
      <c r="KPI6" s="1962"/>
      <c r="KPJ6" s="1962"/>
      <c r="KPK6" s="1962"/>
      <c r="KPL6" s="1962"/>
      <c r="KPM6" s="1962"/>
      <c r="KPN6" s="1962"/>
      <c r="KPO6" s="1962"/>
      <c r="KPP6" s="1962"/>
      <c r="KPQ6" s="1962"/>
      <c r="KPR6" s="1962"/>
      <c r="KPS6" s="1962"/>
      <c r="KPT6" s="1962"/>
      <c r="KPU6" s="1962"/>
      <c r="KPV6" s="1962"/>
      <c r="KPW6" s="1962"/>
      <c r="KPX6" s="1962"/>
      <c r="KPY6" s="1962"/>
      <c r="KPZ6" s="1962"/>
      <c r="KQA6" s="1962"/>
      <c r="KQB6" s="1962"/>
      <c r="KQC6" s="1962"/>
      <c r="KQD6" s="1962"/>
      <c r="KQE6" s="1962"/>
      <c r="KQF6" s="1962"/>
      <c r="KQG6" s="1962"/>
      <c r="KQH6" s="1962"/>
      <c r="KQI6" s="1962"/>
      <c r="KQJ6" s="1962"/>
      <c r="KQK6" s="1962"/>
      <c r="KQL6" s="1962"/>
      <c r="KQM6" s="1962"/>
      <c r="KQN6" s="1962"/>
      <c r="KQO6" s="1962"/>
      <c r="KQP6" s="1962"/>
      <c r="KQQ6" s="1962"/>
      <c r="KQR6" s="1962"/>
      <c r="KQS6" s="1962"/>
      <c r="KQT6" s="1962"/>
      <c r="KQU6" s="1962"/>
      <c r="KQV6" s="1962"/>
      <c r="KQW6" s="1962"/>
      <c r="KQX6" s="1962"/>
      <c r="KQY6" s="1962"/>
      <c r="KQZ6" s="1962"/>
      <c r="KRA6" s="1962"/>
      <c r="KRB6" s="1962"/>
      <c r="KRC6" s="1962"/>
      <c r="KRD6" s="1962"/>
      <c r="KRE6" s="1962"/>
      <c r="KRF6" s="1962"/>
      <c r="KRG6" s="1962"/>
      <c r="KRH6" s="1962"/>
      <c r="KRI6" s="1962"/>
      <c r="KRJ6" s="1962"/>
      <c r="KRK6" s="1962"/>
      <c r="KRL6" s="1962"/>
      <c r="KRM6" s="1962"/>
      <c r="KRN6" s="1962"/>
      <c r="KRO6" s="1962"/>
      <c r="KRP6" s="1962"/>
      <c r="KRQ6" s="1962"/>
      <c r="KRR6" s="1962"/>
      <c r="KRS6" s="1962"/>
      <c r="KRT6" s="1962"/>
      <c r="KRU6" s="1962"/>
      <c r="KRV6" s="1962"/>
      <c r="KRW6" s="1962"/>
      <c r="KRX6" s="1962"/>
      <c r="KRY6" s="1962"/>
      <c r="KRZ6" s="1962"/>
      <c r="KSA6" s="1962"/>
      <c r="KSB6" s="1962"/>
      <c r="KSC6" s="1962"/>
      <c r="KSD6" s="1962"/>
      <c r="KSE6" s="1962"/>
      <c r="KSF6" s="1962"/>
      <c r="KSG6" s="1962"/>
      <c r="KSH6" s="1962"/>
      <c r="KSI6" s="1962"/>
      <c r="KSJ6" s="1962"/>
      <c r="KSK6" s="1962"/>
      <c r="KSL6" s="1962"/>
      <c r="KSM6" s="1962"/>
      <c r="KSN6" s="1962"/>
      <c r="KSO6" s="1962"/>
      <c r="KSP6" s="1962"/>
      <c r="KSQ6" s="1962"/>
      <c r="KSR6" s="1962"/>
      <c r="KSS6" s="1962"/>
      <c r="KST6" s="1962"/>
      <c r="KSU6" s="1962"/>
      <c r="KSV6" s="1962"/>
      <c r="KSW6" s="1962"/>
      <c r="KSX6" s="1962"/>
      <c r="KSY6" s="1962"/>
      <c r="KSZ6" s="1962"/>
      <c r="KTA6" s="1962"/>
      <c r="KTB6" s="1962"/>
      <c r="KTC6" s="1962"/>
      <c r="KTD6" s="1962"/>
      <c r="KTE6" s="1962"/>
      <c r="KTF6" s="1962"/>
      <c r="KTG6" s="1962"/>
      <c r="KTH6" s="1962"/>
      <c r="KTI6" s="1962"/>
      <c r="KTJ6" s="1962"/>
      <c r="KTK6" s="1962"/>
      <c r="KTL6" s="1962"/>
      <c r="KTM6" s="1962"/>
      <c r="KTN6" s="1962"/>
      <c r="KTO6" s="1962"/>
      <c r="KTP6" s="1962"/>
      <c r="KTQ6" s="1962"/>
      <c r="KTR6" s="1962"/>
      <c r="KTS6" s="1962"/>
      <c r="KTT6" s="1962"/>
      <c r="KTU6" s="1962"/>
      <c r="KTV6" s="1962"/>
      <c r="KTW6" s="1962"/>
      <c r="KTX6" s="1962"/>
      <c r="KTY6" s="1962"/>
      <c r="KTZ6" s="1962"/>
      <c r="KUA6" s="1962"/>
      <c r="KUB6" s="1962"/>
      <c r="KUC6" s="1962"/>
      <c r="KUD6" s="1962"/>
      <c r="KUE6" s="1962"/>
      <c r="KUF6" s="1962"/>
      <c r="KUG6" s="1962"/>
      <c r="KUH6" s="1962"/>
      <c r="KUI6" s="1962"/>
      <c r="KUJ6" s="1962"/>
      <c r="KUK6" s="1962"/>
      <c r="KUL6" s="1962"/>
      <c r="KUM6" s="1962"/>
      <c r="KUN6" s="1962"/>
      <c r="KUO6" s="1962"/>
      <c r="KUP6" s="1962"/>
      <c r="KUQ6" s="1962"/>
      <c r="KUR6" s="1962"/>
      <c r="KUS6" s="1962"/>
      <c r="KUT6" s="1962"/>
      <c r="KUU6" s="1962"/>
      <c r="KUV6" s="1962"/>
      <c r="KUW6" s="1962"/>
      <c r="KUX6" s="1962"/>
      <c r="KUY6" s="1962"/>
      <c r="KUZ6" s="1962"/>
      <c r="KVA6" s="1962"/>
      <c r="KVB6" s="1962"/>
      <c r="KVC6" s="1962"/>
      <c r="KVD6" s="1962"/>
      <c r="KVE6" s="1962"/>
      <c r="KVF6" s="1962"/>
      <c r="KVG6" s="1962"/>
      <c r="KVH6" s="1962"/>
      <c r="KVI6" s="1962"/>
      <c r="KVJ6" s="1962"/>
      <c r="KVK6" s="1962"/>
      <c r="KVL6" s="1962"/>
      <c r="KVM6" s="1962"/>
      <c r="KVN6" s="1962"/>
      <c r="KVO6" s="1962"/>
      <c r="KVP6" s="1962"/>
      <c r="KVQ6" s="1962"/>
      <c r="KVR6" s="1962"/>
      <c r="KVS6" s="1962"/>
      <c r="KVT6" s="1962"/>
      <c r="KVU6" s="1962"/>
      <c r="KVV6" s="1962"/>
      <c r="KVW6" s="1962"/>
      <c r="KVX6" s="1962"/>
      <c r="KVY6" s="1962"/>
      <c r="KVZ6" s="1962"/>
      <c r="KWA6" s="1962"/>
      <c r="KWB6" s="1962"/>
      <c r="KWC6" s="1962"/>
      <c r="KWD6" s="1962"/>
      <c r="KWE6" s="1962"/>
      <c r="KWF6" s="1962"/>
      <c r="KWG6" s="1962"/>
      <c r="KWH6" s="1962"/>
      <c r="KWI6" s="1962"/>
      <c r="KWJ6" s="1962"/>
      <c r="KWK6" s="1962"/>
      <c r="KWL6" s="1962"/>
      <c r="KWM6" s="1962"/>
      <c r="KWN6" s="1962"/>
      <c r="KWO6" s="1962"/>
      <c r="KWP6" s="1962"/>
      <c r="KWQ6" s="1962"/>
      <c r="KWR6" s="1962"/>
      <c r="KWS6" s="1962"/>
      <c r="KWT6" s="1962"/>
      <c r="KWU6" s="1962"/>
      <c r="KWV6" s="1962"/>
      <c r="KWW6" s="1962"/>
      <c r="KWX6" s="1962"/>
      <c r="KWY6" s="1962"/>
      <c r="KWZ6" s="1962"/>
      <c r="KXA6" s="1962"/>
      <c r="KXB6" s="1962"/>
      <c r="KXC6" s="1962"/>
      <c r="KXD6" s="1962"/>
      <c r="KXE6" s="1962"/>
      <c r="KXF6" s="1962"/>
      <c r="KXG6" s="1962"/>
      <c r="KXH6" s="1962"/>
      <c r="KXI6" s="1962"/>
      <c r="KXJ6" s="1962"/>
      <c r="KXK6" s="1962"/>
      <c r="KXL6" s="1962"/>
      <c r="KXM6" s="1962"/>
      <c r="KXN6" s="1962"/>
      <c r="KXO6" s="1962"/>
      <c r="KXP6" s="1962"/>
      <c r="KXQ6" s="1962"/>
      <c r="KXR6" s="1962"/>
      <c r="KXS6" s="1962"/>
      <c r="KXT6" s="1962"/>
      <c r="KXU6" s="1962"/>
      <c r="KXV6" s="1962"/>
      <c r="KXW6" s="1962"/>
      <c r="KXX6" s="1962"/>
      <c r="KXY6" s="1962"/>
      <c r="KXZ6" s="1962"/>
      <c r="KYA6" s="1962"/>
      <c r="KYB6" s="1962"/>
      <c r="KYC6" s="1962"/>
      <c r="KYD6" s="1962"/>
      <c r="KYE6" s="1962"/>
      <c r="KYF6" s="1962"/>
      <c r="KYG6" s="1962"/>
      <c r="KYH6" s="1962"/>
      <c r="KYI6" s="1962"/>
      <c r="KYJ6" s="1962"/>
      <c r="KYK6" s="1962"/>
      <c r="KYL6" s="1962"/>
      <c r="KYM6" s="1962"/>
      <c r="KYN6" s="1962"/>
      <c r="KYO6" s="1962"/>
      <c r="KYP6" s="1962"/>
      <c r="KYQ6" s="1962"/>
      <c r="KYR6" s="1962"/>
      <c r="KYS6" s="1962"/>
      <c r="KYT6" s="1962"/>
      <c r="KYU6" s="1962"/>
      <c r="KYV6" s="1962"/>
      <c r="KYW6" s="1962"/>
      <c r="KYX6" s="1962"/>
      <c r="KYY6" s="1962"/>
      <c r="KYZ6" s="1962"/>
      <c r="KZA6" s="1962"/>
      <c r="KZB6" s="1962"/>
      <c r="KZC6" s="1962"/>
      <c r="KZD6" s="1962"/>
      <c r="KZE6" s="1962"/>
      <c r="KZF6" s="1962"/>
      <c r="KZG6" s="1962"/>
      <c r="KZH6" s="1962"/>
      <c r="KZI6" s="1962"/>
      <c r="KZJ6" s="1962"/>
      <c r="KZK6" s="1962"/>
      <c r="KZL6" s="1962"/>
      <c r="KZM6" s="1962"/>
      <c r="KZN6" s="1962"/>
      <c r="KZO6" s="1962"/>
      <c r="KZP6" s="1962"/>
      <c r="KZQ6" s="1962"/>
      <c r="KZR6" s="1962"/>
      <c r="KZS6" s="1962"/>
      <c r="KZT6" s="1962"/>
      <c r="KZU6" s="1962"/>
      <c r="KZV6" s="1962"/>
      <c r="KZW6" s="1962"/>
      <c r="KZX6" s="1962"/>
      <c r="KZY6" s="1962"/>
      <c r="KZZ6" s="1962"/>
      <c r="LAA6" s="1962"/>
      <c r="LAB6" s="1962"/>
      <c r="LAC6" s="1962"/>
      <c r="LAD6" s="1962"/>
      <c r="LAE6" s="1962"/>
      <c r="LAF6" s="1962"/>
      <c r="LAG6" s="1962"/>
      <c r="LAH6" s="1962"/>
      <c r="LAI6" s="1962"/>
      <c r="LAJ6" s="1962"/>
      <c r="LAK6" s="1962"/>
      <c r="LAL6" s="1962"/>
      <c r="LAM6" s="1962"/>
      <c r="LAN6" s="1962"/>
      <c r="LAO6" s="1962"/>
      <c r="LAP6" s="1962"/>
      <c r="LAQ6" s="1962"/>
      <c r="LAR6" s="1962"/>
      <c r="LAS6" s="1962"/>
      <c r="LAT6" s="1962"/>
      <c r="LAU6" s="1962"/>
      <c r="LAV6" s="1962"/>
      <c r="LAW6" s="1962"/>
      <c r="LAX6" s="1962"/>
      <c r="LAY6" s="1962"/>
      <c r="LAZ6" s="1962"/>
      <c r="LBA6" s="1962"/>
      <c r="LBB6" s="1962"/>
      <c r="LBC6" s="1962"/>
      <c r="LBD6" s="1962"/>
      <c r="LBE6" s="1962"/>
      <c r="LBF6" s="1962"/>
      <c r="LBG6" s="1962"/>
      <c r="LBH6" s="1962"/>
      <c r="LBI6" s="1962"/>
      <c r="LBJ6" s="1962"/>
      <c r="LBK6" s="1962"/>
      <c r="LBL6" s="1962"/>
      <c r="LBM6" s="1962"/>
      <c r="LBN6" s="1962"/>
      <c r="LBO6" s="1962"/>
      <c r="LBP6" s="1962"/>
      <c r="LBQ6" s="1962"/>
      <c r="LBR6" s="1962"/>
      <c r="LBS6" s="1962"/>
      <c r="LBT6" s="1962"/>
      <c r="LBU6" s="1962"/>
      <c r="LBV6" s="1962"/>
      <c r="LBW6" s="1962"/>
      <c r="LBX6" s="1962"/>
      <c r="LBY6" s="1962"/>
      <c r="LBZ6" s="1962"/>
      <c r="LCA6" s="1962"/>
      <c r="LCB6" s="1962"/>
      <c r="LCC6" s="1962"/>
      <c r="LCD6" s="1962"/>
      <c r="LCE6" s="1962"/>
      <c r="LCF6" s="1962"/>
      <c r="LCG6" s="1962"/>
      <c r="LCH6" s="1962"/>
      <c r="LCI6" s="1962"/>
      <c r="LCJ6" s="1962"/>
      <c r="LCK6" s="1962"/>
      <c r="LCL6" s="1962"/>
      <c r="LCM6" s="1962"/>
      <c r="LCN6" s="1962"/>
      <c r="LCO6" s="1962"/>
      <c r="LCP6" s="1962"/>
      <c r="LCQ6" s="1962"/>
      <c r="LCR6" s="1962"/>
      <c r="LCS6" s="1962"/>
      <c r="LCT6" s="1962"/>
      <c r="LCU6" s="1962"/>
      <c r="LCV6" s="1962"/>
      <c r="LCW6" s="1962"/>
      <c r="LCX6" s="1962"/>
      <c r="LCY6" s="1962"/>
      <c r="LCZ6" s="1962"/>
      <c r="LDA6" s="1962"/>
      <c r="LDB6" s="1962"/>
      <c r="LDC6" s="1962"/>
      <c r="LDD6" s="1962"/>
      <c r="LDE6" s="1962"/>
      <c r="LDF6" s="1962"/>
      <c r="LDG6" s="1962"/>
      <c r="LDH6" s="1962"/>
      <c r="LDI6" s="1962"/>
      <c r="LDJ6" s="1962"/>
      <c r="LDK6" s="1962"/>
      <c r="LDL6" s="1962"/>
      <c r="LDM6" s="1962"/>
      <c r="LDN6" s="1962"/>
      <c r="LDO6" s="1962"/>
      <c r="LDP6" s="1962"/>
      <c r="LDQ6" s="1962"/>
      <c r="LDR6" s="1962"/>
      <c r="LDS6" s="1962"/>
      <c r="LDT6" s="1962"/>
      <c r="LDU6" s="1962"/>
      <c r="LDV6" s="1962"/>
      <c r="LDW6" s="1962"/>
      <c r="LDX6" s="1962"/>
      <c r="LDY6" s="1962"/>
      <c r="LDZ6" s="1962"/>
      <c r="LEA6" s="1962"/>
      <c r="LEB6" s="1962"/>
      <c r="LEC6" s="1962"/>
      <c r="LED6" s="1962"/>
      <c r="LEE6" s="1962"/>
      <c r="LEF6" s="1962"/>
      <c r="LEG6" s="1962"/>
      <c r="LEH6" s="1962"/>
      <c r="LEI6" s="1962"/>
      <c r="LEJ6" s="1962"/>
      <c r="LEK6" s="1962"/>
      <c r="LEL6" s="1962"/>
      <c r="LEM6" s="1962"/>
      <c r="LEN6" s="1962"/>
      <c r="LEO6" s="1962"/>
      <c r="LEP6" s="1962"/>
      <c r="LEQ6" s="1962"/>
      <c r="LER6" s="1962"/>
      <c r="LES6" s="1962"/>
      <c r="LET6" s="1962"/>
      <c r="LEU6" s="1962"/>
      <c r="LEV6" s="1962"/>
      <c r="LEW6" s="1962"/>
      <c r="LEX6" s="1962"/>
      <c r="LEY6" s="1962"/>
      <c r="LEZ6" s="1962"/>
      <c r="LFA6" s="1962"/>
      <c r="LFB6" s="1962"/>
      <c r="LFC6" s="1962"/>
      <c r="LFD6" s="1962"/>
      <c r="LFE6" s="1962"/>
      <c r="LFF6" s="1962"/>
      <c r="LFG6" s="1962"/>
      <c r="LFH6" s="1962"/>
      <c r="LFI6" s="1962"/>
      <c r="LFJ6" s="1962"/>
      <c r="LFK6" s="1962"/>
      <c r="LFL6" s="1962"/>
      <c r="LFM6" s="1962"/>
      <c r="LFN6" s="1962"/>
      <c r="LFO6" s="1962"/>
      <c r="LFP6" s="1962"/>
      <c r="LFQ6" s="1962"/>
      <c r="LFR6" s="1962"/>
      <c r="LFS6" s="1962"/>
      <c r="LFT6" s="1962"/>
      <c r="LFU6" s="1962"/>
      <c r="LFV6" s="1962"/>
      <c r="LFW6" s="1962"/>
      <c r="LFX6" s="1962"/>
      <c r="LFY6" s="1962"/>
      <c r="LFZ6" s="1962"/>
      <c r="LGA6" s="1962"/>
      <c r="LGB6" s="1962"/>
      <c r="LGC6" s="1962"/>
      <c r="LGD6" s="1962"/>
      <c r="LGE6" s="1962"/>
      <c r="LGF6" s="1962"/>
      <c r="LGG6" s="1962"/>
      <c r="LGH6" s="1962"/>
      <c r="LGI6" s="1962"/>
      <c r="LGJ6" s="1962"/>
      <c r="LGK6" s="1962"/>
      <c r="LGL6" s="1962"/>
      <c r="LGM6" s="1962"/>
      <c r="LGN6" s="1962"/>
      <c r="LGO6" s="1962"/>
      <c r="LGP6" s="1962"/>
      <c r="LGQ6" s="1962"/>
      <c r="LGR6" s="1962"/>
      <c r="LGS6" s="1962"/>
      <c r="LGT6" s="1962"/>
      <c r="LGU6" s="1962"/>
      <c r="LGV6" s="1962"/>
      <c r="LGW6" s="1962"/>
      <c r="LGX6" s="1962"/>
      <c r="LGY6" s="1962"/>
      <c r="LGZ6" s="1962"/>
      <c r="LHA6" s="1962"/>
      <c r="LHB6" s="1962"/>
      <c r="LHC6" s="1962"/>
      <c r="LHD6" s="1962"/>
      <c r="LHE6" s="1962"/>
      <c r="LHF6" s="1962"/>
      <c r="LHG6" s="1962"/>
      <c r="LHH6" s="1962"/>
      <c r="LHI6" s="1962"/>
      <c r="LHJ6" s="1962"/>
      <c r="LHK6" s="1962"/>
      <c r="LHL6" s="1962"/>
      <c r="LHM6" s="1962"/>
      <c r="LHN6" s="1962"/>
      <c r="LHO6" s="1962"/>
      <c r="LHP6" s="1962"/>
      <c r="LHQ6" s="1962"/>
      <c r="LHR6" s="1962"/>
      <c r="LHS6" s="1962"/>
      <c r="LHT6" s="1962"/>
      <c r="LHU6" s="1962"/>
      <c r="LHV6" s="1962"/>
      <c r="LHW6" s="1962"/>
      <c r="LHX6" s="1962"/>
      <c r="LHY6" s="1962"/>
      <c r="LHZ6" s="1962"/>
      <c r="LIA6" s="1962"/>
      <c r="LIB6" s="1962"/>
      <c r="LIC6" s="1962"/>
      <c r="LID6" s="1962"/>
      <c r="LIE6" s="1962"/>
      <c r="LIF6" s="1962"/>
      <c r="LIG6" s="1962"/>
      <c r="LIH6" s="1962"/>
      <c r="LII6" s="1962"/>
      <c r="LIJ6" s="1962"/>
      <c r="LIK6" s="1962"/>
      <c r="LIL6" s="1962"/>
      <c r="LIM6" s="1962"/>
      <c r="LIN6" s="1962"/>
      <c r="LIO6" s="1962"/>
      <c r="LIP6" s="1962"/>
      <c r="LIQ6" s="1962"/>
      <c r="LIR6" s="1962"/>
      <c r="LIS6" s="1962"/>
      <c r="LIT6" s="1962"/>
      <c r="LIU6" s="1962"/>
      <c r="LIV6" s="1962"/>
      <c r="LIW6" s="1962"/>
      <c r="LIX6" s="1962"/>
      <c r="LIY6" s="1962"/>
      <c r="LIZ6" s="1962"/>
      <c r="LJA6" s="1962"/>
      <c r="LJB6" s="1962"/>
      <c r="LJC6" s="1962"/>
      <c r="LJD6" s="1962"/>
      <c r="LJE6" s="1962"/>
      <c r="LJF6" s="1962"/>
      <c r="LJG6" s="1962"/>
      <c r="LJH6" s="1962"/>
      <c r="LJI6" s="1962"/>
      <c r="LJJ6" s="1962"/>
      <c r="LJK6" s="1962"/>
      <c r="LJL6" s="1962"/>
      <c r="LJM6" s="1962"/>
      <c r="LJN6" s="1962"/>
      <c r="LJO6" s="1962"/>
      <c r="LJP6" s="1962"/>
      <c r="LJQ6" s="1962"/>
      <c r="LJR6" s="1962"/>
      <c r="LJS6" s="1962"/>
      <c r="LJT6" s="1962"/>
      <c r="LJU6" s="1962"/>
      <c r="LJV6" s="1962"/>
      <c r="LJW6" s="1962"/>
      <c r="LJX6" s="1962"/>
      <c r="LJY6" s="1962"/>
      <c r="LJZ6" s="1962"/>
      <c r="LKA6" s="1962"/>
      <c r="LKB6" s="1962"/>
      <c r="LKC6" s="1962"/>
      <c r="LKD6" s="1962"/>
      <c r="LKE6" s="1962"/>
      <c r="LKF6" s="1962"/>
      <c r="LKG6" s="1962"/>
      <c r="LKH6" s="1962"/>
      <c r="LKI6" s="1962"/>
      <c r="LKJ6" s="1962"/>
      <c r="LKK6" s="1962"/>
      <c r="LKL6" s="1962"/>
      <c r="LKM6" s="1962"/>
      <c r="LKN6" s="1962"/>
      <c r="LKO6" s="1962"/>
      <c r="LKP6" s="1962"/>
      <c r="LKQ6" s="1962"/>
      <c r="LKR6" s="1962"/>
      <c r="LKS6" s="1962"/>
      <c r="LKT6" s="1962"/>
      <c r="LKU6" s="1962"/>
      <c r="LKV6" s="1962"/>
      <c r="LKW6" s="1962"/>
      <c r="LKX6" s="1962"/>
      <c r="LKY6" s="1962"/>
      <c r="LKZ6" s="1962"/>
      <c r="LLA6" s="1962"/>
      <c r="LLB6" s="1962"/>
      <c r="LLC6" s="1962"/>
      <c r="LLD6" s="1962"/>
      <c r="LLE6" s="1962"/>
      <c r="LLF6" s="1962"/>
      <c r="LLG6" s="1962"/>
      <c r="LLH6" s="1962"/>
      <c r="LLI6" s="1962"/>
      <c r="LLJ6" s="1962"/>
      <c r="LLK6" s="1962"/>
      <c r="LLL6" s="1962"/>
      <c r="LLM6" s="1962"/>
      <c r="LLN6" s="1962"/>
      <c r="LLO6" s="1962"/>
      <c r="LLP6" s="1962"/>
      <c r="LLQ6" s="1962"/>
      <c r="LLR6" s="1962"/>
      <c r="LLS6" s="1962"/>
      <c r="LLT6" s="1962"/>
      <c r="LLU6" s="1962"/>
      <c r="LLV6" s="1962"/>
      <c r="LLW6" s="1962"/>
      <c r="LLX6" s="1962"/>
      <c r="LLY6" s="1962"/>
      <c r="LLZ6" s="1962"/>
      <c r="LMA6" s="1962"/>
      <c r="LMB6" s="1962"/>
      <c r="LMC6" s="1962"/>
      <c r="LMD6" s="1962"/>
      <c r="LME6" s="1962"/>
      <c r="LMF6" s="1962"/>
      <c r="LMG6" s="1962"/>
      <c r="LMH6" s="1962"/>
      <c r="LMI6" s="1962"/>
      <c r="LMJ6" s="1962"/>
      <c r="LMK6" s="1962"/>
      <c r="LML6" s="1962"/>
      <c r="LMM6" s="1962"/>
      <c r="LMN6" s="1962"/>
      <c r="LMO6" s="1962"/>
      <c r="LMP6" s="1962"/>
      <c r="LMQ6" s="1962"/>
      <c r="LMR6" s="1962"/>
      <c r="LMS6" s="1962"/>
      <c r="LMT6" s="1962"/>
      <c r="LMU6" s="1962"/>
      <c r="LMV6" s="1962"/>
      <c r="LMW6" s="1962"/>
      <c r="LMX6" s="1962"/>
      <c r="LMY6" s="1962"/>
      <c r="LMZ6" s="1962"/>
      <c r="LNA6" s="1962"/>
      <c r="LNB6" s="1962"/>
      <c r="LNC6" s="1962"/>
      <c r="LND6" s="1962"/>
      <c r="LNE6" s="1962"/>
      <c r="LNF6" s="1962"/>
      <c r="LNG6" s="1962"/>
      <c r="LNH6" s="1962"/>
      <c r="LNI6" s="1962"/>
      <c r="LNJ6" s="1962"/>
      <c r="LNK6" s="1962"/>
      <c r="LNL6" s="1962"/>
      <c r="LNM6" s="1962"/>
      <c r="LNN6" s="1962"/>
      <c r="LNO6" s="1962"/>
      <c r="LNP6" s="1962"/>
      <c r="LNQ6" s="1962"/>
      <c r="LNR6" s="1962"/>
      <c r="LNS6" s="1962"/>
      <c r="LNT6" s="1962"/>
      <c r="LNU6" s="1962"/>
      <c r="LNV6" s="1962"/>
      <c r="LNW6" s="1962"/>
      <c r="LNX6" s="1962"/>
      <c r="LNY6" s="1962"/>
      <c r="LNZ6" s="1962"/>
      <c r="LOA6" s="1962"/>
      <c r="LOB6" s="1962"/>
      <c r="LOC6" s="1962"/>
      <c r="LOD6" s="1962"/>
      <c r="LOE6" s="1962"/>
      <c r="LOF6" s="1962"/>
      <c r="LOG6" s="1962"/>
      <c r="LOH6" s="1962"/>
      <c r="LOI6" s="1962"/>
      <c r="LOJ6" s="1962"/>
      <c r="LOK6" s="1962"/>
      <c r="LOL6" s="1962"/>
      <c r="LOM6" s="1962"/>
      <c r="LON6" s="1962"/>
      <c r="LOO6" s="1962"/>
      <c r="LOP6" s="1962"/>
      <c r="LOQ6" s="1962"/>
      <c r="LOR6" s="1962"/>
      <c r="LOS6" s="1962"/>
      <c r="LOT6" s="1962"/>
      <c r="LOU6" s="1962"/>
      <c r="LOV6" s="1962"/>
      <c r="LOW6" s="1962"/>
      <c r="LOX6" s="1962"/>
      <c r="LOY6" s="1962"/>
      <c r="LOZ6" s="1962"/>
      <c r="LPA6" s="1962"/>
      <c r="LPB6" s="1962"/>
      <c r="LPC6" s="1962"/>
      <c r="LPD6" s="1962"/>
      <c r="LPE6" s="1962"/>
      <c r="LPF6" s="1962"/>
      <c r="LPG6" s="1962"/>
      <c r="LPH6" s="1962"/>
      <c r="LPI6" s="1962"/>
      <c r="LPJ6" s="1962"/>
      <c r="LPK6" s="1962"/>
      <c r="LPL6" s="1962"/>
      <c r="LPM6" s="1962"/>
      <c r="LPN6" s="1962"/>
      <c r="LPO6" s="1962"/>
      <c r="LPP6" s="1962"/>
      <c r="LPQ6" s="1962"/>
      <c r="LPR6" s="1962"/>
      <c r="LPS6" s="1962"/>
      <c r="LPT6" s="1962"/>
      <c r="LPU6" s="1962"/>
      <c r="LPV6" s="1962"/>
      <c r="LPW6" s="1962"/>
      <c r="LPX6" s="1962"/>
      <c r="LPY6" s="1962"/>
      <c r="LPZ6" s="1962"/>
      <c r="LQA6" s="1962"/>
      <c r="LQB6" s="1962"/>
      <c r="LQC6" s="1962"/>
      <c r="LQD6" s="1962"/>
      <c r="LQE6" s="1962"/>
      <c r="LQF6" s="1962"/>
      <c r="LQG6" s="1962"/>
      <c r="LQH6" s="1962"/>
      <c r="LQI6" s="1962"/>
      <c r="LQJ6" s="1962"/>
      <c r="LQK6" s="1962"/>
      <c r="LQL6" s="1962"/>
      <c r="LQM6" s="1962"/>
      <c r="LQN6" s="1962"/>
      <c r="LQO6" s="1962"/>
      <c r="LQP6" s="1962"/>
      <c r="LQQ6" s="1962"/>
      <c r="LQR6" s="1962"/>
      <c r="LQS6" s="1962"/>
      <c r="LQT6" s="1962"/>
      <c r="LQU6" s="1962"/>
      <c r="LQV6" s="1962"/>
      <c r="LQW6" s="1962"/>
      <c r="LQX6" s="1962"/>
      <c r="LQY6" s="1962"/>
      <c r="LQZ6" s="1962"/>
      <c r="LRA6" s="1962"/>
      <c r="LRB6" s="1962"/>
      <c r="LRC6" s="1962"/>
      <c r="LRD6" s="1962"/>
      <c r="LRE6" s="1962"/>
      <c r="LRF6" s="1962"/>
      <c r="LRG6" s="1962"/>
      <c r="LRH6" s="1962"/>
      <c r="LRI6" s="1962"/>
      <c r="LRJ6" s="1962"/>
      <c r="LRK6" s="1962"/>
      <c r="LRL6" s="1962"/>
      <c r="LRM6" s="1962"/>
      <c r="LRN6" s="1962"/>
      <c r="LRO6" s="1962"/>
      <c r="LRP6" s="1962"/>
      <c r="LRQ6" s="1962"/>
      <c r="LRR6" s="1962"/>
      <c r="LRS6" s="1962"/>
      <c r="LRT6" s="1962"/>
      <c r="LRU6" s="1962"/>
      <c r="LRV6" s="1962"/>
      <c r="LRW6" s="1962"/>
      <c r="LRX6" s="1962"/>
      <c r="LRY6" s="1962"/>
      <c r="LRZ6" s="1962"/>
      <c r="LSA6" s="1962"/>
      <c r="LSB6" s="1962"/>
      <c r="LSC6" s="1962"/>
      <c r="LSD6" s="1962"/>
      <c r="LSE6" s="1962"/>
      <c r="LSF6" s="1962"/>
      <c r="LSG6" s="1962"/>
      <c r="LSH6" s="1962"/>
      <c r="LSI6" s="1962"/>
      <c r="LSJ6" s="1962"/>
      <c r="LSK6" s="1962"/>
      <c r="LSL6" s="1962"/>
      <c r="LSM6" s="1962"/>
      <c r="LSN6" s="1962"/>
      <c r="LSO6" s="1962"/>
      <c r="LSP6" s="1962"/>
      <c r="LSQ6" s="1962"/>
      <c r="LSR6" s="1962"/>
      <c r="LSS6" s="1962"/>
      <c r="LST6" s="1962"/>
      <c r="LSU6" s="1962"/>
      <c r="LSV6" s="1962"/>
      <c r="LSW6" s="1962"/>
      <c r="LSX6" s="1962"/>
      <c r="LSY6" s="1962"/>
      <c r="LSZ6" s="1962"/>
      <c r="LTA6" s="1962"/>
      <c r="LTB6" s="1962"/>
      <c r="LTC6" s="1962"/>
      <c r="LTD6" s="1962"/>
      <c r="LTE6" s="1962"/>
      <c r="LTF6" s="1962"/>
      <c r="LTG6" s="1962"/>
      <c r="LTH6" s="1962"/>
      <c r="LTI6" s="1962"/>
      <c r="LTJ6" s="1962"/>
      <c r="LTK6" s="1962"/>
      <c r="LTL6" s="1962"/>
      <c r="LTM6" s="1962"/>
      <c r="LTN6" s="1962"/>
      <c r="LTO6" s="1962"/>
      <c r="LTP6" s="1962"/>
      <c r="LTQ6" s="1962"/>
      <c r="LTR6" s="1962"/>
      <c r="LTS6" s="1962"/>
      <c r="LTT6" s="1962"/>
      <c r="LTU6" s="1962"/>
      <c r="LTV6" s="1962"/>
      <c r="LTW6" s="1962"/>
      <c r="LTX6" s="1962"/>
      <c r="LTY6" s="1962"/>
      <c r="LTZ6" s="1962"/>
      <c r="LUA6" s="1962"/>
      <c r="LUB6" s="1962"/>
      <c r="LUC6" s="1962"/>
      <c r="LUD6" s="1962"/>
      <c r="LUE6" s="1962"/>
      <c r="LUF6" s="1962"/>
      <c r="LUG6" s="1962"/>
      <c r="LUH6" s="1962"/>
      <c r="LUI6" s="1962"/>
      <c r="LUJ6" s="1962"/>
      <c r="LUK6" s="1962"/>
      <c r="LUL6" s="1962"/>
      <c r="LUM6" s="1962"/>
      <c r="LUN6" s="1962"/>
      <c r="LUO6" s="1962"/>
      <c r="LUP6" s="1962"/>
      <c r="LUQ6" s="1962"/>
      <c r="LUR6" s="1962"/>
      <c r="LUS6" s="1962"/>
      <c r="LUT6" s="1962"/>
      <c r="LUU6" s="1962"/>
      <c r="LUV6" s="1962"/>
      <c r="LUW6" s="1962"/>
      <c r="LUX6" s="1962"/>
      <c r="LUY6" s="1962"/>
      <c r="LUZ6" s="1962"/>
      <c r="LVA6" s="1962"/>
      <c r="LVB6" s="1962"/>
      <c r="LVC6" s="1962"/>
      <c r="LVD6" s="1962"/>
      <c r="LVE6" s="1962"/>
      <c r="LVF6" s="1962"/>
      <c r="LVG6" s="1962"/>
      <c r="LVH6" s="1962"/>
      <c r="LVI6" s="1962"/>
      <c r="LVJ6" s="1962"/>
      <c r="LVK6" s="1962"/>
      <c r="LVL6" s="1962"/>
      <c r="LVM6" s="1962"/>
      <c r="LVN6" s="1962"/>
      <c r="LVO6" s="1962"/>
      <c r="LVP6" s="1962"/>
      <c r="LVQ6" s="1962"/>
      <c r="LVR6" s="1962"/>
      <c r="LVS6" s="1962"/>
      <c r="LVT6" s="1962"/>
      <c r="LVU6" s="1962"/>
      <c r="LVV6" s="1962"/>
      <c r="LVW6" s="1962"/>
      <c r="LVX6" s="1962"/>
      <c r="LVY6" s="1962"/>
      <c r="LVZ6" s="1962"/>
      <c r="LWA6" s="1962"/>
      <c r="LWB6" s="1962"/>
      <c r="LWC6" s="1962"/>
      <c r="LWD6" s="1962"/>
      <c r="LWE6" s="1962"/>
      <c r="LWF6" s="1962"/>
      <c r="LWG6" s="1962"/>
      <c r="LWH6" s="1962"/>
      <c r="LWI6" s="1962"/>
      <c r="LWJ6" s="1962"/>
      <c r="LWK6" s="1962"/>
      <c r="LWL6" s="1962"/>
      <c r="LWM6" s="1962"/>
      <c r="LWN6" s="1962"/>
      <c r="LWO6" s="1962"/>
      <c r="LWP6" s="1962"/>
      <c r="LWQ6" s="1962"/>
      <c r="LWR6" s="1962"/>
      <c r="LWS6" s="1962"/>
      <c r="LWT6" s="1962"/>
      <c r="LWU6" s="1962"/>
      <c r="LWV6" s="1962"/>
      <c r="LWW6" s="1962"/>
      <c r="LWX6" s="1962"/>
      <c r="LWY6" s="1962"/>
      <c r="LWZ6" s="1962"/>
      <c r="LXA6" s="1962"/>
      <c r="LXB6" s="1962"/>
      <c r="LXC6" s="1962"/>
      <c r="LXD6" s="1962"/>
      <c r="LXE6" s="1962"/>
      <c r="LXF6" s="1962"/>
      <c r="LXG6" s="1962"/>
      <c r="LXH6" s="1962"/>
      <c r="LXI6" s="1962"/>
      <c r="LXJ6" s="1962"/>
      <c r="LXK6" s="1962"/>
      <c r="LXL6" s="1962"/>
      <c r="LXM6" s="1962"/>
      <c r="LXN6" s="1962"/>
      <c r="LXO6" s="1962"/>
      <c r="LXP6" s="1962"/>
      <c r="LXQ6" s="1962"/>
      <c r="LXR6" s="1962"/>
      <c r="LXS6" s="1962"/>
      <c r="LXT6" s="1962"/>
      <c r="LXU6" s="1962"/>
      <c r="LXV6" s="1962"/>
      <c r="LXW6" s="1962"/>
      <c r="LXX6" s="1962"/>
      <c r="LXY6" s="1962"/>
      <c r="LXZ6" s="1962"/>
      <c r="LYA6" s="1962"/>
      <c r="LYB6" s="1962"/>
      <c r="LYC6" s="1962"/>
      <c r="LYD6" s="1962"/>
      <c r="LYE6" s="1962"/>
      <c r="LYF6" s="1962"/>
      <c r="LYG6" s="1962"/>
      <c r="LYH6" s="1962"/>
      <c r="LYI6" s="1962"/>
      <c r="LYJ6" s="1962"/>
      <c r="LYK6" s="1962"/>
      <c r="LYL6" s="1962"/>
      <c r="LYM6" s="1962"/>
      <c r="LYN6" s="1962"/>
      <c r="LYO6" s="1962"/>
      <c r="LYP6" s="1962"/>
      <c r="LYQ6" s="1962"/>
      <c r="LYR6" s="1962"/>
      <c r="LYS6" s="1962"/>
      <c r="LYT6" s="1962"/>
      <c r="LYU6" s="1962"/>
      <c r="LYV6" s="1962"/>
      <c r="LYW6" s="1962"/>
      <c r="LYX6" s="1962"/>
      <c r="LYY6" s="1962"/>
      <c r="LYZ6" s="1962"/>
      <c r="LZA6" s="1962"/>
      <c r="LZB6" s="1962"/>
      <c r="LZC6" s="1962"/>
      <c r="LZD6" s="1962"/>
      <c r="LZE6" s="1962"/>
      <c r="LZF6" s="1962"/>
      <c r="LZG6" s="1962"/>
      <c r="LZH6" s="1962"/>
      <c r="LZI6" s="1962"/>
      <c r="LZJ6" s="1962"/>
      <c r="LZK6" s="1962"/>
      <c r="LZL6" s="1962"/>
      <c r="LZM6" s="1962"/>
      <c r="LZN6" s="1962"/>
      <c r="LZO6" s="1962"/>
      <c r="LZP6" s="1962"/>
      <c r="LZQ6" s="1962"/>
      <c r="LZR6" s="1962"/>
      <c r="LZS6" s="1962"/>
      <c r="LZT6" s="1962"/>
      <c r="LZU6" s="1962"/>
      <c r="LZV6" s="1962"/>
      <c r="LZW6" s="1962"/>
      <c r="LZX6" s="1962"/>
      <c r="LZY6" s="1962"/>
      <c r="LZZ6" s="1962"/>
      <c r="MAA6" s="1962"/>
      <c r="MAB6" s="1962"/>
      <c r="MAC6" s="1962"/>
      <c r="MAD6" s="1962"/>
      <c r="MAE6" s="1962"/>
      <c r="MAF6" s="1962"/>
      <c r="MAG6" s="1962"/>
      <c r="MAH6" s="1962"/>
      <c r="MAI6" s="1962"/>
      <c r="MAJ6" s="1962"/>
      <c r="MAK6" s="1962"/>
      <c r="MAL6" s="1962"/>
      <c r="MAM6" s="1962"/>
      <c r="MAN6" s="1962"/>
      <c r="MAO6" s="1962"/>
      <c r="MAP6" s="1962"/>
      <c r="MAQ6" s="1962"/>
      <c r="MAR6" s="1962"/>
      <c r="MAS6" s="1962"/>
      <c r="MAT6" s="1962"/>
      <c r="MAU6" s="1962"/>
      <c r="MAV6" s="1962"/>
      <c r="MAW6" s="1962"/>
      <c r="MAX6" s="1962"/>
      <c r="MAY6" s="1962"/>
      <c r="MAZ6" s="1962"/>
      <c r="MBA6" s="1962"/>
      <c r="MBB6" s="1962"/>
      <c r="MBC6" s="1962"/>
      <c r="MBD6" s="1962"/>
      <c r="MBE6" s="1962"/>
      <c r="MBF6" s="1962"/>
      <c r="MBG6" s="1962"/>
      <c r="MBH6" s="1962"/>
      <c r="MBI6" s="1962"/>
      <c r="MBJ6" s="1962"/>
      <c r="MBK6" s="1962"/>
      <c r="MBL6" s="1962"/>
      <c r="MBM6" s="1962"/>
      <c r="MBN6" s="1962"/>
      <c r="MBO6" s="1962"/>
      <c r="MBP6" s="1962"/>
      <c r="MBQ6" s="1962"/>
      <c r="MBR6" s="1962"/>
      <c r="MBS6" s="1962"/>
      <c r="MBT6" s="1962"/>
      <c r="MBU6" s="1962"/>
      <c r="MBV6" s="1962"/>
      <c r="MBW6" s="1962"/>
      <c r="MBX6" s="1962"/>
      <c r="MBY6" s="1962"/>
      <c r="MBZ6" s="1962"/>
      <c r="MCA6" s="1962"/>
      <c r="MCB6" s="1962"/>
      <c r="MCC6" s="1962"/>
      <c r="MCD6" s="1962"/>
      <c r="MCE6" s="1962"/>
      <c r="MCF6" s="1962"/>
      <c r="MCG6" s="1962"/>
      <c r="MCH6" s="1962"/>
      <c r="MCI6" s="1962"/>
      <c r="MCJ6" s="1962"/>
      <c r="MCK6" s="1962"/>
      <c r="MCL6" s="1962"/>
      <c r="MCM6" s="1962"/>
      <c r="MCN6" s="1962"/>
      <c r="MCO6" s="1962"/>
      <c r="MCP6" s="1962"/>
      <c r="MCQ6" s="1962"/>
      <c r="MCR6" s="1962"/>
      <c r="MCS6" s="1962"/>
      <c r="MCT6" s="1962"/>
      <c r="MCU6" s="1962"/>
      <c r="MCV6" s="1962"/>
      <c r="MCW6" s="1962"/>
      <c r="MCX6" s="1962"/>
      <c r="MCY6" s="1962"/>
      <c r="MCZ6" s="1962"/>
      <c r="MDA6" s="1962"/>
      <c r="MDB6" s="1962"/>
      <c r="MDC6" s="1962"/>
      <c r="MDD6" s="1962"/>
      <c r="MDE6" s="1962"/>
      <c r="MDF6" s="1962"/>
      <c r="MDG6" s="1962"/>
      <c r="MDH6" s="1962"/>
      <c r="MDI6" s="1962"/>
      <c r="MDJ6" s="1962"/>
      <c r="MDK6" s="1962"/>
      <c r="MDL6" s="1962"/>
      <c r="MDM6" s="1962"/>
      <c r="MDN6" s="1962"/>
      <c r="MDO6" s="1962"/>
      <c r="MDP6" s="1962"/>
      <c r="MDQ6" s="1962"/>
      <c r="MDR6" s="1962"/>
      <c r="MDS6" s="1962"/>
      <c r="MDT6" s="1962"/>
      <c r="MDU6" s="1962"/>
      <c r="MDV6" s="1962"/>
      <c r="MDW6" s="1962"/>
      <c r="MDX6" s="1962"/>
      <c r="MDY6" s="1962"/>
      <c r="MDZ6" s="1962"/>
      <c r="MEA6" s="1962"/>
      <c r="MEB6" s="1962"/>
      <c r="MEC6" s="1962"/>
      <c r="MED6" s="1962"/>
      <c r="MEE6" s="1962"/>
      <c r="MEF6" s="1962"/>
      <c r="MEG6" s="1962"/>
      <c r="MEH6" s="1962"/>
      <c r="MEI6" s="1962"/>
      <c r="MEJ6" s="1962"/>
      <c r="MEK6" s="1962"/>
      <c r="MEL6" s="1962"/>
      <c r="MEM6" s="1962"/>
      <c r="MEN6" s="1962"/>
      <c r="MEO6" s="1962"/>
      <c r="MEP6" s="1962"/>
      <c r="MEQ6" s="1962"/>
      <c r="MER6" s="1962"/>
      <c r="MES6" s="1962"/>
      <c r="MET6" s="1962"/>
      <c r="MEU6" s="1962"/>
      <c r="MEV6" s="1962"/>
      <c r="MEW6" s="1962"/>
      <c r="MEX6" s="1962"/>
      <c r="MEY6" s="1962"/>
      <c r="MEZ6" s="1962"/>
      <c r="MFA6" s="1962"/>
      <c r="MFB6" s="1962"/>
      <c r="MFC6" s="1962"/>
      <c r="MFD6" s="1962"/>
      <c r="MFE6" s="1962"/>
      <c r="MFF6" s="1962"/>
      <c r="MFG6" s="1962"/>
      <c r="MFH6" s="1962"/>
      <c r="MFI6" s="1962"/>
      <c r="MFJ6" s="1962"/>
      <c r="MFK6" s="1962"/>
      <c r="MFL6" s="1962"/>
      <c r="MFM6" s="1962"/>
      <c r="MFN6" s="1962"/>
      <c r="MFO6" s="1962"/>
      <c r="MFP6" s="1962"/>
      <c r="MFQ6" s="1962"/>
      <c r="MFR6" s="1962"/>
      <c r="MFS6" s="1962"/>
      <c r="MFT6" s="1962"/>
      <c r="MFU6" s="1962"/>
      <c r="MFV6" s="1962"/>
      <c r="MFW6" s="1962"/>
      <c r="MFX6" s="1962"/>
      <c r="MFY6" s="1962"/>
      <c r="MFZ6" s="1962"/>
      <c r="MGA6" s="1962"/>
      <c r="MGB6" s="1962"/>
      <c r="MGC6" s="1962"/>
      <c r="MGD6" s="1962"/>
      <c r="MGE6" s="1962"/>
      <c r="MGF6" s="1962"/>
      <c r="MGG6" s="1962"/>
      <c r="MGH6" s="1962"/>
      <c r="MGI6" s="1962"/>
      <c r="MGJ6" s="1962"/>
      <c r="MGK6" s="1962"/>
      <c r="MGL6" s="1962"/>
      <c r="MGM6" s="1962"/>
      <c r="MGN6" s="1962"/>
      <c r="MGO6" s="1962"/>
      <c r="MGP6" s="1962"/>
      <c r="MGQ6" s="1962"/>
      <c r="MGR6" s="1962"/>
      <c r="MGS6" s="1962"/>
      <c r="MGT6" s="1962"/>
      <c r="MGU6" s="1962"/>
      <c r="MGV6" s="1962"/>
      <c r="MGW6" s="1962"/>
      <c r="MGX6" s="1962"/>
      <c r="MGY6" s="1962"/>
      <c r="MGZ6" s="1962"/>
      <c r="MHA6" s="1962"/>
      <c r="MHB6" s="1962"/>
      <c r="MHC6" s="1962"/>
      <c r="MHD6" s="1962"/>
      <c r="MHE6" s="1962"/>
      <c r="MHF6" s="1962"/>
      <c r="MHG6" s="1962"/>
      <c r="MHH6" s="1962"/>
      <c r="MHI6" s="1962"/>
      <c r="MHJ6" s="1962"/>
      <c r="MHK6" s="1962"/>
      <c r="MHL6" s="1962"/>
      <c r="MHM6" s="1962"/>
      <c r="MHN6" s="1962"/>
      <c r="MHO6" s="1962"/>
      <c r="MHP6" s="1962"/>
      <c r="MHQ6" s="1962"/>
      <c r="MHR6" s="1962"/>
      <c r="MHS6" s="1962"/>
      <c r="MHT6" s="1962"/>
      <c r="MHU6" s="1962"/>
      <c r="MHV6" s="1962"/>
      <c r="MHW6" s="1962"/>
      <c r="MHX6" s="1962"/>
      <c r="MHY6" s="1962"/>
      <c r="MHZ6" s="1962"/>
      <c r="MIA6" s="1962"/>
      <c r="MIB6" s="1962"/>
      <c r="MIC6" s="1962"/>
      <c r="MID6" s="1962"/>
      <c r="MIE6" s="1962"/>
      <c r="MIF6" s="1962"/>
      <c r="MIG6" s="1962"/>
      <c r="MIH6" s="1962"/>
      <c r="MII6" s="1962"/>
      <c r="MIJ6" s="1962"/>
      <c r="MIK6" s="1962"/>
      <c r="MIL6" s="1962"/>
      <c r="MIM6" s="1962"/>
      <c r="MIN6" s="1962"/>
      <c r="MIO6" s="1962"/>
      <c r="MIP6" s="1962"/>
      <c r="MIQ6" s="1962"/>
      <c r="MIR6" s="1962"/>
      <c r="MIS6" s="1962"/>
      <c r="MIT6" s="1962"/>
      <c r="MIU6" s="1962"/>
      <c r="MIV6" s="1962"/>
      <c r="MIW6" s="1962"/>
      <c r="MIX6" s="1962"/>
      <c r="MIY6" s="1962"/>
      <c r="MIZ6" s="1962"/>
      <c r="MJA6" s="1962"/>
      <c r="MJB6" s="1962"/>
      <c r="MJC6" s="1962"/>
      <c r="MJD6" s="1962"/>
      <c r="MJE6" s="1962"/>
      <c r="MJF6" s="1962"/>
      <c r="MJG6" s="1962"/>
      <c r="MJH6" s="1962"/>
      <c r="MJI6" s="1962"/>
      <c r="MJJ6" s="1962"/>
      <c r="MJK6" s="1962"/>
      <c r="MJL6" s="1962"/>
      <c r="MJM6" s="1962"/>
      <c r="MJN6" s="1962"/>
      <c r="MJO6" s="1962"/>
      <c r="MJP6" s="1962"/>
      <c r="MJQ6" s="1962"/>
      <c r="MJR6" s="1962"/>
      <c r="MJS6" s="1962"/>
      <c r="MJT6" s="1962"/>
      <c r="MJU6" s="1962"/>
      <c r="MJV6" s="1962"/>
      <c r="MJW6" s="1962"/>
      <c r="MJX6" s="1962"/>
      <c r="MJY6" s="1962"/>
      <c r="MJZ6" s="1962"/>
      <c r="MKA6" s="1962"/>
      <c r="MKB6" s="1962"/>
      <c r="MKC6" s="1962"/>
      <c r="MKD6" s="1962"/>
      <c r="MKE6" s="1962"/>
      <c r="MKF6" s="1962"/>
      <c r="MKG6" s="1962"/>
      <c r="MKH6" s="1962"/>
      <c r="MKI6" s="1962"/>
      <c r="MKJ6" s="1962"/>
      <c r="MKK6" s="1962"/>
      <c r="MKL6" s="1962"/>
      <c r="MKM6" s="1962"/>
      <c r="MKN6" s="1962"/>
      <c r="MKO6" s="1962"/>
      <c r="MKP6" s="1962"/>
      <c r="MKQ6" s="1962"/>
      <c r="MKR6" s="1962"/>
      <c r="MKS6" s="1962"/>
      <c r="MKT6" s="1962"/>
      <c r="MKU6" s="1962"/>
      <c r="MKV6" s="1962"/>
      <c r="MKW6" s="1962"/>
      <c r="MKX6" s="1962"/>
      <c r="MKY6" s="1962"/>
      <c r="MKZ6" s="1962"/>
      <c r="MLA6" s="1962"/>
      <c r="MLB6" s="1962"/>
      <c r="MLC6" s="1962"/>
      <c r="MLD6" s="1962"/>
      <c r="MLE6" s="1962"/>
      <c r="MLF6" s="1962"/>
      <c r="MLG6" s="1962"/>
      <c r="MLH6" s="1962"/>
      <c r="MLI6" s="1962"/>
      <c r="MLJ6" s="1962"/>
      <c r="MLK6" s="1962"/>
      <c r="MLL6" s="1962"/>
      <c r="MLM6" s="1962"/>
      <c r="MLN6" s="1962"/>
      <c r="MLO6" s="1962"/>
      <c r="MLP6" s="1962"/>
      <c r="MLQ6" s="1962"/>
      <c r="MLR6" s="1962"/>
      <c r="MLS6" s="1962"/>
      <c r="MLT6" s="1962"/>
      <c r="MLU6" s="1962"/>
      <c r="MLV6" s="1962"/>
      <c r="MLW6" s="1962"/>
      <c r="MLX6" s="1962"/>
      <c r="MLY6" s="1962"/>
      <c r="MLZ6" s="1962"/>
      <c r="MMA6" s="1962"/>
      <c r="MMB6" s="1962"/>
      <c r="MMC6" s="1962"/>
      <c r="MMD6" s="1962"/>
      <c r="MME6" s="1962"/>
      <c r="MMF6" s="1962"/>
      <c r="MMG6" s="1962"/>
      <c r="MMH6" s="1962"/>
      <c r="MMI6" s="1962"/>
      <c r="MMJ6" s="1962"/>
      <c r="MMK6" s="1962"/>
      <c r="MML6" s="1962"/>
      <c r="MMM6" s="1962"/>
      <c r="MMN6" s="1962"/>
      <c r="MMO6" s="1962"/>
      <c r="MMP6" s="1962"/>
      <c r="MMQ6" s="1962"/>
      <c r="MMR6" s="1962"/>
      <c r="MMS6" s="1962"/>
      <c r="MMT6" s="1962"/>
      <c r="MMU6" s="1962"/>
      <c r="MMV6" s="1962"/>
      <c r="MMW6" s="1962"/>
      <c r="MMX6" s="1962"/>
      <c r="MMY6" s="1962"/>
      <c r="MMZ6" s="1962"/>
      <c r="MNA6" s="1962"/>
      <c r="MNB6" s="1962"/>
      <c r="MNC6" s="1962"/>
      <c r="MND6" s="1962"/>
      <c r="MNE6" s="1962"/>
      <c r="MNF6" s="1962"/>
      <c r="MNG6" s="1962"/>
      <c r="MNH6" s="1962"/>
      <c r="MNI6" s="1962"/>
      <c r="MNJ6" s="1962"/>
      <c r="MNK6" s="1962"/>
      <c r="MNL6" s="1962"/>
      <c r="MNM6" s="1962"/>
      <c r="MNN6" s="1962"/>
      <c r="MNO6" s="1962"/>
      <c r="MNP6" s="1962"/>
      <c r="MNQ6" s="1962"/>
      <c r="MNR6" s="1962"/>
      <c r="MNS6" s="1962"/>
      <c r="MNT6" s="1962"/>
      <c r="MNU6" s="1962"/>
      <c r="MNV6" s="1962"/>
      <c r="MNW6" s="1962"/>
      <c r="MNX6" s="1962"/>
      <c r="MNY6" s="1962"/>
      <c r="MNZ6" s="1962"/>
      <c r="MOA6" s="1962"/>
      <c r="MOB6" s="1962"/>
      <c r="MOC6" s="1962"/>
      <c r="MOD6" s="1962"/>
      <c r="MOE6" s="1962"/>
      <c r="MOF6" s="1962"/>
      <c r="MOG6" s="1962"/>
      <c r="MOH6" s="1962"/>
      <c r="MOI6" s="1962"/>
      <c r="MOJ6" s="1962"/>
      <c r="MOK6" s="1962"/>
      <c r="MOL6" s="1962"/>
      <c r="MOM6" s="1962"/>
      <c r="MON6" s="1962"/>
      <c r="MOO6" s="1962"/>
      <c r="MOP6" s="1962"/>
      <c r="MOQ6" s="1962"/>
      <c r="MOR6" s="1962"/>
      <c r="MOS6" s="1962"/>
      <c r="MOT6" s="1962"/>
      <c r="MOU6" s="1962"/>
      <c r="MOV6" s="1962"/>
      <c r="MOW6" s="1962"/>
      <c r="MOX6" s="1962"/>
      <c r="MOY6" s="1962"/>
      <c r="MOZ6" s="1962"/>
      <c r="MPA6" s="1962"/>
      <c r="MPB6" s="1962"/>
      <c r="MPC6" s="1962"/>
      <c r="MPD6" s="1962"/>
      <c r="MPE6" s="1962"/>
      <c r="MPF6" s="1962"/>
      <c r="MPG6" s="1962"/>
      <c r="MPH6" s="1962"/>
      <c r="MPI6" s="1962"/>
      <c r="MPJ6" s="1962"/>
      <c r="MPK6" s="1962"/>
      <c r="MPL6" s="1962"/>
      <c r="MPM6" s="1962"/>
      <c r="MPN6" s="1962"/>
      <c r="MPO6" s="1962"/>
      <c r="MPP6" s="1962"/>
      <c r="MPQ6" s="1962"/>
      <c r="MPR6" s="1962"/>
      <c r="MPS6" s="1962"/>
      <c r="MPT6" s="1962"/>
      <c r="MPU6" s="1962"/>
      <c r="MPV6" s="1962"/>
      <c r="MPW6" s="1962"/>
      <c r="MPX6" s="1962"/>
      <c r="MPY6" s="1962"/>
      <c r="MPZ6" s="1962"/>
      <c r="MQA6" s="1962"/>
      <c r="MQB6" s="1962"/>
      <c r="MQC6" s="1962"/>
      <c r="MQD6" s="1962"/>
      <c r="MQE6" s="1962"/>
      <c r="MQF6" s="1962"/>
      <c r="MQG6" s="1962"/>
      <c r="MQH6" s="1962"/>
      <c r="MQI6" s="1962"/>
      <c r="MQJ6" s="1962"/>
      <c r="MQK6" s="1962"/>
      <c r="MQL6" s="1962"/>
      <c r="MQM6" s="1962"/>
      <c r="MQN6" s="1962"/>
      <c r="MQO6" s="1962"/>
      <c r="MQP6" s="1962"/>
      <c r="MQQ6" s="1962"/>
      <c r="MQR6" s="1962"/>
      <c r="MQS6" s="1962"/>
      <c r="MQT6" s="1962"/>
      <c r="MQU6" s="1962"/>
      <c r="MQV6" s="1962"/>
      <c r="MQW6" s="1962"/>
      <c r="MQX6" s="1962"/>
      <c r="MQY6" s="1962"/>
      <c r="MQZ6" s="1962"/>
      <c r="MRA6" s="1962"/>
      <c r="MRB6" s="1962"/>
      <c r="MRC6" s="1962"/>
      <c r="MRD6" s="1962"/>
      <c r="MRE6" s="1962"/>
      <c r="MRF6" s="1962"/>
      <c r="MRG6" s="1962"/>
      <c r="MRH6" s="1962"/>
      <c r="MRI6" s="1962"/>
      <c r="MRJ6" s="1962"/>
      <c r="MRK6" s="1962"/>
      <c r="MRL6" s="1962"/>
      <c r="MRM6" s="1962"/>
      <c r="MRN6" s="1962"/>
      <c r="MRO6" s="1962"/>
      <c r="MRP6" s="1962"/>
      <c r="MRQ6" s="1962"/>
      <c r="MRR6" s="1962"/>
      <c r="MRS6" s="1962"/>
      <c r="MRT6" s="1962"/>
      <c r="MRU6" s="1962"/>
      <c r="MRV6" s="1962"/>
      <c r="MRW6" s="1962"/>
      <c r="MRX6" s="1962"/>
      <c r="MRY6" s="1962"/>
      <c r="MRZ6" s="1962"/>
      <c r="MSA6" s="1962"/>
      <c r="MSB6" s="1962"/>
      <c r="MSC6" s="1962"/>
      <c r="MSD6" s="1962"/>
      <c r="MSE6" s="1962"/>
      <c r="MSF6" s="1962"/>
      <c r="MSG6" s="1962"/>
      <c r="MSH6" s="1962"/>
      <c r="MSI6" s="1962"/>
      <c r="MSJ6" s="1962"/>
      <c r="MSK6" s="1962"/>
      <c r="MSL6" s="1962"/>
      <c r="MSM6" s="1962"/>
      <c r="MSN6" s="1962"/>
      <c r="MSO6" s="1962"/>
      <c r="MSP6" s="1962"/>
      <c r="MSQ6" s="1962"/>
      <c r="MSR6" s="1962"/>
      <c r="MSS6" s="1962"/>
      <c r="MST6" s="1962"/>
      <c r="MSU6" s="1962"/>
      <c r="MSV6" s="1962"/>
      <c r="MSW6" s="1962"/>
      <c r="MSX6" s="1962"/>
      <c r="MSY6" s="1962"/>
      <c r="MSZ6" s="1962"/>
      <c r="MTA6" s="1962"/>
      <c r="MTB6" s="1962"/>
      <c r="MTC6" s="1962"/>
      <c r="MTD6" s="1962"/>
      <c r="MTE6" s="1962"/>
      <c r="MTF6" s="1962"/>
      <c r="MTG6" s="1962"/>
      <c r="MTH6" s="1962"/>
      <c r="MTI6" s="1962"/>
      <c r="MTJ6" s="1962"/>
      <c r="MTK6" s="1962"/>
      <c r="MTL6" s="1962"/>
      <c r="MTM6" s="1962"/>
      <c r="MTN6" s="1962"/>
      <c r="MTO6" s="1962"/>
      <c r="MTP6" s="1962"/>
      <c r="MTQ6" s="1962"/>
      <c r="MTR6" s="1962"/>
      <c r="MTS6" s="1962"/>
      <c r="MTT6" s="1962"/>
      <c r="MTU6" s="1962"/>
      <c r="MTV6" s="1962"/>
      <c r="MTW6" s="1962"/>
      <c r="MTX6" s="1962"/>
      <c r="MTY6" s="1962"/>
      <c r="MTZ6" s="1962"/>
      <c r="MUA6" s="1962"/>
      <c r="MUB6" s="1962"/>
      <c r="MUC6" s="1962"/>
      <c r="MUD6" s="1962"/>
      <c r="MUE6" s="1962"/>
      <c r="MUF6" s="1962"/>
      <c r="MUG6" s="1962"/>
      <c r="MUH6" s="1962"/>
      <c r="MUI6" s="1962"/>
      <c r="MUJ6" s="1962"/>
      <c r="MUK6" s="1962"/>
      <c r="MUL6" s="1962"/>
      <c r="MUM6" s="1962"/>
      <c r="MUN6" s="1962"/>
      <c r="MUO6" s="1962"/>
      <c r="MUP6" s="1962"/>
      <c r="MUQ6" s="1962"/>
      <c r="MUR6" s="1962"/>
      <c r="MUS6" s="1962"/>
      <c r="MUT6" s="1962"/>
      <c r="MUU6" s="1962"/>
      <c r="MUV6" s="1962"/>
      <c r="MUW6" s="1962"/>
      <c r="MUX6" s="1962"/>
      <c r="MUY6" s="1962"/>
      <c r="MUZ6" s="1962"/>
      <c r="MVA6" s="1962"/>
      <c r="MVB6" s="1962"/>
      <c r="MVC6" s="1962"/>
      <c r="MVD6" s="1962"/>
      <c r="MVE6" s="1962"/>
      <c r="MVF6" s="1962"/>
      <c r="MVG6" s="1962"/>
      <c r="MVH6" s="1962"/>
      <c r="MVI6" s="1962"/>
      <c r="MVJ6" s="1962"/>
      <c r="MVK6" s="1962"/>
      <c r="MVL6" s="1962"/>
      <c r="MVM6" s="1962"/>
      <c r="MVN6" s="1962"/>
      <c r="MVO6" s="1962"/>
      <c r="MVP6" s="1962"/>
      <c r="MVQ6" s="1962"/>
      <c r="MVR6" s="1962"/>
      <c r="MVS6" s="1962"/>
      <c r="MVT6" s="1962"/>
      <c r="MVU6" s="1962"/>
      <c r="MVV6" s="1962"/>
      <c r="MVW6" s="1962"/>
      <c r="MVX6" s="1962"/>
      <c r="MVY6" s="1962"/>
      <c r="MVZ6" s="1962"/>
      <c r="MWA6" s="1962"/>
      <c r="MWB6" s="1962"/>
      <c r="MWC6" s="1962"/>
      <c r="MWD6" s="1962"/>
      <c r="MWE6" s="1962"/>
      <c r="MWF6" s="1962"/>
      <c r="MWG6" s="1962"/>
      <c r="MWH6" s="1962"/>
      <c r="MWI6" s="1962"/>
      <c r="MWJ6" s="1962"/>
      <c r="MWK6" s="1962"/>
      <c r="MWL6" s="1962"/>
      <c r="MWM6" s="1962"/>
      <c r="MWN6" s="1962"/>
      <c r="MWO6" s="1962"/>
      <c r="MWP6" s="1962"/>
      <c r="MWQ6" s="1962"/>
      <c r="MWR6" s="1962"/>
      <c r="MWS6" s="1962"/>
      <c r="MWT6" s="1962"/>
      <c r="MWU6" s="1962"/>
      <c r="MWV6" s="1962"/>
      <c r="MWW6" s="1962"/>
      <c r="MWX6" s="1962"/>
      <c r="MWY6" s="1962"/>
      <c r="MWZ6" s="1962"/>
      <c r="MXA6" s="1962"/>
      <c r="MXB6" s="1962"/>
      <c r="MXC6" s="1962"/>
      <c r="MXD6" s="1962"/>
      <c r="MXE6" s="1962"/>
      <c r="MXF6" s="1962"/>
      <c r="MXG6" s="1962"/>
      <c r="MXH6" s="1962"/>
      <c r="MXI6" s="1962"/>
      <c r="MXJ6" s="1962"/>
      <c r="MXK6" s="1962"/>
      <c r="MXL6" s="1962"/>
      <c r="MXM6" s="1962"/>
      <c r="MXN6" s="1962"/>
      <c r="MXO6" s="1962"/>
      <c r="MXP6" s="1962"/>
      <c r="MXQ6" s="1962"/>
      <c r="MXR6" s="1962"/>
      <c r="MXS6" s="1962"/>
      <c r="MXT6" s="1962"/>
      <c r="MXU6" s="1962"/>
      <c r="MXV6" s="1962"/>
      <c r="MXW6" s="1962"/>
      <c r="MXX6" s="1962"/>
      <c r="MXY6" s="1962"/>
      <c r="MXZ6" s="1962"/>
      <c r="MYA6" s="1962"/>
      <c r="MYB6" s="1962"/>
      <c r="MYC6" s="1962"/>
      <c r="MYD6" s="1962"/>
      <c r="MYE6" s="1962"/>
      <c r="MYF6" s="1962"/>
      <c r="MYG6" s="1962"/>
      <c r="MYH6" s="1962"/>
      <c r="MYI6" s="1962"/>
      <c r="MYJ6" s="1962"/>
      <c r="MYK6" s="1962"/>
      <c r="MYL6" s="1962"/>
      <c r="MYM6" s="1962"/>
      <c r="MYN6" s="1962"/>
      <c r="MYO6" s="1962"/>
      <c r="MYP6" s="1962"/>
      <c r="MYQ6" s="1962"/>
      <c r="MYR6" s="1962"/>
      <c r="MYS6" s="1962"/>
      <c r="MYT6" s="1962"/>
      <c r="MYU6" s="1962"/>
      <c r="MYV6" s="1962"/>
      <c r="MYW6" s="1962"/>
      <c r="MYX6" s="1962"/>
      <c r="MYY6" s="1962"/>
      <c r="MYZ6" s="1962"/>
      <c r="MZA6" s="1962"/>
      <c r="MZB6" s="1962"/>
      <c r="MZC6" s="1962"/>
      <c r="MZD6" s="1962"/>
      <c r="MZE6" s="1962"/>
      <c r="MZF6" s="1962"/>
      <c r="MZG6" s="1962"/>
      <c r="MZH6" s="1962"/>
      <c r="MZI6" s="1962"/>
      <c r="MZJ6" s="1962"/>
      <c r="MZK6" s="1962"/>
      <c r="MZL6" s="1962"/>
      <c r="MZM6" s="1962"/>
      <c r="MZN6" s="1962"/>
      <c r="MZO6" s="1962"/>
      <c r="MZP6" s="1962"/>
      <c r="MZQ6" s="1962"/>
      <c r="MZR6" s="1962"/>
      <c r="MZS6" s="1962"/>
      <c r="MZT6" s="1962"/>
      <c r="MZU6" s="1962"/>
      <c r="MZV6" s="1962"/>
      <c r="MZW6" s="1962"/>
      <c r="MZX6" s="1962"/>
      <c r="MZY6" s="1962"/>
      <c r="MZZ6" s="1962"/>
      <c r="NAA6" s="1962"/>
      <c r="NAB6" s="1962"/>
      <c r="NAC6" s="1962"/>
      <c r="NAD6" s="1962"/>
      <c r="NAE6" s="1962"/>
      <c r="NAF6" s="1962"/>
      <c r="NAG6" s="1962"/>
      <c r="NAH6" s="1962"/>
      <c r="NAI6" s="1962"/>
      <c r="NAJ6" s="1962"/>
      <c r="NAK6" s="1962"/>
      <c r="NAL6" s="1962"/>
      <c r="NAM6" s="1962"/>
      <c r="NAN6" s="1962"/>
      <c r="NAO6" s="1962"/>
      <c r="NAP6" s="1962"/>
      <c r="NAQ6" s="1962"/>
      <c r="NAR6" s="1962"/>
      <c r="NAS6" s="1962"/>
      <c r="NAT6" s="1962"/>
      <c r="NAU6" s="1962"/>
      <c r="NAV6" s="1962"/>
      <c r="NAW6" s="1962"/>
      <c r="NAX6" s="1962"/>
      <c r="NAY6" s="1962"/>
      <c r="NAZ6" s="1962"/>
      <c r="NBA6" s="1962"/>
      <c r="NBB6" s="1962"/>
      <c r="NBC6" s="1962"/>
      <c r="NBD6" s="1962"/>
      <c r="NBE6" s="1962"/>
      <c r="NBF6" s="1962"/>
      <c r="NBG6" s="1962"/>
      <c r="NBH6" s="1962"/>
      <c r="NBI6" s="1962"/>
      <c r="NBJ6" s="1962"/>
      <c r="NBK6" s="1962"/>
      <c r="NBL6" s="1962"/>
      <c r="NBM6" s="1962"/>
      <c r="NBN6" s="1962"/>
      <c r="NBO6" s="1962"/>
      <c r="NBP6" s="1962"/>
      <c r="NBQ6" s="1962"/>
      <c r="NBR6" s="1962"/>
      <c r="NBS6" s="1962"/>
      <c r="NBT6" s="1962"/>
      <c r="NBU6" s="1962"/>
      <c r="NBV6" s="1962"/>
      <c r="NBW6" s="1962"/>
      <c r="NBX6" s="1962"/>
      <c r="NBY6" s="1962"/>
      <c r="NBZ6" s="1962"/>
      <c r="NCA6" s="1962"/>
      <c r="NCB6" s="1962"/>
      <c r="NCC6" s="1962"/>
      <c r="NCD6" s="1962"/>
      <c r="NCE6" s="1962"/>
      <c r="NCF6" s="1962"/>
      <c r="NCG6" s="1962"/>
      <c r="NCH6" s="1962"/>
      <c r="NCI6" s="1962"/>
      <c r="NCJ6" s="1962"/>
      <c r="NCK6" s="1962"/>
      <c r="NCL6" s="1962"/>
      <c r="NCM6" s="1962"/>
      <c r="NCN6" s="1962"/>
      <c r="NCO6" s="1962"/>
      <c r="NCP6" s="1962"/>
      <c r="NCQ6" s="1962"/>
      <c r="NCR6" s="1962"/>
      <c r="NCS6" s="1962"/>
      <c r="NCT6" s="1962"/>
      <c r="NCU6" s="1962"/>
      <c r="NCV6" s="1962"/>
      <c r="NCW6" s="1962"/>
      <c r="NCX6" s="1962"/>
      <c r="NCY6" s="1962"/>
      <c r="NCZ6" s="1962"/>
      <c r="NDA6" s="1962"/>
      <c r="NDB6" s="1962"/>
      <c r="NDC6" s="1962"/>
      <c r="NDD6" s="1962"/>
      <c r="NDE6" s="1962"/>
      <c r="NDF6" s="1962"/>
      <c r="NDG6" s="1962"/>
      <c r="NDH6" s="1962"/>
      <c r="NDI6" s="1962"/>
      <c r="NDJ6" s="1962"/>
      <c r="NDK6" s="1962"/>
      <c r="NDL6" s="1962"/>
      <c r="NDM6" s="1962"/>
      <c r="NDN6" s="1962"/>
      <c r="NDO6" s="1962"/>
      <c r="NDP6" s="1962"/>
      <c r="NDQ6" s="1962"/>
      <c r="NDR6" s="1962"/>
      <c r="NDS6" s="1962"/>
      <c r="NDT6" s="1962"/>
      <c r="NDU6" s="1962"/>
      <c r="NDV6" s="1962"/>
      <c r="NDW6" s="1962"/>
      <c r="NDX6" s="1962"/>
      <c r="NDY6" s="1962"/>
      <c r="NDZ6" s="1962"/>
      <c r="NEA6" s="1962"/>
      <c r="NEB6" s="1962"/>
      <c r="NEC6" s="1962"/>
      <c r="NED6" s="1962"/>
      <c r="NEE6" s="1962"/>
      <c r="NEF6" s="1962"/>
      <c r="NEG6" s="1962"/>
      <c r="NEH6" s="1962"/>
      <c r="NEI6" s="1962"/>
      <c r="NEJ6" s="1962"/>
      <c r="NEK6" s="1962"/>
      <c r="NEL6" s="1962"/>
      <c r="NEM6" s="1962"/>
      <c r="NEN6" s="1962"/>
      <c r="NEO6" s="1962"/>
      <c r="NEP6" s="1962"/>
      <c r="NEQ6" s="1962"/>
      <c r="NER6" s="1962"/>
      <c r="NES6" s="1962"/>
      <c r="NET6" s="1962"/>
      <c r="NEU6" s="1962"/>
      <c r="NEV6" s="1962"/>
      <c r="NEW6" s="1962"/>
      <c r="NEX6" s="1962"/>
      <c r="NEY6" s="1962"/>
      <c r="NEZ6" s="1962"/>
      <c r="NFA6" s="1962"/>
      <c r="NFB6" s="1962"/>
      <c r="NFC6" s="1962"/>
      <c r="NFD6" s="1962"/>
      <c r="NFE6" s="1962"/>
      <c r="NFF6" s="1962"/>
      <c r="NFG6" s="1962"/>
      <c r="NFH6" s="1962"/>
      <c r="NFI6" s="1962"/>
      <c r="NFJ6" s="1962"/>
      <c r="NFK6" s="1962"/>
      <c r="NFL6" s="1962"/>
      <c r="NFM6" s="1962"/>
      <c r="NFN6" s="1962"/>
      <c r="NFO6" s="1962"/>
      <c r="NFP6" s="1962"/>
      <c r="NFQ6" s="1962"/>
      <c r="NFR6" s="1962"/>
      <c r="NFS6" s="1962"/>
      <c r="NFT6" s="1962"/>
      <c r="NFU6" s="1962"/>
      <c r="NFV6" s="1962"/>
      <c r="NFW6" s="1962"/>
      <c r="NFX6" s="1962"/>
      <c r="NFY6" s="1962"/>
      <c r="NFZ6" s="1962"/>
      <c r="NGA6" s="1962"/>
      <c r="NGB6" s="1962"/>
      <c r="NGC6" s="1962"/>
      <c r="NGD6" s="1962"/>
      <c r="NGE6" s="1962"/>
      <c r="NGF6" s="1962"/>
      <c r="NGG6" s="1962"/>
      <c r="NGH6" s="1962"/>
      <c r="NGI6" s="1962"/>
      <c r="NGJ6" s="1962"/>
      <c r="NGK6" s="1962"/>
      <c r="NGL6" s="1962"/>
      <c r="NGM6" s="1962"/>
      <c r="NGN6" s="1962"/>
      <c r="NGO6" s="1962"/>
      <c r="NGP6" s="1962"/>
      <c r="NGQ6" s="1962"/>
      <c r="NGR6" s="1962"/>
      <c r="NGS6" s="1962"/>
      <c r="NGT6" s="1962"/>
      <c r="NGU6" s="1962"/>
      <c r="NGV6" s="1962"/>
      <c r="NGW6" s="1962"/>
      <c r="NGX6" s="1962"/>
      <c r="NGY6" s="1962"/>
      <c r="NGZ6" s="1962"/>
      <c r="NHA6" s="1962"/>
      <c r="NHB6" s="1962"/>
      <c r="NHC6" s="1962"/>
      <c r="NHD6" s="1962"/>
      <c r="NHE6" s="1962"/>
      <c r="NHF6" s="1962"/>
      <c r="NHG6" s="1962"/>
      <c r="NHH6" s="1962"/>
      <c r="NHI6" s="1962"/>
      <c r="NHJ6" s="1962"/>
      <c r="NHK6" s="1962"/>
      <c r="NHL6" s="1962"/>
      <c r="NHM6" s="1962"/>
      <c r="NHN6" s="1962"/>
      <c r="NHO6" s="1962"/>
      <c r="NHP6" s="1962"/>
      <c r="NHQ6" s="1962"/>
      <c r="NHR6" s="1962"/>
      <c r="NHS6" s="1962"/>
      <c r="NHT6" s="1962"/>
      <c r="NHU6" s="1962"/>
      <c r="NHV6" s="1962"/>
      <c r="NHW6" s="1962"/>
      <c r="NHX6" s="1962"/>
      <c r="NHY6" s="1962"/>
      <c r="NHZ6" s="1962"/>
      <c r="NIA6" s="1962"/>
      <c r="NIB6" s="1962"/>
      <c r="NIC6" s="1962"/>
      <c r="NID6" s="1962"/>
      <c r="NIE6" s="1962"/>
      <c r="NIF6" s="1962"/>
      <c r="NIG6" s="1962"/>
      <c r="NIH6" s="1962"/>
      <c r="NII6" s="1962"/>
      <c r="NIJ6" s="1962"/>
      <c r="NIK6" s="1962"/>
      <c r="NIL6" s="1962"/>
      <c r="NIM6" s="1962"/>
      <c r="NIN6" s="1962"/>
      <c r="NIO6" s="1962"/>
      <c r="NIP6" s="1962"/>
      <c r="NIQ6" s="1962"/>
      <c r="NIR6" s="1962"/>
      <c r="NIS6" s="1962"/>
      <c r="NIT6" s="1962"/>
      <c r="NIU6" s="1962"/>
      <c r="NIV6" s="1962"/>
      <c r="NIW6" s="1962"/>
      <c r="NIX6" s="1962"/>
      <c r="NIY6" s="1962"/>
      <c r="NIZ6" s="1962"/>
      <c r="NJA6" s="1962"/>
      <c r="NJB6" s="1962"/>
      <c r="NJC6" s="1962"/>
      <c r="NJD6" s="1962"/>
      <c r="NJE6" s="1962"/>
      <c r="NJF6" s="1962"/>
      <c r="NJG6" s="1962"/>
      <c r="NJH6" s="1962"/>
      <c r="NJI6" s="1962"/>
      <c r="NJJ6" s="1962"/>
      <c r="NJK6" s="1962"/>
      <c r="NJL6" s="1962"/>
      <c r="NJM6" s="1962"/>
      <c r="NJN6" s="1962"/>
      <c r="NJO6" s="1962"/>
      <c r="NJP6" s="1962"/>
      <c r="NJQ6" s="1962"/>
      <c r="NJR6" s="1962"/>
      <c r="NJS6" s="1962"/>
      <c r="NJT6" s="1962"/>
      <c r="NJU6" s="1962"/>
      <c r="NJV6" s="1962"/>
      <c r="NJW6" s="1962"/>
      <c r="NJX6" s="1962"/>
      <c r="NJY6" s="1962"/>
      <c r="NJZ6" s="1962"/>
      <c r="NKA6" s="1962"/>
      <c r="NKB6" s="1962"/>
      <c r="NKC6" s="1962"/>
      <c r="NKD6" s="1962"/>
      <c r="NKE6" s="1962"/>
      <c r="NKF6" s="1962"/>
      <c r="NKG6" s="1962"/>
      <c r="NKH6" s="1962"/>
      <c r="NKI6" s="1962"/>
      <c r="NKJ6" s="1962"/>
      <c r="NKK6" s="1962"/>
      <c r="NKL6" s="1962"/>
      <c r="NKM6" s="1962"/>
      <c r="NKN6" s="1962"/>
      <c r="NKO6" s="1962"/>
      <c r="NKP6" s="1962"/>
      <c r="NKQ6" s="1962"/>
      <c r="NKR6" s="1962"/>
      <c r="NKS6" s="1962"/>
      <c r="NKT6" s="1962"/>
      <c r="NKU6" s="1962"/>
      <c r="NKV6" s="1962"/>
      <c r="NKW6" s="1962"/>
      <c r="NKX6" s="1962"/>
      <c r="NKY6" s="1962"/>
      <c r="NKZ6" s="1962"/>
      <c r="NLA6" s="1962"/>
      <c r="NLB6" s="1962"/>
      <c r="NLC6" s="1962"/>
      <c r="NLD6" s="1962"/>
      <c r="NLE6" s="1962"/>
      <c r="NLF6" s="1962"/>
      <c r="NLG6" s="1962"/>
      <c r="NLH6" s="1962"/>
      <c r="NLI6" s="1962"/>
      <c r="NLJ6" s="1962"/>
      <c r="NLK6" s="1962"/>
      <c r="NLL6" s="1962"/>
      <c r="NLM6" s="1962"/>
      <c r="NLN6" s="1962"/>
      <c r="NLO6" s="1962"/>
      <c r="NLP6" s="1962"/>
      <c r="NLQ6" s="1962"/>
      <c r="NLR6" s="1962"/>
      <c r="NLS6" s="1962"/>
      <c r="NLT6" s="1962"/>
      <c r="NLU6" s="1962"/>
      <c r="NLV6" s="1962"/>
      <c r="NLW6" s="1962"/>
      <c r="NLX6" s="1962"/>
      <c r="NLY6" s="1962"/>
      <c r="NLZ6" s="1962"/>
      <c r="NMA6" s="1962"/>
      <c r="NMB6" s="1962"/>
      <c r="NMC6" s="1962"/>
      <c r="NMD6" s="1962"/>
      <c r="NME6" s="1962"/>
      <c r="NMF6" s="1962"/>
      <c r="NMG6" s="1962"/>
      <c r="NMH6" s="1962"/>
      <c r="NMI6" s="1962"/>
      <c r="NMJ6" s="1962"/>
      <c r="NMK6" s="1962"/>
      <c r="NML6" s="1962"/>
      <c r="NMM6" s="1962"/>
      <c r="NMN6" s="1962"/>
      <c r="NMO6" s="1962"/>
      <c r="NMP6" s="1962"/>
      <c r="NMQ6" s="1962"/>
      <c r="NMR6" s="1962"/>
      <c r="NMS6" s="1962"/>
      <c r="NMT6" s="1962"/>
      <c r="NMU6" s="1962"/>
      <c r="NMV6" s="1962"/>
      <c r="NMW6" s="1962"/>
      <c r="NMX6" s="1962"/>
      <c r="NMY6" s="1962"/>
      <c r="NMZ6" s="1962"/>
      <c r="NNA6" s="1962"/>
      <c r="NNB6" s="1962"/>
      <c r="NNC6" s="1962"/>
      <c r="NND6" s="1962"/>
      <c r="NNE6" s="1962"/>
      <c r="NNF6" s="1962"/>
      <c r="NNG6" s="1962"/>
      <c r="NNH6" s="1962"/>
      <c r="NNI6" s="1962"/>
      <c r="NNJ6" s="1962"/>
      <c r="NNK6" s="1962"/>
      <c r="NNL6" s="1962"/>
      <c r="NNM6" s="1962"/>
      <c r="NNN6" s="1962"/>
      <c r="NNO6" s="1962"/>
      <c r="NNP6" s="1962"/>
      <c r="NNQ6" s="1962"/>
      <c r="NNR6" s="1962"/>
      <c r="NNS6" s="1962"/>
      <c r="NNT6" s="1962"/>
      <c r="NNU6" s="1962"/>
      <c r="NNV6" s="1962"/>
      <c r="NNW6" s="1962"/>
      <c r="NNX6" s="1962"/>
      <c r="NNY6" s="1962"/>
      <c r="NNZ6" s="1962"/>
      <c r="NOA6" s="1962"/>
      <c r="NOB6" s="1962"/>
      <c r="NOC6" s="1962"/>
      <c r="NOD6" s="1962"/>
      <c r="NOE6" s="1962"/>
      <c r="NOF6" s="1962"/>
      <c r="NOG6" s="1962"/>
      <c r="NOH6" s="1962"/>
      <c r="NOI6" s="1962"/>
      <c r="NOJ6" s="1962"/>
      <c r="NOK6" s="1962"/>
      <c r="NOL6" s="1962"/>
      <c r="NOM6" s="1962"/>
      <c r="NON6" s="1962"/>
      <c r="NOO6" s="1962"/>
      <c r="NOP6" s="1962"/>
      <c r="NOQ6" s="1962"/>
      <c r="NOR6" s="1962"/>
      <c r="NOS6" s="1962"/>
      <c r="NOT6" s="1962"/>
      <c r="NOU6" s="1962"/>
      <c r="NOV6" s="1962"/>
      <c r="NOW6" s="1962"/>
      <c r="NOX6" s="1962"/>
      <c r="NOY6" s="1962"/>
      <c r="NOZ6" s="1962"/>
      <c r="NPA6" s="1962"/>
      <c r="NPB6" s="1962"/>
      <c r="NPC6" s="1962"/>
      <c r="NPD6" s="1962"/>
      <c r="NPE6" s="1962"/>
      <c r="NPF6" s="1962"/>
      <c r="NPG6" s="1962"/>
      <c r="NPH6" s="1962"/>
      <c r="NPI6" s="1962"/>
      <c r="NPJ6" s="1962"/>
      <c r="NPK6" s="1962"/>
      <c r="NPL6" s="1962"/>
      <c r="NPM6" s="1962"/>
      <c r="NPN6" s="1962"/>
      <c r="NPO6" s="1962"/>
      <c r="NPP6" s="1962"/>
      <c r="NPQ6" s="1962"/>
      <c r="NPR6" s="1962"/>
      <c r="NPS6" s="1962"/>
      <c r="NPT6" s="1962"/>
      <c r="NPU6" s="1962"/>
      <c r="NPV6" s="1962"/>
      <c r="NPW6" s="1962"/>
      <c r="NPX6" s="1962"/>
      <c r="NPY6" s="1962"/>
      <c r="NPZ6" s="1962"/>
      <c r="NQA6" s="1962"/>
      <c r="NQB6" s="1962"/>
      <c r="NQC6" s="1962"/>
      <c r="NQD6" s="1962"/>
      <c r="NQE6" s="1962"/>
      <c r="NQF6" s="1962"/>
      <c r="NQG6" s="1962"/>
      <c r="NQH6" s="1962"/>
      <c r="NQI6" s="1962"/>
      <c r="NQJ6" s="1962"/>
      <c r="NQK6" s="1962"/>
      <c r="NQL6" s="1962"/>
      <c r="NQM6" s="1962"/>
      <c r="NQN6" s="1962"/>
      <c r="NQO6" s="1962"/>
      <c r="NQP6" s="1962"/>
      <c r="NQQ6" s="1962"/>
      <c r="NQR6" s="1962"/>
      <c r="NQS6" s="1962"/>
      <c r="NQT6" s="1962"/>
      <c r="NQU6" s="1962"/>
      <c r="NQV6" s="1962"/>
      <c r="NQW6" s="1962"/>
      <c r="NQX6" s="1962"/>
      <c r="NQY6" s="1962"/>
      <c r="NQZ6" s="1962"/>
      <c r="NRA6" s="1962"/>
      <c r="NRB6" s="1962"/>
      <c r="NRC6" s="1962"/>
      <c r="NRD6" s="1962"/>
      <c r="NRE6" s="1962"/>
      <c r="NRF6" s="1962"/>
      <c r="NRG6" s="1962"/>
      <c r="NRH6" s="1962"/>
      <c r="NRI6" s="1962"/>
      <c r="NRJ6" s="1962"/>
      <c r="NRK6" s="1962"/>
      <c r="NRL6" s="1962"/>
      <c r="NRM6" s="1962"/>
      <c r="NRN6" s="1962"/>
      <c r="NRO6" s="1962"/>
      <c r="NRP6" s="1962"/>
      <c r="NRQ6" s="1962"/>
      <c r="NRR6" s="1962"/>
      <c r="NRS6" s="1962"/>
      <c r="NRT6" s="1962"/>
      <c r="NRU6" s="1962"/>
      <c r="NRV6" s="1962"/>
      <c r="NRW6" s="1962"/>
      <c r="NRX6" s="1962"/>
      <c r="NRY6" s="1962"/>
      <c r="NRZ6" s="1962"/>
      <c r="NSA6" s="1962"/>
      <c r="NSB6" s="1962"/>
      <c r="NSC6" s="1962"/>
      <c r="NSD6" s="1962"/>
      <c r="NSE6" s="1962"/>
      <c r="NSF6" s="1962"/>
      <c r="NSG6" s="1962"/>
      <c r="NSH6" s="1962"/>
      <c r="NSI6" s="1962"/>
      <c r="NSJ6" s="1962"/>
      <c r="NSK6" s="1962"/>
      <c r="NSL6" s="1962"/>
      <c r="NSM6" s="1962"/>
      <c r="NSN6" s="1962"/>
      <c r="NSO6" s="1962"/>
      <c r="NSP6" s="1962"/>
      <c r="NSQ6" s="1962"/>
      <c r="NSR6" s="1962"/>
      <c r="NSS6" s="1962"/>
      <c r="NST6" s="1962"/>
      <c r="NSU6" s="1962"/>
      <c r="NSV6" s="1962"/>
      <c r="NSW6" s="1962"/>
      <c r="NSX6" s="1962"/>
      <c r="NSY6" s="1962"/>
      <c r="NSZ6" s="1962"/>
      <c r="NTA6" s="1962"/>
      <c r="NTB6" s="1962"/>
      <c r="NTC6" s="1962"/>
      <c r="NTD6" s="1962"/>
      <c r="NTE6" s="1962"/>
      <c r="NTF6" s="1962"/>
      <c r="NTG6" s="1962"/>
      <c r="NTH6" s="1962"/>
      <c r="NTI6" s="1962"/>
      <c r="NTJ6" s="1962"/>
      <c r="NTK6" s="1962"/>
      <c r="NTL6" s="1962"/>
      <c r="NTM6" s="1962"/>
      <c r="NTN6" s="1962"/>
      <c r="NTO6" s="1962"/>
      <c r="NTP6" s="1962"/>
      <c r="NTQ6" s="1962"/>
      <c r="NTR6" s="1962"/>
      <c r="NTS6" s="1962"/>
      <c r="NTT6" s="1962"/>
      <c r="NTU6" s="1962"/>
      <c r="NTV6" s="1962"/>
      <c r="NTW6" s="1962"/>
      <c r="NTX6" s="1962"/>
      <c r="NTY6" s="1962"/>
      <c r="NTZ6" s="1962"/>
      <c r="NUA6" s="1962"/>
      <c r="NUB6" s="1962"/>
      <c r="NUC6" s="1962"/>
      <c r="NUD6" s="1962"/>
      <c r="NUE6" s="1962"/>
      <c r="NUF6" s="1962"/>
      <c r="NUG6" s="1962"/>
      <c r="NUH6" s="1962"/>
      <c r="NUI6" s="1962"/>
      <c r="NUJ6" s="1962"/>
      <c r="NUK6" s="1962"/>
      <c r="NUL6" s="1962"/>
      <c r="NUM6" s="1962"/>
      <c r="NUN6" s="1962"/>
      <c r="NUO6" s="1962"/>
      <c r="NUP6" s="1962"/>
      <c r="NUQ6" s="1962"/>
      <c r="NUR6" s="1962"/>
      <c r="NUS6" s="1962"/>
      <c r="NUT6" s="1962"/>
      <c r="NUU6" s="1962"/>
      <c r="NUV6" s="1962"/>
      <c r="NUW6" s="1962"/>
      <c r="NUX6" s="1962"/>
      <c r="NUY6" s="1962"/>
      <c r="NUZ6" s="1962"/>
      <c r="NVA6" s="1962"/>
      <c r="NVB6" s="1962"/>
      <c r="NVC6" s="1962"/>
      <c r="NVD6" s="1962"/>
      <c r="NVE6" s="1962"/>
      <c r="NVF6" s="1962"/>
      <c r="NVG6" s="1962"/>
      <c r="NVH6" s="1962"/>
      <c r="NVI6" s="1962"/>
      <c r="NVJ6" s="1962"/>
      <c r="NVK6" s="1962"/>
      <c r="NVL6" s="1962"/>
      <c r="NVM6" s="1962"/>
      <c r="NVN6" s="1962"/>
      <c r="NVO6" s="1962"/>
      <c r="NVP6" s="1962"/>
      <c r="NVQ6" s="1962"/>
      <c r="NVR6" s="1962"/>
      <c r="NVS6" s="1962"/>
      <c r="NVT6" s="1962"/>
      <c r="NVU6" s="1962"/>
      <c r="NVV6" s="1962"/>
      <c r="NVW6" s="1962"/>
      <c r="NVX6" s="1962"/>
      <c r="NVY6" s="1962"/>
      <c r="NVZ6" s="1962"/>
      <c r="NWA6" s="1962"/>
      <c r="NWB6" s="1962"/>
      <c r="NWC6" s="1962"/>
      <c r="NWD6" s="1962"/>
      <c r="NWE6" s="1962"/>
      <c r="NWF6" s="1962"/>
      <c r="NWG6" s="1962"/>
      <c r="NWH6" s="1962"/>
      <c r="NWI6" s="1962"/>
      <c r="NWJ6" s="1962"/>
      <c r="NWK6" s="1962"/>
      <c r="NWL6" s="1962"/>
      <c r="NWM6" s="1962"/>
      <c r="NWN6" s="1962"/>
      <c r="NWO6" s="1962"/>
      <c r="NWP6" s="1962"/>
      <c r="NWQ6" s="1962"/>
      <c r="NWR6" s="1962"/>
      <c r="NWS6" s="1962"/>
      <c r="NWT6" s="1962"/>
      <c r="NWU6" s="1962"/>
      <c r="NWV6" s="1962"/>
      <c r="NWW6" s="1962"/>
      <c r="NWX6" s="1962"/>
      <c r="NWY6" s="1962"/>
      <c r="NWZ6" s="1962"/>
      <c r="NXA6" s="1962"/>
      <c r="NXB6" s="1962"/>
      <c r="NXC6" s="1962"/>
      <c r="NXD6" s="1962"/>
      <c r="NXE6" s="1962"/>
      <c r="NXF6" s="1962"/>
      <c r="NXG6" s="1962"/>
      <c r="NXH6" s="1962"/>
      <c r="NXI6" s="1962"/>
      <c r="NXJ6" s="1962"/>
      <c r="NXK6" s="1962"/>
      <c r="NXL6" s="1962"/>
      <c r="NXM6" s="1962"/>
      <c r="NXN6" s="1962"/>
      <c r="NXO6" s="1962"/>
      <c r="NXP6" s="1962"/>
      <c r="NXQ6" s="1962"/>
      <c r="NXR6" s="1962"/>
      <c r="NXS6" s="1962"/>
      <c r="NXT6" s="1962"/>
      <c r="NXU6" s="1962"/>
      <c r="NXV6" s="1962"/>
      <c r="NXW6" s="1962"/>
      <c r="NXX6" s="1962"/>
      <c r="NXY6" s="1962"/>
      <c r="NXZ6" s="1962"/>
      <c r="NYA6" s="1962"/>
      <c r="NYB6" s="1962"/>
      <c r="NYC6" s="1962"/>
      <c r="NYD6" s="1962"/>
      <c r="NYE6" s="1962"/>
      <c r="NYF6" s="1962"/>
      <c r="NYG6" s="1962"/>
      <c r="NYH6" s="1962"/>
      <c r="NYI6" s="1962"/>
      <c r="NYJ6" s="1962"/>
      <c r="NYK6" s="1962"/>
      <c r="NYL6" s="1962"/>
      <c r="NYM6" s="1962"/>
      <c r="NYN6" s="1962"/>
      <c r="NYO6" s="1962"/>
      <c r="NYP6" s="1962"/>
      <c r="NYQ6" s="1962"/>
      <c r="NYR6" s="1962"/>
      <c r="NYS6" s="1962"/>
      <c r="NYT6" s="1962"/>
      <c r="NYU6" s="1962"/>
      <c r="NYV6" s="1962"/>
      <c r="NYW6" s="1962"/>
      <c r="NYX6" s="1962"/>
      <c r="NYY6" s="1962"/>
      <c r="NYZ6" s="1962"/>
      <c r="NZA6" s="1962"/>
      <c r="NZB6" s="1962"/>
      <c r="NZC6" s="1962"/>
      <c r="NZD6" s="1962"/>
      <c r="NZE6" s="1962"/>
      <c r="NZF6" s="1962"/>
      <c r="NZG6" s="1962"/>
      <c r="NZH6" s="1962"/>
      <c r="NZI6" s="1962"/>
      <c r="NZJ6" s="1962"/>
      <c r="NZK6" s="1962"/>
      <c r="NZL6" s="1962"/>
      <c r="NZM6" s="1962"/>
      <c r="NZN6" s="1962"/>
      <c r="NZO6" s="1962"/>
      <c r="NZP6" s="1962"/>
      <c r="NZQ6" s="1962"/>
      <c r="NZR6" s="1962"/>
      <c r="NZS6" s="1962"/>
      <c r="NZT6" s="1962"/>
      <c r="NZU6" s="1962"/>
      <c r="NZV6" s="1962"/>
      <c r="NZW6" s="1962"/>
      <c r="NZX6" s="1962"/>
      <c r="NZY6" s="1962"/>
      <c r="NZZ6" s="1962"/>
      <c r="OAA6" s="1962"/>
      <c r="OAB6" s="1962"/>
      <c r="OAC6" s="1962"/>
      <c r="OAD6" s="1962"/>
      <c r="OAE6" s="1962"/>
      <c r="OAF6" s="1962"/>
      <c r="OAG6" s="1962"/>
      <c r="OAH6" s="1962"/>
      <c r="OAI6" s="1962"/>
      <c r="OAJ6" s="1962"/>
      <c r="OAK6" s="1962"/>
      <c r="OAL6" s="1962"/>
      <c r="OAM6" s="1962"/>
      <c r="OAN6" s="1962"/>
      <c r="OAO6" s="1962"/>
      <c r="OAP6" s="1962"/>
      <c r="OAQ6" s="1962"/>
      <c r="OAR6" s="1962"/>
      <c r="OAS6" s="1962"/>
      <c r="OAT6" s="1962"/>
      <c r="OAU6" s="1962"/>
      <c r="OAV6" s="1962"/>
      <c r="OAW6" s="1962"/>
      <c r="OAX6" s="1962"/>
      <c r="OAY6" s="1962"/>
      <c r="OAZ6" s="1962"/>
      <c r="OBA6" s="1962"/>
      <c r="OBB6" s="1962"/>
      <c r="OBC6" s="1962"/>
      <c r="OBD6" s="1962"/>
      <c r="OBE6" s="1962"/>
      <c r="OBF6" s="1962"/>
      <c r="OBG6" s="1962"/>
      <c r="OBH6" s="1962"/>
      <c r="OBI6" s="1962"/>
      <c r="OBJ6" s="1962"/>
      <c r="OBK6" s="1962"/>
      <c r="OBL6" s="1962"/>
      <c r="OBM6" s="1962"/>
      <c r="OBN6" s="1962"/>
      <c r="OBO6" s="1962"/>
      <c r="OBP6" s="1962"/>
      <c r="OBQ6" s="1962"/>
      <c r="OBR6" s="1962"/>
      <c r="OBS6" s="1962"/>
      <c r="OBT6" s="1962"/>
      <c r="OBU6" s="1962"/>
      <c r="OBV6" s="1962"/>
      <c r="OBW6" s="1962"/>
      <c r="OBX6" s="1962"/>
      <c r="OBY6" s="1962"/>
      <c r="OBZ6" s="1962"/>
      <c r="OCA6" s="1962"/>
      <c r="OCB6" s="1962"/>
      <c r="OCC6" s="1962"/>
      <c r="OCD6" s="1962"/>
      <c r="OCE6" s="1962"/>
      <c r="OCF6" s="1962"/>
      <c r="OCG6" s="1962"/>
      <c r="OCH6" s="1962"/>
      <c r="OCI6" s="1962"/>
      <c r="OCJ6" s="1962"/>
      <c r="OCK6" s="1962"/>
      <c r="OCL6" s="1962"/>
      <c r="OCM6" s="1962"/>
      <c r="OCN6" s="1962"/>
      <c r="OCO6" s="1962"/>
      <c r="OCP6" s="1962"/>
      <c r="OCQ6" s="1962"/>
      <c r="OCR6" s="1962"/>
      <c r="OCS6" s="1962"/>
      <c r="OCT6" s="1962"/>
      <c r="OCU6" s="1962"/>
      <c r="OCV6" s="1962"/>
      <c r="OCW6" s="1962"/>
      <c r="OCX6" s="1962"/>
      <c r="OCY6" s="1962"/>
      <c r="OCZ6" s="1962"/>
      <c r="ODA6" s="1962"/>
      <c r="ODB6" s="1962"/>
      <c r="ODC6" s="1962"/>
      <c r="ODD6" s="1962"/>
      <c r="ODE6" s="1962"/>
      <c r="ODF6" s="1962"/>
      <c r="ODG6" s="1962"/>
      <c r="ODH6" s="1962"/>
      <c r="ODI6" s="1962"/>
      <c r="ODJ6" s="1962"/>
      <c r="ODK6" s="1962"/>
      <c r="ODL6" s="1962"/>
      <c r="ODM6" s="1962"/>
      <c r="ODN6" s="1962"/>
      <c r="ODO6" s="1962"/>
      <c r="ODP6" s="1962"/>
      <c r="ODQ6" s="1962"/>
      <c r="ODR6" s="1962"/>
      <c r="ODS6" s="1962"/>
      <c r="ODT6" s="1962"/>
      <c r="ODU6" s="1962"/>
      <c r="ODV6" s="1962"/>
      <c r="ODW6" s="1962"/>
      <c r="ODX6" s="1962"/>
      <c r="ODY6" s="1962"/>
      <c r="ODZ6" s="1962"/>
      <c r="OEA6" s="1962"/>
      <c r="OEB6" s="1962"/>
      <c r="OEC6" s="1962"/>
      <c r="OED6" s="1962"/>
      <c r="OEE6" s="1962"/>
      <c r="OEF6" s="1962"/>
      <c r="OEG6" s="1962"/>
      <c r="OEH6" s="1962"/>
      <c r="OEI6" s="1962"/>
      <c r="OEJ6" s="1962"/>
      <c r="OEK6" s="1962"/>
      <c r="OEL6" s="1962"/>
      <c r="OEM6" s="1962"/>
      <c r="OEN6" s="1962"/>
      <c r="OEO6" s="1962"/>
      <c r="OEP6" s="1962"/>
      <c r="OEQ6" s="1962"/>
      <c r="OER6" s="1962"/>
      <c r="OES6" s="1962"/>
      <c r="OET6" s="1962"/>
      <c r="OEU6" s="1962"/>
      <c r="OEV6" s="1962"/>
      <c r="OEW6" s="1962"/>
      <c r="OEX6" s="1962"/>
      <c r="OEY6" s="1962"/>
      <c r="OEZ6" s="1962"/>
      <c r="OFA6" s="1962"/>
      <c r="OFB6" s="1962"/>
      <c r="OFC6" s="1962"/>
      <c r="OFD6" s="1962"/>
      <c r="OFE6" s="1962"/>
      <c r="OFF6" s="1962"/>
      <c r="OFG6" s="1962"/>
      <c r="OFH6" s="1962"/>
      <c r="OFI6" s="1962"/>
      <c r="OFJ6" s="1962"/>
      <c r="OFK6" s="1962"/>
      <c r="OFL6" s="1962"/>
      <c r="OFM6" s="1962"/>
      <c r="OFN6" s="1962"/>
      <c r="OFO6" s="1962"/>
      <c r="OFP6" s="1962"/>
      <c r="OFQ6" s="1962"/>
      <c r="OFR6" s="1962"/>
      <c r="OFS6" s="1962"/>
      <c r="OFT6" s="1962"/>
      <c r="OFU6" s="1962"/>
      <c r="OFV6" s="1962"/>
      <c r="OFW6" s="1962"/>
      <c r="OFX6" s="1962"/>
      <c r="OFY6" s="1962"/>
      <c r="OFZ6" s="1962"/>
      <c r="OGA6" s="1962"/>
      <c r="OGB6" s="1962"/>
      <c r="OGC6" s="1962"/>
      <c r="OGD6" s="1962"/>
      <c r="OGE6" s="1962"/>
      <c r="OGF6" s="1962"/>
      <c r="OGG6" s="1962"/>
      <c r="OGH6" s="1962"/>
      <c r="OGI6" s="1962"/>
      <c r="OGJ6" s="1962"/>
      <c r="OGK6" s="1962"/>
      <c r="OGL6" s="1962"/>
      <c r="OGM6" s="1962"/>
      <c r="OGN6" s="1962"/>
      <c r="OGO6" s="1962"/>
      <c r="OGP6" s="1962"/>
      <c r="OGQ6" s="1962"/>
      <c r="OGR6" s="1962"/>
      <c r="OGS6" s="1962"/>
      <c r="OGT6" s="1962"/>
      <c r="OGU6" s="1962"/>
      <c r="OGV6" s="1962"/>
      <c r="OGW6" s="1962"/>
      <c r="OGX6" s="1962"/>
      <c r="OGY6" s="1962"/>
      <c r="OGZ6" s="1962"/>
      <c r="OHA6" s="1962"/>
      <c r="OHB6" s="1962"/>
      <c r="OHC6" s="1962"/>
      <c r="OHD6" s="1962"/>
      <c r="OHE6" s="1962"/>
      <c r="OHF6" s="1962"/>
      <c r="OHG6" s="1962"/>
      <c r="OHH6" s="1962"/>
      <c r="OHI6" s="1962"/>
      <c r="OHJ6" s="1962"/>
      <c r="OHK6" s="1962"/>
      <c r="OHL6" s="1962"/>
      <c r="OHM6" s="1962"/>
      <c r="OHN6" s="1962"/>
      <c r="OHO6" s="1962"/>
      <c r="OHP6" s="1962"/>
      <c r="OHQ6" s="1962"/>
      <c r="OHR6" s="1962"/>
      <c r="OHS6" s="1962"/>
      <c r="OHT6" s="1962"/>
      <c r="OHU6" s="1962"/>
      <c r="OHV6" s="1962"/>
      <c r="OHW6" s="1962"/>
      <c r="OHX6" s="1962"/>
      <c r="OHY6" s="1962"/>
      <c r="OHZ6" s="1962"/>
      <c r="OIA6" s="1962"/>
      <c r="OIB6" s="1962"/>
      <c r="OIC6" s="1962"/>
      <c r="OID6" s="1962"/>
      <c r="OIE6" s="1962"/>
      <c r="OIF6" s="1962"/>
      <c r="OIG6" s="1962"/>
      <c r="OIH6" s="1962"/>
      <c r="OII6" s="1962"/>
      <c r="OIJ6" s="1962"/>
      <c r="OIK6" s="1962"/>
      <c r="OIL6" s="1962"/>
      <c r="OIM6" s="1962"/>
      <c r="OIN6" s="1962"/>
      <c r="OIO6" s="1962"/>
      <c r="OIP6" s="1962"/>
      <c r="OIQ6" s="1962"/>
      <c r="OIR6" s="1962"/>
      <c r="OIS6" s="1962"/>
      <c r="OIT6" s="1962"/>
      <c r="OIU6" s="1962"/>
      <c r="OIV6" s="1962"/>
      <c r="OIW6" s="1962"/>
      <c r="OIX6" s="1962"/>
      <c r="OIY6" s="1962"/>
      <c r="OIZ6" s="1962"/>
      <c r="OJA6" s="1962"/>
      <c r="OJB6" s="1962"/>
      <c r="OJC6" s="1962"/>
      <c r="OJD6" s="1962"/>
      <c r="OJE6" s="1962"/>
      <c r="OJF6" s="1962"/>
      <c r="OJG6" s="1962"/>
      <c r="OJH6" s="1962"/>
      <c r="OJI6" s="1962"/>
      <c r="OJJ6" s="1962"/>
      <c r="OJK6" s="1962"/>
      <c r="OJL6" s="1962"/>
      <c r="OJM6" s="1962"/>
      <c r="OJN6" s="1962"/>
      <c r="OJO6" s="1962"/>
      <c r="OJP6" s="1962"/>
      <c r="OJQ6" s="1962"/>
      <c r="OJR6" s="1962"/>
      <c r="OJS6" s="1962"/>
      <c r="OJT6" s="1962"/>
      <c r="OJU6" s="1962"/>
      <c r="OJV6" s="1962"/>
      <c r="OJW6" s="1962"/>
      <c r="OJX6" s="1962"/>
      <c r="OJY6" s="1962"/>
      <c r="OJZ6" s="1962"/>
      <c r="OKA6" s="1962"/>
      <c r="OKB6" s="1962"/>
      <c r="OKC6" s="1962"/>
      <c r="OKD6" s="1962"/>
      <c r="OKE6" s="1962"/>
      <c r="OKF6" s="1962"/>
      <c r="OKG6" s="1962"/>
      <c r="OKH6" s="1962"/>
      <c r="OKI6" s="1962"/>
      <c r="OKJ6" s="1962"/>
      <c r="OKK6" s="1962"/>
      <c r="OKL6" s="1962"/>
      <c r="OKM6" s="1962"/>
      <c r="OKN6" s="1962"/>
      <c r="OKO6" s="1962"/>
      <c r="OKP6" s="1962"/>
      <c r="OKQ6" s="1962"/>
      <c r="OKR6" s="1962"/>
      <c r="OKS6" s="1962"/>
      <c r="OKT6" s="1962"/>
      <c r="OKU6" s="1962"/>
      <c r="OKV6" s="1962"/>
      <c r="OKW6" s="1962"/>
      <c r="OKX6" s="1962"/>
      <c r="OKY6" s="1962"/>
      <c r="OKZ6" s="1962"/>
      <c r="OLA6" s="1962"/>
      <c r="OLB6" s="1962"/>
      <c r="OLC6" s="1962"/>
      <c r="OLD6" s="1962"/>
      <c r="OLE6" s="1962"/>
      <c r="OLF6" s="1962"/>
      <c r="OLG6" s="1962"/>
      <c r="OLH6" s="1962"/>
      <c r="OLI6" s="1962"/>
      <c r="OLJ6" s="1962"/>
      <c r="OLK6" s="1962"/>
      <c r="OLL6" s="1962"/>
      <c r="OLM6" s="1962"/>
      <c r="OLN6" s="1962"/>
      <c r="OLO6" s="1962"/>
      <c r="OLP6" s="1962"/>
      <c r="OLQ6" s="1962"/>
      <c r="OLR6" s="1962"/>
      <c r="OLS6" s="1962"/>
      <c r="OLT6" s="1962"/>
      <c r="OLU6" s="1962"/>
      <c r="OLV6" s="1962"/>
      <c r="OLW6" s="1962"/>
      <c r="OLX6" s="1962"/>
      <c r="OLY6" s="1962"/>
      <c r="OLZ6" s="1962"/>
      <c r="OMA6" s="1962"/>
      <c r="OMB6" s="1962"/>
      <c r="OMC6" s="1962"/>
      <c r="OMD6" s="1962"/>
      <c r="OME6" s="1962"/>
      <c r="OMF6" s="1962"/>
      <c r="OMG6" s="1962"/>
      <c r="OMH6" s="1962"/>
      <c r="OMI6" s="1962"/>
      <c r="OMJ6" s="1962"/>
      <c r="OMK6" s="1962"/>
      <c r="OML6" s="1962"/>
      <c r="OMM6" s="1962"/>
      <c r="OMN6" s="1962"/>
      <c r="OMO6" s="1962"/>
      <c r="OMP6" s="1962"/>
      <c r="OMQ6" s="1962"/>
      <c r="OMR6" s="1962"/>
      <c r="OMS6" s="1962"/>
      <c r="OMT6" s="1962"/>
      <c r="OMU6" s="1962"/>
      <c r="OMV6" s="1962"/>
      <c r="OMW6" s="1962"/>
      <c r="OMX6" s="1962"/>
      <c r="OMY6" s="1962"/>
      <c r="OMZ6" s="1962"/>
      <c r="ONA6" s="1962"/>
      <c r="ONB6" s="1962"/>
      <c r="ONC6" s="1962"/>
      <c r="OND6" s="1962"/>
      <c r="ONE6" s="1962"/>
      <c r="ONF6" s="1962"/>
      <c r="ONG6" s="1962"/>
      <c r="ONH6" s="1962"/>
      <c r="ONI6" s="1962"/>
      <c r="ONJ6" s="1962"/>
      <c r="ONK6" s="1962"/>
      <c r="ONL6" s="1962"/>
      <c r="ONM6" s="1962"/>
      <c r="ONN6" s="1962"/>
      <c r="ONO6" s="1962"/>
      <c r="ONP6" s="1962"/>
      <c r="ONQ6" s="1962"/>
      <c r="ONR6" s="1962"/>
      <c r="ONS6" s="1962"/>
      <c r="ONT6" s="1962"/>
      <c r="ONU6" s="1962"/>
      <c r="ONV6" s="1962"/>
      <c r="ONW6" s="1962"/>
      <c r="ONX6" s="1962"/>
      <c r="ONY6" s="1962"/>
      <c r="ONZ6" s="1962"/>
      <c r="OOA6" s="1962"/>
      <c r="OOB6" s="1962"/>
      <c r="OOC6" s="1962"/>
      <c r="OOD6" s="1962"/>
      <c r="OOE6" s="1962"/>
      <c r="OOF6" s="1962"/>
      <c r="OOG6" s="1962"/>
      <c r="OOH6" s="1962"/>
      <c r="OOI6" s="1962"/>
      <c r="OOJ6" s="1962"/>
      <c r="OOK6" s="1962"/>
      <c r="OOL6" s="1962"/>
      <c r="OOM6" s="1962"/>
      <c r="OON6" s="1962"/>
      <c r="OOO6" s="1962"/>
      <c r="OOP6" s="1962"/>
      <c r="OOQ6" s="1962"/>
      <c r="OOR6" s="1962"/>
      <c r="OOS6" s="1962"/>
      <c r="OOT6" s="1962"/>
      <c r="OOU6" s="1962"/>
      <c r="OOV6" s="1962"/>
      <c r="OOW6" s="1962"/>
      <c r="OOX6" s="1962"/>
      <c r="OOY6" s="1962"/>
      <c r="OOZ6" s="1962"/>
      <c r="OPA6" s="1962"/>
      <c r="OPB6" s="1962"/>
      <c r="OPC6" s="1962"/>
      <c r="OPD6" s="1962"/>
      <c r="OPE6" s="1962"/>
      <c r="OPF6" s="1962"/>
      <c r="OPG6" s="1962"/>
      <c r="OPH6" s="1962"/>
      <c r="OPI6" s="1962"/>
      <c r="OPJ6" s="1962"/>
      <c r="OPK6" s="1962"/>
      <c r="OPL6" s="1962"/>
      <c r="OPM6" s="1962"/>
      <c r="OPN6" s="1962"/>
      <c r="OPO6" s="1962"/>
      <c r="OPP6" s="1962"/>
      <c r="OPQ6" s="1962"/>
      <c r="OPR6" s="1962"/>
      <c r="OPS6" s="1962"/>
      <c r="OPT6" s="1962"/>
      <c r="OPU6" s="1962"/>
      <c r="OPV6" s="1962"/>
      <c r="OPW6" s="1962"/>
      <c r="OPX6" s="1962"/>
      <c r="OPY6" s="1962"/>
      <c r="OPZ6" s="1962"/>
      <c r="OQA6" s="1962"/>
      <c r="OQB6" s="1962"/>
      <c r="OQC6" s="1962"/>
      <c r="OQD6" s="1962"/>
      <c r="OQE6" s="1962"/>
      <c r="OQF6" s="1962"/>
      <c r="OQG6" s="1962"/>
      <c r="OQH6" s="1962"/>
      <c r="OQI6" s="1962"/>
      <c r="OQJ6" s="1962"/>
      <c r="OQK6" s="1962"/>
      <c r="OQL6" s="1962"/>
      <c r="OQM6" s="1962"/>
      <c r="OQN6" s="1962"/>
      <c r="OQO6" s="1962"/>
      <c r="OQP6" s="1962"/>
      <c r="OQQ6" s="1962"/>
      <c r="OQR6" s="1962"/>
      <c r="OQS6" s="1962"/>
      <c r="OQT6" s="1962"/>
      <c r="OQU6" s="1962"/>
      <c r="OQV6" s="1962"/>
      <c r="OQW6" s="1962"/>
      <c r="OQX6" s="1962"/>
      <c r="OQY6" s="1962"/>
      <c r="OQZ6" s="1962"/>
      <c r="ORA6" s="1962"/>
      <c r="ORB6" s="1962"/>
      <c r="ORC6" s="1962"/>
      <c r="ORD6" s="1962"/>
      <c r="ORE6" s="1962"/>
      <c r="ORF6" s="1962"/>
      <c r="ORG6" s="1962"/>
      <c r="ORH6" s="1962"/>
      <c r="ORI6" s="1962"/>
      <c r="ORJ6" s="1962"/>
      <c r="ORK6" s="1962"/>
      <c r="ORL6" s="1962"/>
      <c r="ORM6" s="1962"/>
      <c r="ORN6" s="1962"/>
      <c r="ORO6" s="1962"/>
      <c r="ORP6" s="1962"/>
      <c r="ORQ6" s="1962"/>
      <c r="ORR6" s="1962"/>
      <c r="ORS6" s="1962"/>
      <c r="ORT6" s="1962"/>
      <c r="ORU6" s="1962"/>
      <c r="ORV6" s="1962"/>
      <c r="ORW6" s="1962"/>
      <c r="ORX6" s="1962"/>
      <c r="ORY6" s="1962"/>
      <c r="ORZ6" s="1962"/>
      <c r="OSA6" s="1962"/>
      <c r="OSB6" s="1962"/>
      <c r="OSC6" s="1962"/>
      <c r="OSD6" s="1962"/>
      <c r="OSE6" s="1962"/>
      <c r="OSF6" s="1962"/>
      <c r="OSG6" s="1962"/>
      <c r="OSH6" s="1962"/>
      <c r="OSI6" s="1962"/>
      <c r="OSJ6" s="1962"/>
      <c r="OSK6" s="1962"/>
      <c r="OSL6" s="1962"/>
      <c r="OSM6" s="1962"/>
      <c r="OSN6" s="1962"/>
      <c r="OSO6" s="1962"/>
      <c r="OSP6" s="1962"/>
      <c r="OSQ6" s="1962"/>
      <c r="OSR6" s="1962"/>
      <c r="OSS6" s="1962"/>
      <c r="OST6" s="1962"/>
      <c r="OSU6" s="1962"/>
      <c r="OSV6" s="1962"/>
      <c r="OSW6" s="1962"/>
      <c r="OSX6" s="1962"/>
      <c r="OSY6" s="1962"/>
      <c r="OSZ6" s="1962"/>
      <c r="OTA6" s="1962"/>
      <c r="OTB6" s="1962"/>
      <c r="OTC6" s="1962"/>
      <c r="OTD6" s="1962"/>
      <c r="OTE6" s="1962"/>
      <c r="OTF6" s="1962"/>
      <c r="OTG6" s="1962"/>
      <c r="OTH6" s="1962"/>
      <c r="OTI6" s="1962"/>
      <c r="OTJ6" s="1962"/>
      <c r="OTK6" s="1962"/>
      <c r="OTL6" s="1962"/>
      <c r="OTM6" s="1962"/>
      <c r="OTN6" s="1962"/>
      <c r="OTO6" s="1962"/>
      <c r="OTP6" s="1962"/>
      <c r="OTQ6" s="1962"/>
      <c r="OTR6" s="1962"/>
      <c r="OTS6" s="1962"/>
      <c r="OTT6" s="1962"/>
      <c r="OTU6" s="1962"/>
      <c r="OTV6" s="1962"/>
      <c r="OTW6" s="1962"/>
      <c r="OTX6" s="1962"/>
      <c r="OTY6" s="1962"/>
      <c r="OTZ6" s="1962"/>
      <c r="OUA6" s="1962"/>
      <c r="OUB6" s="1962"/>
      <c r="OUC6" s="1962"/>
      <c r="OUD6" s="1962"/>
      <c r="OUE6" s="1962"/>
      <c r="OUF6" s="1962"/>
      <c r="OUG6" s="1962"/>
      <c r="OUH6" s="1962"/>
      <c r="OUI6" s="1962"/>
      <c r="OUJ6" s="1962"/>
      <c r="OUK6" s="1962"/>
      <c r="OUL6" s="1962"/>
      <c r="OUM6" s="1962"/>
      <c r="OUN6" s="1962"/>
      <c r="OUO6" s="1962"/>
      <c r="OUP6" s="1962"/>
      <c r="OUQ6" s="1962"/>
      <c r="OUR6" s="1962"/>
      <c r="OUS6" s="1962"/>
      <c r="OUT6" s="1962"/>
      <c r="OUU6" s="1962"/>
      <c r="OUV6" s="1962"/>
      <c r="OUW6" s="1962"/>
      <c r="OUX6" s="1962"/>
      <c r="OUY6" s="1962"/>
      <c r="OUZ6" s="1962"/>
      <c r="OVA6" s="1962"/>
      <c r="OVB6" s="1962"/>
      <c r="OVC6" s="1962"/>
      <c r="OVD6" s="1962"/>
      <c r="OVE6" s="1962"/>
      <c r="OVF6" s="1962"/>
      <c r="OVG6" s="1962"/>
      <c r="OVH6" s="1962"/>
      <c r="OVI6" s="1962"/>
      <c r="OVJ6" s="1962"/>
      <c r="OVK6" s="1962"/>
      <c r="OVL6" s="1962"/>
      <c r="OVM6" s="1962"/>
      <c r="OVN6" s="1962"/>
      <c r="OVO6" s="1962"/>
      <c r="OVP6" s="1962"/>
      <c r="OVQ6" s="1962"/>
      <c r="OVR6" s="1962"/>
      <c r="OVS6" s="1962"/>
      <c r="OVT6" s="1962"/>
      <c r="OVU6" s="1962"/>
      <c r="OVV6" s="1962"/>
      <c r="OVW6" s="1962"/>
      <c r="OVX6" s="1962"/>
      <c r="OVY6" s="1962"/>
      <c r="OVZ6" s="1962"/>
      <c r="OWA6" s="1962"/>
      <c r="OWB6" s="1962"/>
      <c r="OWC6" s="1962"/>
      <c r="OWD6" s="1962"/>
      <c r="OWE6" s="1962"/>
      <c r="OWF6" s="1962"/>
      <c r="OWG6" s="1962"/>
      <c r="OWH6" s="1962"/>
      <c r="OWI6" s="1962"/>
      <c r="OWJ6" s="1962"/>
      <c r="OWK6" s="1962"/>
      <c r="OWL6" s="1962"/>
      <c r="OWM6" s="1962"/>
      <c r="OWN6" s="1962"/>
      <c r="OWO6" s="1962"/>
      <c r="OWP6" s="1962"/>
      <c r="OWQ6" s="1962"/>
      <c r="OWR6" s="1962"/>
      <c r="OWS6" s="1962"/>
      <c r="OWT6" s="1962"/>
      <c r="OWU6" s="1962"/>
      <c r="OWV6" s="1962"/>
      <c r="OWW6" s="1962"/>
      <c r="OWX6" s="1962"/>
      <c r="OWY6" s="1962"/>
      <c r="OWZ6" s="1962"/>
      <c r="OXA6" s="1962"/>
      <c r="OXB6" s="1962"/>
      <c r="OXC6" s="1962"/>
      <c r="OXD6" s="1962"/>
      <c r="OXE6" s="1962"/>
      <c r="OXF6" s="1962"/>
      <c r="OXG6" s="1962"/>
      <c r="OXH6" s="1962"/>
      <c r="OXI6" s="1962"/>
      <c r="OXJ6" s="1962"/>
      <c r="OXK6" s="1962"/>
      <c r="OXL6" s="1962"/>
      <c r="OXM6" s="1962"/>
      <c r="OXN6" s="1962"/>
      <c r="OXO6" s="1962"/>
      <c r="OXP6" s="1962"/>
      <c r="OXQ6" s="1962"/>
      <c r="OXR6" s="1962"/>
      <c r="OXS6" s="1962"/>
      <c r="OXT6" s="1962"/>
      <c r="OXU6" s="1962"/>
      <c r="OXV6" s="1962"/>
      <c r="OXW6" s="1962"/>
      <c r="OXX6" s="1962"/>
      <c r="OXY6" s="1962"/>
      <c r="OXZ6" s="1962"/>
      <c r="OYA6" s="1962"/>
      <c r="OYB6" s="1962"/>
      <c r="OYC6" s="1962"/>
      <c r="OYD6" s="1962"/>
      <c r="OYE6" s="1962"/>
      <c r="OYF6" s="1962"/>
      <c r="OYG6" s="1962"/>
      <c r="OYH6" s="1962"/>
      <c r="OYI6" s="1962"/>
      <c r="OYJ6" s="1962"/>
      <c r="OYK6" s="1962"/>
      <c r="OYL6" s="1962"/>
      <c r="OYM6" s="1962"/>
      <c r="OYN6" s="1962"/>
      <c r="OYO6" s="1962"/>
      <c r="OYP6" s="1962"/>
      <c r="OYQ6" s="1962"/>
      <c r="OYR6" s="1962"/>
      <c r="OYS6" s="1962"/>
      <c r="OYT6" s="1962"/>
      <c r="OYU6" s="1962"/>
      <c r="OYV6" s="1962"/>
      <c r="OYW6" s="1962"/>
      <c r="OYX6" s="1962"/>
      <c r="OYY6" s="1962"/>
      <c r="OYZ6" s="1962"/>
      <c r="OZA6" s="1962"/>
      <c r="OZB6" s="1962"/>
      <c r="OZC6" s="1962"/>
      <c r="OZD6" s="1962"/>
      <c r="OZE6" s="1962"/>
      <c r="OZF6" s="1962"/>
      <c r="OZG6" s="1962"/>
      <c r="OZH6" s="1962"/>
      <c r="OZI6" s="1962"/>
      <c r="OZJ6" s="1962"/>
      <c r="OZK6" s="1962"/>
      <c r="OZL6" s="1962"/>
      <c r="OZM6" s="1962"/>
      <c r="OZN6" s="1962"/>
      <c r="OZO6" s="1962"/>
      <c r="OZP6" s="1962"/>
      <c r="OZQ6" s="1962"/>
      <c r="OZR6" s="1962"/>
      <c r="OZS6" s="1962"/>
      <c r="OZT6" s="1962"/>
      <c r="OZU6" s="1962"/>
      <c r="OZV6" s="1962"/>
      <c r="OZW6" s="1962"/>
      <c r="OZX6" s="1962"/>
      <c r="OZY6" s="1962"/>
      <c r="OZZ6" s="1962"/>
      <c r="PAA6" s="1962"/>
      <c r="PAB6" s="1962"/>
      <c r="PAC6" s="1962"/>
      <c r="PAD6" s="1962"/>
      <c r="PAE6" s="1962"/>
      <c r="PAF6" s="1962"/>
      <c r="PAG6" s="1962"/>
      <c r="PAH6" s="1962"/>
      <c r="PAI6" s="1962"/>
      <c r="PAJ6" s="1962"/>
      <c r="PAK6" s="1962"/>
      <c r="PAL6" s="1962"/>
      <c r="PAM6" s="1962"/>
      <c r="PAN6" s="1962"/>
      <c r="PAO6" s="1962"/>
      <c r="PAP6" s="1962"/>
      <c r="PAQ6" s="1962"/>
      <c r="PAR6" s="1962"/>
      <c r="PAS6" s="1962"/>
      <c r="PAT6" s="1962"/>
      <c r="PAU6" s="1962"/>
      <c r="PAV6" s="1962"/>
      <c r="PAW6" s="1962"/>
      <c r="PAX6" s="1962"/>
      <c r="PAY6" s="1962"/>
      <c r="PAZ6" s="1962"/>
      <c r="PBA6" s="1962"/>
      <c r="PBB6" s="1962"/>
      <c r="PBC6" s="1962"/>
      <c r="PBD6" s="1962"/>
      <c r="PBE6" s="1962"/>
      <c r="PBF6" s="1962"/>
      <c r="PBG6" s="1962"/>
      <c r="PBH6" s="1962"/>
      <c r="PBI6" s="1962"/>
      <c r="PBJ6" s="1962"/>
      <c r="PBK6" s="1962"/>
      <c r="PBL6" s="1962"/>
      <c r="PBM6" s="1962"/>
      <c r="PBN6" s="1962"/>
      <c r="PBO6" s="1962"/>
      <c r="PBP6" s="1962"/>
      <c r="PBQ6" s="1962"/>
      <c r="PBR6" s="1962"/>
      <c r="PBS6" s="1962"/>
      <c r="PBT6" s="1962"/>
      <c r="PBU6" s="1962"/>
      <c r="PBV6" s="1962"/>
      <c r="PBW6" s="1962"/>
      <c r="PBX6" s="1962"/>
      <c r="PBY6" s="1962"/>
      <c r="PBZ6" s="1962"/>
      <c r="PCA6" s="1962"/>
      <c r="PCB6" s="1962"/>
      <c r="PCC6" s="1962"/>
      <c r="PCD6" s="1962"/>
      <c r="PCE6" s="1962"/>
      <c r="PCF6" s="1962"/>
      <c r="PCG6" s="1962"/>
      <c r="PCH6" s="1962"/>
      <c r="PCI6" s="1962"/>
      <c r="PCJ6" s="1962"/>
      <c r="PCK6" s="1962"/>
      <c r="PCL6" s="1962"/>
      <c r="PCM6" s="1962"/>
      <c r="PCN6" s="1962"/>
      <c r="PCO6" s="1962"/>
      <c r="PCP6" s="1962"/>
      <c r="PCQ6" s="1962"/>
      <c r="PCR6" s="1962"/>
      <c r="PCS6" s="1962"/>
      <c r="PCT6" s="1962"/>
      <c r="PCU6" s="1962"/>
      <c r="PCV6" s="1962"/>
      <c r="PCW6" s="1962"/>
      <c r="PCX6" s="1962"/>
      <c r="PCY6" s="1962"/>
      <c r="PCZ6" s="1962"/>
      <c r="PDA6" s="1962"/>
      <c r="PDB6" s="1962"/>
      <c r="PDC6" s="1962"/>
      <c r="PDD6" s="1962"/>
      <c r="PDE6" s="1962"/>
      <c r="PDF6" s="1962"/>
      <c r="PDG6" s="1962"/>
      <c r="PDH6" s="1962"/>
      <c r="PDI6" s="1962"/>
      <c r="PDJ6" s="1962"/>
      <c r="PDK6" s="1962"/>
      <c r="PDL6" s="1962"/>
      <c r="PDM6" s="1962"/>
      <c r="PDN6" s="1962"/>
      <c r="PDO6" s="1962"/>
      <c r="PDP6" s="1962"/>
      <c r="PDQ6" s="1962"/>
      <c r="PDR6" s="1962"/>
      <c r="PDS6" s="1962"/>
      <c r="PDT6" s="1962"/>
      <c r="PDU6" s="1962"/>
      <c r="PDV6" s="1962"/>
      <c r="PDW6" s="1962"/>
      <c r="PDX6" s="1962"/>
      <c r="PDY6" s="1962"/>
      <c r="PDZ6" s="1962"/>
      <c r="PEA6" s="1962"/>
      <c r="PEB6" s="1962"/>
      <c r="PEC6" s="1962"/>
      <c r="PED6" s="1962"/>
      <c r="PEE6" s="1962"/>
      <c r="PEF6" s="1962"/>
      <c r="PEG6" s="1962"/>
      <c r="PEH6" s="1962"/>
      <c r="PEI6" s="1962"/>
      <c r="PEJ6" s="1962"/>
      <c r="PEK6" s="1962"/>
      <c r="PEL6" s="1962"/>
      <c r="PEM6" s="1962"/>
      <c r="PEN6" s="1962"/>
      <c r="PEO6" s="1962"/>
      <c r="PEP6" s="1962"/>
      <c r="PEQ6" s="1962"/>
      <c r="PER6" s="1962"/>
      <c r="PES6" s="1962"/>
      <c r="PET6" s="1962"/>
      <c r="PEU6" s="1962"/>
      <c r="PEV6" s="1962"/>
      <c r="PEW6" s="1962"/>
      <c r="PEX6" s="1962"/>
      <c r="PEY6" s="1962"/>
      <c r="PEZ6" s="1962"/>
      <c r="PFA6" s="1962"/>
      <c r="PFB6" s="1962"/>
      <c r="PFC6" s="1962"/>
      <c r="PFD6" s="1962"/>
      <c r="PFE6" s="1962"/>
      <c r="PFF6" s="1962"/>
      <c r="PFG6" s="1962"/>
      <c r="PFH6" s="1962"/>
      <c r="PFI6" s="1962"/>
      <c r="PFJ6" s="1962"/>
      <c r="PFK6" s="1962"/>
      <c r="PFL6" s="1962"/>
      <c r="PFM6" s="1962"/>
      <c r="PFN6" s="1962"/>
      <c r="PFO6" s="1962"/>
      <c r="PFP6" s="1962"/>
      <c r="PFQ6" s="1962"/>
      <c r="PFR6" s="1962"/>
      <c r="PFS6" s="1962"/>
      <c r="PFT6" s="1962"/>
      <c r="PFU6" s="1962"/>
      <c r="PFV6" s="1962"/>
      <c r="PFW6" s="1962"/>
      <c r="PFX6" s="1962"/>
      <c r="PFY6" s="1962"/>
      <c r="PFZ6" s="1962"/>
      <c r="PGA6" s="1962"/>
      <c r="PGB6" s="1962"/>
      <c r="PGC6" s="1962"/>
      <c r="PGD6" s="1962"/>
      <c r="PGE6" s="1962"/>
      <c r="PGF6" s="1962"/>
      <c r="PGG6" s="1962"/>
      <c r="PGH6" s="1962"/>
      <c r="PGI6" s="1962"/>
      <c r="PGJ6" s="1962"/>
      <c r="PGK6" s="1962"/>
      <c r="PGL6" s="1962"/>
      <c r="PGM6" s="1962"/>
      <c r="PGN6" s="1962"/>
      <c r="PGO6" s="1962"/>
      <c r="PGP6" s="1962"/>
      <c r="PGQ6" s="1962"/>
      <c r="PGR6" s="1962"/>
      <c r="PGS6" s="1962"/>
      <c r="PGT6" s="1962"/>
      <c r="PGU6" s="1962"/>
      <c r="PGV6" s="1962"/>
      <c r="PGW6" s="1962"/>
      <c r="PGX6" s="1962"/>
      <c r="PGY6" s="1962"/>
      <c r="PGZ6" s="1962"/>
      <c r="PHA6" s="1962"/>
      <c r="PHB6" s="1962"/>
      <c r="PHC6" s="1962"/>
      <c r="PHD6" s="1962"/>
      <c r="PHE6" s="1962"/>
      <c r="PHF6" s="1962"/>
      <c r="PHG6" s="1962"/>
      <c r="PHH6" s="1962"/>
      <c r="PHI6" s="1962"/>
      <c r="PHJ6" s="1962"/>
      <c r="PHK6" s="1962"/>
      <c r="PHL6" s="1962"/>
      <c r="PHM6" s="1962"/>
      <c r="PHN6" s="1962"/>
      <c r="PHO6" s="1962"/>
      <c r="PHP6" s="1962"/>
      <c r="PHQ6" s="1962"/>
      <c r="PHR6" s="1962"/>
      <c r="PHS6" s="1962"/>
      <c r="PHT6" s="1962"/>
      <c r="PHU6" s="1962"/>
      <c r="PHV6" s="1962"/>
      <c r="PHW6" s="1962"/>
      <c r="PHX6" s="1962"/>
      <c r="PHY6" s="1962"/>
      <c r="PHZ6" s="1962"/>
      <c r="PIA6" s="1962"/>
      <c r="PIB6" s="1962"/>
      <c r="PIC6" s="1962"/>
      <c r="PID6" s="1962"/>
      <c r="PIE6" s="1962"/>
      <c r="PIF6" s="1962"/>
      <c r="PIG6" s="1962"/>
      <c r="PIH6" s="1962"/>
      <c r="PII6" s="1962"/>
      <c r="PIJ6" s="1962"/>
      <c r="PIK6" s="1962"/>
      <c r="PIL6" s="1962"/>
      <c r="PIM6" s="1962"/>
      <c r="PIN6" s="1962"/>
      <c r="PIO6" s="1962"/>
      <c r="PIP6" s="1962"/>
      <c r="PIQ6" s="1962"/>
      <c r="PIR6" s="1962"/>
      <c r="PIS6" s="1962"/>
      <c r="PIT6" s="1962"/>
      <c r="PIU6" s="1962"/>
      <c r="PIV6" s="1962"/>
      <c r="PIW6" s="1962"/>
      <c r="PIX6" s="1962"/>
      <c r="PIY6" s="1962"/>
      <c r="PIZ6" s="1962"/>
      <c r="PJA6" s="1962"/>
      <c r="PJB6" s="1962"/>
      <c r="PJC6" s="1962"/>
      <c r="PJD6" s="1962"/>
      <c r="PJE6" s="1962"/>
      <c r="PJF6" s="1962"/>
      <c r="PJG6" s="1962"/>
      <c r="PJH6" s="1962"/>
      <c r="PJI6" s="1962"/>
      <c r="PJJ6" s="1962"/>
      <c r="PJK6" s="1962"/>
      <c r="PJL6" s="1962"/>
      <c r="PJM6" s="1962"/>
      <c r="PJN6" s="1962"/>
      <c r="PJO6" s="1962"/>
      <c r="PJP6" s="1962"/>
      <c r="PJQ6" s="1962"/>
      <c r="PJR6" s="1962"/>
      <c r="PJS6" s="1962"/>
      <c r="PJT6" s="1962"/>
      <c r="PJU6" s="1962"/>
      <c r="PJV6" s="1962"/>
      <c r="PJW6" s="1962"/>
      <c r="PJX6" s="1962"/>
      <c r="PJY6" s="1962"/>
      <c r="PJZ6" s="1962"/>
      <c r="PKA6" s="1962"/>
      <c r="PKB6" s="1962"/>
      <c r="PKC6" s="1962"/>
      <c r="PKD6" s="1962"/>
      <c r="PKE6" s="1962"/>
      <c r="PKF6" s="1962"/>
      <c r="PKG6" s="1962"/>
      <c r="PKH6" s="1962"/>
      <c r="PKI6" s="1962"/>
      <c r="PKJ6" s="1962"/>
      <c r="PKK6" s="1962"/>
      <c r="PKL6" s="1962"/>
      <c r="PKM6" s="1962"/>
      <c r="PKN6" s="1962"/>
      <c r="PKO6" s="1962"/>
      <c r="PKP6" s="1962"/>
      <c r="PKQ6" s="1962"/>
      <c r="PKR6" s="1962"/>
      <c r="PKS6" s="1962"/>
      <c r="PKT6" s="1962"/>
      <c r="PKU6" s="1962"/>
      <c r="PKV6" s="1962"/>
      <c r="PKW6" s="1962"/>
      <c r="PKX6" s="1962"/>
      <c r="PKY6" s="1962"/>
      <c r="PKZ6" s="1962"/>
      <c r="PLA6" s="1962"/>
      <c r="PLB6" s="1962"/>
      <c r="PLC6" s="1962"/>
      <c r="PLD6" s="1962"/>
      <c r="PLE6" s="1962"/>
      <c r="PLF6" s="1962"/>
      <c r="PLG6" s="1962"/>
      <c r="PLH6" s="1962"/>
      <c r="PLI6" s="1962"/>
      <c r="PLJ6" s="1962"/>
      <c r="PLK6" s="1962"/>
      <c r="PLL6" s="1962"/>
      <c r="PLM6" s="1962"/>
      <c r="PLN6" s="1962"/>
      <c r="PLO6" s="1962"/>
      <c r="PLP6" s="1962"/>
      <c r="PLQ6" s="1962"/>
      <c r="PLR6" s="1962"/>
      <c r="PLS6" s="1962"/>
      <c r="PLT6" s="1962"/>
      <c r="PLU6" s="1962"/>
      <c r="PLV6" s="1962"/>
      <c r="PLW6" s="1962"/>
      <c r="PLX6" s="1962"/>
      <c r="PLY6" s="1962"/>
      <c r="PLZ6" s="1962"/>
      <c r="PMA6" s="1962"/>
      <c r="PMB6" s="1962"/>
      <c r="PMC6" s="1962"/>
      <c r="PMD6" s="1962"/>
      <c r="PME6" s="1962"/>
      <c r="PMF6" s="1962"/>
      <c r="PMG6" s="1962"/>
      <c r="PMH6" s="1962"/>
      <c r="PMI6" s="1962"/>
      <c r="PMJ6" s="1962"/>
      <c r="PMK6" s="1962"/>
      <c r="PML6" s="1962"/>
      <c r="PMM6" s="1962"/>
      <c r="PMN6" s="1962"/>
      <c r="PMO6" s="1962"/>
      <c r="PMP6" s="1962"/>
      <c r="PMQ6" s="1962"/>
      <c r="PMR6" s="1962"/>
      <c r="PMS6" s="1962"/>
      <c r="PMT6" s="1962"/>
      <c r="PMU6" s="1962"/>
      <c r="PMV6" s="1962"/>
      <c r="PMW6" s="1962"/>
      <c r="PMX6" s="1962"/>
      <c r="PMY6" s="1962"/>
      <c r="PMZ6" s="1962"/>
      <c r="PNA6" s="1962"/>
      <c r="PNB6" s="1962"/>
      <c r="PNC6" s="1962"/>
      <c r="PND6" s="1962"/>
      <c r="PNE6" s="1962"/>
      <c r="PNF6" s="1962"/>
      <c r="PNG6" s="1962"/>
      <c r="PNH6" s="1962"/>
      <c r="PNI6" s="1962"/>
      <c r="PNJ6" s="1962"/>
      <c r="PNK6" s="1962"/>
      <c r="PNL6" s="1962"/>
      <c r="PNM6" s="1962"/>
      <c r="PNN6" s="1962"/>
      <c r="PNO6" s="1962"/>
      <c r="PNP6" s="1962"/>
      <c r="PNQ6" s="1962"/>
      <c r="PNR6" s="1962"/>
      <c r="PNS6" s="1962"/>
      <c r="PNT6" s="1962"/>
      <c r="PNU6" s="1962"/>
      <c r="PNV6" s="1962"/>
      <c r="PNW6" s="1962"/>
      <c r="PNX6" s="1962"/>
      <c r="PNY6" s="1962"/>
      <c r="PNZ6" s="1962"/>
      <c r="POA6" s="1962"/>
      <c r="POB6" s="1962"/>
      <c r="POC6" s="1962"/>
      <c r="POD6" s="1962"/>
      <c r="POE6" s="1962"/>
      <c r="POF6" s="1962"/>
      <c r="POG6" s="1962"/>
      <c r="POH6" s="1962"/>
      <c r="POI6" s="1962"/>
      <c r="POJ6" s="1962"/>
      <c r="POK6" s="1962"/>
      <c r="POL6" s="1962"/>
      <c r="POM6" s="1962"/>
      <c r="PON6" s="1962"/>
      <c r="POO6" s="1962"/>
      <c r="POP6" s="1962"/>
      <c r="POQ6" s="1962"/>
      <c r="POR6" s="1962"/>
      <c r="POS6" s="1962"/>
      <c r="POT6" s="1962"/>
      <c r="POU6" s="1962"/>
      <c r="POV6" s="1962"/>
      <c r="POW6" s="1962"/>
      <c r="POX6" s="1962"/>
      <c r="POY6" s="1962"/>
      <c r="POZ6" s="1962"/>
      <c r="PPA6" s="1962"/>
      <c r="PPB6" s="1962"/>
      <c r="PPC6" s="1962"/>
      <c r="PPD6" s="1962"/>
      <c r="PPE6" s="1962"/>
      <c r="PPF6" s="1962"/>
      <c r="PPG6" s="1962"/>
      <c r="PPH6" s="1962"/>
      <c r="PPI6" s="1962"/>
      <c r="PPJ6" s="1962"/>
      <c r="PPK6" s="1962"/>
      <c r="PPL6" s="1962"/>
      <c r="PPM6" s="1962"/>
      <c r="PPN6" s="1962"/>
      <c r="PPO6" s="1962"/>
      <c r="PPP6" s="1962"/>
      <c r="PPQ6" s="1962"/>
      <c r="PPR6" s="1962"/>
      <c r="PPS6" s="1962"/>
      <c r="PPT6" s="1962"/>
      <c r="PPU6" s="1962"/>
      <c r="PPV6" s="1962"/>
      <c r="PPW6" s="1962"/>
      <c r="PPX6" s="1962"/>
      <c r="PPY6" s="1962"/>
      <c r="PPZ6" s="1962"/>
      <c r="PQA6" s="1962"/>
      <c r="PQB6" s="1962"/>
      <c r="PQC6" s="1962"/>
      <c r="PQD6" s="1962"/>
      <c r="PQE6" s="1962"/>
      <c r="PQF6" s="1962"/>
      <c r="PQG6" s="1962"/>
      <c r="PQH6" s="1962"/>
      <c r="PQI6" s="1962"/>
      <c r="PQJ6" s="1962"/>
      <c r="PQK6" s="1962"/>
      <c r="PQL6" s="1962"/>
      <c r="PQM6" s="1962"/>
      <c r="PQN6" s="1962"/>
      <c r="PQO6" s="1962"/>
      <c r="PQP6" s="1962"/>
      <c r="PQQ6" s="1962"/>
      <c r="PQR6" s="1962"/>
      <c r="PQS6" s="1962"/>
      <c r="PQT6" s="1962"/>
      <c r="PQU6" s="1962"/>
      <c r="PQV6" s="1962"/>
      <c r="PQW6" s="1962"/>
      <c r="PQX6" s="1962"/>
      <c r="PQY6" s="1962"/>
      <c r="PQZ6" s="1962"/>
      <c r="PRA6" s="1962"/>
      <c r="PRB6" s="1962"/>
      <c r="PRC6" s="1962"/>
      <c r="PRD6" s="1962"/>
      <c r="PRE6" s="1962"/>
      <c r="PRF6" s="1962"/>
      <c r="PRG6" s="1962"/>
      <c r="PRH6" s="1962"/>
      <c r="PRI6" s="1962"/>
      <c r="PRJ6" s="1962"/>
      <c r="PRK6" s="1962"/>
      <c r="PRL6" s="1962"/>
      <c r="PRM6" s="1962"/>
      <c r="PRN6" s="1962"/>
      <c r="PRO6" s="1962"/>
      <c r="PRP6" s="1962"/>
      <c r="PRQ6" s="1962"/>
      <c r="PRR6" s="1962"/>
      <c r="PRS6" s="1962"/>
      <c r="PRT6" s="1962"/>
      <c r="PRU6" s="1962"/>
      <c r="PRV6" s="1962"/>
      <c r="PRW6" s="1962"/>
      <c r="PRX6" s="1962"/>
      <c r="PRY6" s="1962"/>
      <c r="PRZ6" s="1962"/>
      <c r="PSA6" s="1962"/>
      <c r="PSB6" s="1962"/>
      <c r="PSC6" s="1962"/>
      <c r="PSD6" s="1962"/>
      <c r="PSE6" s="1962"/>
      <c r="PSF6" s="1962"/>
      <c r="PSG6" s="1962"/>
      <c r="PSH6" s="1962"/>
      <c r="PSI6" s="1962"/>
      <c r="PSJ6" s="1962"/>
      <c r="PSK6" s="1962"/>
      <c r="PSL6" s="1962"/>
      <c r="PSM6" s="1962"/>
      <c r="PSN6" s="1962"/>
      <c r="PSO6" s="1962"/>
      <c r="PSP6" s="1962"/>
      <c r="PSQ6" s="1962"/>
      <c r="PSR6" s="1962"/>
      <c r="PSS6" s="1962"/>
      <c r="PST6" s="1962"/>
      <c r="PSU6" s="1962"/>
      <c r="PSV6" s="1962"/>
      <c r="PSW6" s="1962"/>
      <c r="PSX6" s="1962"/>
      <c r="PSY6" s="1962"/>
      <c r="PSZ6" s="1962"/>
      <c r="PTA6" s="1962"/>
      <c r="PTB6" s="1962"/>
      <c r="PTC6" s="1962"/>
      <c r="PTD6" s="1962"/>
      <c r="PTE6" s="1962"/>
      <c r="PTF6" s="1962"/>
      <c r="PTG6" s="1962"/>
      <c r="PTH6" s="1962"/>
      <c r="PTI6" s="1962"/>
      <c r="PTJ6" s="1962"/>
      <c r="PTK6" s="1962"/>
      <c r="PTL6" s="1962"/>
      <c r="PTM6" s="1962"/>
      <c r="PTN6" s="1962"/>
      <c r="PTO6" s="1962"/>
      <c r="PTP6" s="1962"/>
      <c r="PTQ6" s="1962"/>
      <c r="PTR6" s="1962"/>
      <c r="PTS6" s="1962"/>
      <c r="PTT6" s="1962"/>
      <c r="PTU6" s="1962"/>
      <c r="PTV6" s="1962"/>
      <c r="PTW6" s="1962"/>
      <c r="PTX6" s="1962"/>
      <c r="PTY6" s="1962"/>
      <c r="PTZ6" s="1962"/>
      <c r="PUA6" s="1962"/>
      <c r="PUB6" s="1962"/>
      <c r="PUC6" s="1962"/>
      <c r="PUD6" s="1962"/>
      <c r="PUE6" s="1962"/>
      <c r="PUF6" s="1962"/>
      <c r="PUG6" s="1962"/>
      <c r="PUH6" s="1962"/>
      <c r="PUI6" s="1962"/>
      <c r="PUJ6" s="1962"/>
      <c r="PUK6" s="1962"/>
      <c r="PUL6" s="1962"/>
      <c r="PUM6" s="1962"/>
      <c r="PUN6" s="1962"/>
      <c r="PUO6" s="1962"/>
      <c r="PUP6" s="1962"/>
      <c r="PUQ6" s="1962"/>
      <c r="PUR6" s="1962"/>
      <c r="PUS6" s="1962"/>
      <c r="PUT6" s="1962"/>
      <c r="PUU6" s="1962"/>
      <c r="PUV6" s="1962"/>
      <c r="PUW6" s="1962"/>
      <c r="PUX6" s="1962"/>
      <c r="PUY6" s="1962"/>
      <c r="PUZ6" s="1962"/>
      <c r="PVA6" s="1962"/>
      <c r="PVB6" s="1962"/>
      <c r="PVC6" s="1962"/>
      <c r="PVD6" s="1962"/>
      <c r="PVE6" s="1962"/>
      <c r="PVF6" s="1962"/>
      <c r="PVG6" s="1962"/>
      <c r="PVH6" s="1962"/>
      <c r="PVI6" s="1962"/>
      <c r="PVJ6" s="1962"/>
      <c r="PVK6" s="1962"/>
      <c r="PVL6" s="1962"/>
      <c r="PVM6" s="1962"/>
      <c r="PVN6" s="1962"/>
      <c r="PVO6" s="1962"/>
      <c r="PVP6" s="1962"/>
      <c r="PVQ6" s="1962"/>
      <c r="PVR6" s="1962"/>
      <c r="PVS6" s="1962"/>
      <c r="PVT6" s="1962"/>
      <c r="PVU6" s="1962"/>
      <c r="PVV6" s="1962"/>
      <c r="PVW6" s="1962"/>
      <c r="PVX6" s="1962"/>
      <c r="PVY6" s="1962"/>
      <c r="PVZ6" s="1962"/>
      <c r="PWA6" s="1962"/>
      <c r="PWB6" s="1962"/>
      <c r="PWC6" s="1962"/>
      <c r="PWD6" s="1962"/>
      <c r="PWE6" s="1962"/>
      <c r="PWF6" s="1962"/>
      <c r="PWG6" s="1962"/>
      <c r="PWH6" s="1962"/>
      <c r="PWI6" s="1962"/>
      <c r="PWJ6" s="1962"/>
      <c r="PWK6" s="1962"/>
      <c r="PWL6" s="1962"/>
      <c r="PWM6" s="1962"/>
      <c r="PWN6" s="1962"/>
      <c r="PWO6" s="1962"/>
      <c r="PWP6" s="1962"/>
      <c r="PWQ6" s="1962"/>
      <c r="PWR6" s="1962"/>
      <c r="PWS6" s="1962"/>
      <c r="PWT6" s="1962"/>
      <c r="PWU6" s="1962"/>
      <c r="PWV6" s="1962"/>
      <c r="PWW6" s="1962"/>
      <c r="PWX6" s="1962"/>
      <c r="PWY6" s="1962"/>
      <c r="PWZ6" s="1962"/>
      <c r="PXA6" s="1962"/>
      <c r="PXB6" s="1962"/>
      <c r="PXC6" s="1962"/>
      <c r="PXD6" s="1962"/>
      <c r="PXE6" s="1962"/>
      <c r="PXF6" s="1962"/>
      <c r="PXG6" s="1962"/>
      <c r="PXH6" s="1962"/>
      <c r="PXI6" s="1962"/>
      <c r="PXJ6" s="1962"/>
      <c r="PXK6" s="1962"/>
      <c r="PXL6" s="1962"/>
      <c r="PXM6" s="1962"/>
      <c r="PXN6" s="1962"/>
      <c r="PXO6" s="1962"/>
      <c r="PXP6" s="1962"/>
      <c r="PXQ6" s="1962"/>
      <c r="PXR6" s="1962"/>
      <c r="PXS6" s="1962"/>
      <c r="PXT6" s="1962"/>
      <c r="PXU6" s="1962"/>
      <c r="PXV6" s="1962"/>
      <c r="PXW6" s="1962"/>
      <c r="PXX6" s="1962"/>
      <c r="PXY6" s="1962"/>
      <c r="PXZ6" s="1962"/>
      <c r="PYA6" s="1962"/>
      <c r="PYB6" s="1962"/>
      <c r="PYC6" s="1962"/>
      <c r="PYD6" s="1962"/>
      <c r="PYE6" s="1962"/>
      <c r="PYF6" s="1962"/>
      <c r="PYG6" s="1962"/>
      <c r="PYH6" s="1962"/>
      <c r="PYI6" s="1962"/>
      <c r="PYJ6" s="1962"/>
      <c r="PYK6" s="1962"/>
      <c r="PYL6" s="1962"/>
      <c r="PYM6" s="1962"/>
      <c r="PYN6" s="1962"/>
      <c r="PYO6" s="1962"/>
      <c r="PYP6" s="1962"/>
      <c r="PYQ6" s="1962"/>
      <c r="PYR6" s="1962"/>
      <c r="PYS6" s="1962"/>
      <c r="PYT6" s="1962"/>
      <c r="PYU6" s="1962"/>
      <c r="PYV6" s="1962"/>
      <c r="PYW6" s="1962"/>
      <c r="PYX6" s="1962"/>
      <c r="PYY6" s="1962"/>
      <c r="PYZ6" s="1962"/>
      <c r="PZA6" s="1962"/>
      <c r="PZB6" s="1962"/>
      <c r="PZC6" s="1962"/>
      <c r="PZD6" s="1962"/>
      <c r="PZE6" s="1962"/>
      <c r="PZF6" s="1962"/>
      <c r="PZG6" s="1962"/>
      <c r="PZH6" s="1962"/>
      <c r="PZI6" s="1962"/>
      <c r="PZJ6" s="1962"/>
      <c r="PZK6" s="1962"/>
      <c r="PZL6" s="1962"/>
      <c r="PZM6" s="1962"/>
      <c r="PZN6" s="1962"/>
      <c r="PZO6" s="1962"/>
      <c r="PZP6" s="1962"/>
      <c r="PZQ6" s="1962"/>
      <c r="PZR6" s="1962"/>
      <c r="PZS6" s="1962"/>
      <c r="PZT6" s="1962"/>
      <c r="PZU6" s="1962"/>
      <c r="PZV6" s="1962"/>
      <c r="PZW6" s="1962"/>
      <c r="PZX6" s="1962"/>
      <c r="PZY6" s="1962"/>
      <c r="PZZ6" s="1962"/>
      <c r="QAA6" s="1962"/>
      <c r="QAB6" s="1962"/>
      <c r="QAC6" s="1962"/>
      <c r="QAD6" s="1962"/>
      <c r="QAE6" s="1962"/>
      <c r="QAF6" s="1962"/>
      <c r="QAG6" s="1962"/>
      <c r="QAH6" s="1962"/>
      <c r="QAI6" s="1962"/>
      <c r="QAJ6" s="1962"/>
      <c r="QAK6" s="1962"/>
      <c r="QAL6" s="1962"/>
      <c r="QAM6" s="1962"/>
      <c r="QAN6" s="1962"/>
      <c r="QAO6" s="1962"/>
      <c r="QAP6" s="1962"/>
      <c r="QAQ6" s="1962"/>
      <c r="QAR6" s="1962"/>
      <c r="QAS6" s="1962"/>
      <c r="QAT6" s="1962"/>
      <c r="QAU6" s="1962"/>
      <c r="QAV6" s="1962"/>
      <c r="QAW6" s="1962"/>
      <c r="QAX6" s="1962"/>
      <c r="QAY6" s="1962"/>
      <c r="QAZ6" s="1962"/>
      <c r="QBA6" s="1962"/>
      <c r="QBB6" s="1962"/>
      <c r="QBC6" s="1962"/>
      <c r="QBD6" s="1962"/>
      <c r="QBE6" s="1962"/>
      <c r="QBF6" s="1962"/>
      <c r="QBG6" s="1962"/>
      <c r="QBH6" s="1962"/>
      <c r="QBI6" s="1962"/>
      <c r="QBJ6" s="1962"/>
      <c r="QBK6" s="1962"/>
      <c r="QBL6" s="1962"/>
      <c r="QBM6" s="1962"/>
      <c r="QBN6" s="1962"/>
      <c r="QBO6" s="1962"/>
      <c r="QBP6" s="1962"/>
      <c r="QBQ6" s="1962"/>
      <c r="QBR6" s="1962"/>
      <c r="QBS6" s="1962"/>
      <c r="QBT6" s="1962"/>
      <c r="QBU6" s="1962"/>
      <c r="QBV6" s="1962"/>
      <c r="QBW6" s="1962"/>
      <c r="QBX6" s="1962"/>
      <c r="QBY6" s="1962"/>
      <c r="QBZ6" s="1962"/>
      <c r="QCA6" s="1962"/>
      <c r="QCB6" s="1962"/>
      <c r="QCC6" s="1962"/>
      <c r="QCD6" s="1962"/>
      <c r="QCE6" s="1962"/>
      <c r="QCF6" s="1962"/>
      <c r="QCG6" s="1962"/>
      <c r="QCH6" s="1962"/>
      <c r="QCI6" s="1962"/>
      <c r="QCJ6" s="1962"/>
      <c r="QCK6" s="1962"/>
      <c r="QCL6" s="1962"/>
      <c r="QCM6" s="1962"/>
      <c r="QCN6" s="1962"/>
      <c r="QCO6" s="1962"/>
      <c r="QCP6" s="1962"/>
      <c r="QCQ6" s="1962"/>
      <c r="QCR6" s="1962"/>
      <c r="QCS6" s="1962"/>
      <c r="QCT6" s="1962"/>
      <c r="QCU6" s="1962"/>
      <c r="QCV6" s="1962"/>
      <c r="QCW6" s="1962"/>
      <c r="QCX6" s="1962"/>
      <c r="QCY6" s="1962"/>
      <c r="QCZ6" s="1962"/>
      <c r="QDA6" s="1962"/>
      <c r="QDB6" s="1962"/>
      <c r="QDC6" s="1962"/>
      <c r="QDD6" s="1962"/>
      <c r="QDE6" s="1962"/>
      <c r="QDF6" s="1962"/>
      <c r="QDG6" s="1962"/>
      <c r="QDH6" s="1962"/>
      <c r="QDI6" s="1962"/>
      <c r="QDJ6" s="1962"/>
      <c r="QDK6" s="1962"/>
      <c r="QDL6" s="1962"/>
      <c r="QDM6" s="1962"/>
      <c r="QDN6" s="1962"/>
      <c r="QDO6" s="1962"/>
      <c r="QDP6" s="1962"/>
      <c r="QDQ6" s="1962"/>
      <c r="QDR6" s="1962"/>
      <c r="QDS6" s="1962"/>
      <c r="QDT6" s="1962"/>
      <c r="QDU6" s="1962"/>
      <c r="QDV6" s="1962"/>
      <c r="QDW6" s="1962"/>
      <c r="QDX6" s="1962"/>
      <c r="QDY6" s="1962"/>
      <c r="QDZ6" s="1962"/>
      <c r="QEA6" s="1962"/>
      <c r="QEB6" s="1962"/>
      <c r="QEC6" s="1962"/>
      <c r="QED6" s="1962"/>
      <c r="QEE6" s="1962"/>
      <c r="QEF6" s="1962"/>
      <c r="QEG6" s="1962"/>
      <c r="QEH6" s="1962"/>
      <c r="QEI6" s="1962"/>
      <c r="QEJ6" s="1962"/>
      <c r="QEK6" s="1962"/>
      <c r="QEL6" s="1962"/>
      <c r="QEM6" s="1962"/>
      <c r="QEN6" s="1962"/>
      <c r="QEO6" s="1962"/>
      <c r="QEP6" s="1962"/>
      <c r="QEQ6" s="1962"/>
      <c r="QER6" s="1962"/>
      <c r="QES6" s="1962"/>
      <c r="QET6" s="1962"/>
      <c r="QEU6" s="1962"/>
      <c r="QEV6" s="1962"/>
      <c r="QEW6" s="1962"/>
      <c r="QEX6" s="1962"/>
      <c r="QEY6" s="1962"/>
      <c r="QEZ6" s="1962"/>
      <c r="QFA6" s="1962"/>
      <c r="QFB6" s="1962"/>
      <c r="QFC6" s="1962"/>
      <c r="QFD6" s="1962"/>
      <c r="QFE6" s="1962"/>
      <c r="QFF6" s="1962"/>
      <c r="QFG6" s="1962"/>
      <c r="QFH6" s="1962"/>
      <c r="QFI6" s="1962"/>
      <c r="QFJ6" s="1962"/>
      <c r="QFK6" s="1962"/>
      <c r="QFL6" s="1962"/>
      <c r="QFM6" s="1962"/>
      <c r="QFN6" s="1962"/>
      <c r="QFO6" s="1962"/>
      <c r="QFP6" s="1962"/>
      <c r="QFQ6" s="1962"/>
      <c r="QFR6" s="1962"/>
      <c r="QFS6" s="1962"/>
      <c r="QFT6" s="1962"/>
      <c r="QFU6" s="1962"/>
      <c r="QFV6" s="1962"/>
      <c r="QFW6" s="1962"/>
      <c r="QFX6" s="1962"/>
      <c r="QFY6" s="1962"/>
      <c r="QFZ6" s="1962"/>
      <c r="QGA6" s="1962"/>
      <c r="QGB6" s="1962"/>
      <c r="QGC6" s="1962"/>
      <c r="QGD6" s="1962"/>
      <c r="QGE6" s="1962"/>
      <c r="QGF6" s="1962"/>
      <c r="QGG6" s="1962"/>
      <c r="QGH6" s="1962"/>
      <c r="QGI6" s="1962"/>
      <c r="QGJ6" s="1962"/>
      <c r="QGK6" s="1962"/>
      <c r="QGL6" s="1962"/>
      <c r="QGM6" s="1962"/>
      <c r="QGN6" s="1962"/>
      <c r="QGO6" s="1962"/>
      <c r="QGP6" s="1962"/>
      <c r="QGQ6" s="1962"/>
      <c r="QGR6" s="1962"/>
      <c r="QGS6" s="1962"/>
      <c r="QGT6" s="1962"/>
      <c r="QGU6" s="1962"/>
      <c r="QGV6" s="1962"/>
      <c r="QGW6" s="1962"/>
      <c r="QGX6" s="1962"/>
      <c r="QGY6" s="1962"/>
      <c r="QGZ6" s="1962"/>
      <c r="QHA6" s="1962"/>
      <c r="QHB6" s="1962"/>
      <c r="QHC6" s="1962"/>
      <c r="QHD6" s="1962"/>
      <c r="QHE6" s="1962"/>
      <c r="QHF6" s="1962"/>
      <c r="QHG6" s="1962"/>
      <c r="QHH6" s="1962"/>
      <c r="QHI6" s="1962"/>
      <c r="QHJ6" s="1962"/>
      <c r="QHK6" s="1962"/>
      <c r="QHL6" s="1962"/>
      <c r="QHM6" s="1962"/>
      <c r="QHN6" s="1962"/>
      <c r="QHO6" s="1962"/>
      <c r="QHP6" s="1962"/>
      <c r="QHQ6" s="1962"/>
      <c r="QHR6" s="1962"/>
      <c r="QHS6" s="1962"/>
      <c r="QHT6" s="1962"/>
      <c r="QHU6" s="1962"/>
      <c r="QHV6" s="1962"/>
      <c r="QHW6" s="1962"/>
      <c r="QHX6" s="1962"/>
      <c r="QHY6" s="1962"/>
      <c r="QHZ6" s="1962"/>
      <c r="QIA6" s="1962"/>
      <c r="QIB6" s="1962"/>
      <c r="QIC6" s="1962"/>
      <c r="QID6" s="1962"/>
      <c r="QIE6" s="1962"/>
      <c r="QIF6" s="1962"/>
      <c r="QIG6" s="1962"/>
      <c r="QIH6" s="1962"/>
      <c r="QII6" s="1962"/>
      <c r="QIJ6" s="1962"/>
      <c r="QIK6" s="1962"/>
      <c r="QIL6" s="1962"/>
      <c r="QIM6" s="1962"/>
      <c r="QIN6" s="1962"/>
      <c r="QIO6" s="1962"/>
      <c r="QIP6" s="1962"/>
      <c r="QIQ6" s="1962"/>
      <c r="QIR6" s="1962"/>
      <c r="QIS6" s="1962"/>
      <c r="QIT6" s="1962"/>
      <c r="QIU6" s="1962"/>
      <c r="QIV6" s="1962"/>
      <c r="QIW6" s="1962"/>
      <c r="QIX6" s="1962"/>
      <c r="QIY6" s="1962"/>
      <c r="QIZ6" s="1962"/>
      <c r="QJA6" s="1962"/>
      <c r="QJB6" s="1962"/>
      <c r="QJC6" s="1962"/>
      <c r="QJD6" s="1962"/>
      <c r="QJE6" s="1962"/>
      <c r="QJF6" s="1962"/>
      <c r="QJG6" s="1962"/>
      <c r="QJH6" s="1962"/>
      <c r="QJI6" s="1962"/>
      <c r="QJJ6" s="1962"/>
      <c r="QJK6" s="1962"/>
      <c r="QJL6" s="1962"/>
      <c r="QJM6" s="1962"/>
      <c r="QJN6" s="1962"/>
      <c r="QJO6" s="1962"/>
      <c r="QJP6" s="1962"/>
      <c r="QJQ6" s="1962"/>
      <c r="QJR6" s="1962"/>
      <c r="QJS6" s="1962"/>
      <c r="QJT6" s="1962"/>
      <c r="QJU6" s="1962"/>
      <c r="QJV6" s="1962"/>
      <c r="QJW6" s="1962"/>
      <c r="QJX6" s="1962"/>
      <c r="QJY6" s="1962"/>
      <c r="QJZ6" s="1962"/>
      <c r="QKA6" s="1962"/>
      <c r="QKB6" s="1962"/>
      <c r="QKC6" s="1962"/>
      <c r="QKD6" s="1962"/>
      <c r="QKE6" s="1962"/>
      <c r="QKF6" s="1962"/>
      <c r="QKG6" s="1962"/>
      <c r="QKH6" s="1962"/>
      <c r="QKI6" s="1962"/>
      <c r="QKJ6" s="1962"/>
      <c r="QKK6" s="1962"/>
      <c r="QKL6" s="1962"/>
      <c r="QKM6" s="1962"/>
      <c r="QKN6" s="1962"/>
      <c r="QKO6" s="1962"/>
      <c r="QKP6" s="1962"/>
      <c r="QKQ6" s="1962"/>
      <c r="QKR6" s="1962"/>
      <c r="QKS6" s="1962"/>
      <c r="QKT6" s="1962"/>
      <c r="QKU6" s="1962"/>
      <c r="QKV6" s="1962"/>
      <c r="QKW6" s="1962"/>
      <c r="QKX6" s="1962"/>
      <c r="QKY6" s="1962"/>
      <c r="QKZ6" s="1962"/>
      <c r="QLA6" s="1962"/>
      <c r="QLB6" s="1962"/>
      <c r="QLC6" s="1962"/>
      <c r="QLD6" s="1962"/>
      <c r="QLE6" s="1962"/>
      <c r="QLF6" s="1962"/>
      <c r="QLG6" s="1962"/>
      <c r="QLH6" s="1962"/>
      <c r="QLI6" s="1962"/>
      <c r="QLJ6" s="1962"/>
      <c r="QLK6" s="1962"/>
      <c r="QLL6" s="1962"/>
      <c r="QLM6" s="1962"/>
      <c r="QLN6" s="1962"/>
      <c r="QLO6" s="1962"/>
      <c r="QLP6" s="1962"/>
      <c r="QLQ6" s="1962"/>
      <c r="QLR6" s="1962"/>
      <c r="QLS6" s="1962"/>
      <c r="QLT6" s="1962"/>
      <c r="QLU6" s="1962"/>
      <c r="QLV6" s="1962"/>
      <c r="QLW6" s="1962"/>
      <c r="QLX6" s="1962"/>
      <c r="QLY6" s="1962"/>
      <c r="QLZ6" s="1962"/>
      <c r="QMA6" s="1962"/>
      <c r="QMB6" s="1962"/>
      <c r="QMC6" s="1962"/>
      <c r="QMD6" s="1962"/>
      <c r="QME6" s="1962"/>
      <c r="QMF6" s="1962"/>
      <c r="QMG6" s="1962"/>
      <c r="QMH6" s="1962"/>
      <c r="QMI6" s="1962"/>
      <c r="QMJ6" s="1962"/>
      <c r="QMK6" s="1962"/>
      <c r="QML6" s="1962"/>
      <c r="QMM6" s="1962"/>
      <c r="QMN6" s="1962"/>
      <c r="QMO6" s="1962"/>
      <c r="QMP6" s="1962"/>
      <c r="QMQ6" s="1962"/>
      <c r="QMR6" s="1962"/>
      <c r="QMS6" s="1962"/>
      <c r="QMT6" s="1962"/>
      <c r="QMU6" s="1962"/>
      <c r="QMV6" s="1962"/>
      <c r="QMW6" s="1962"/>
      <c r="QMX6" s="1962"/>
      <c r="QMY6" s="1962"/>
      <c r="QMZ6" s="1962"/>
      <c r="QNA6" s="1962"/>
      <c r="QNB6" s="1962"/>
      <c r="QNC6" s="1962"/>
      <c r="QND6" s="1962"/>
      <c r="QNE6" s="1962"/>
      <c r="QNF6" s="1962"/>
      <c r="QNG6" s="1962"/>
      <c r="QNH6" s="1962"/>
      <c r="QNI6" s="1962"/>
      <c r="QNJ6" s="1962"/>
      <c r="QNK6" s="1962"/>
      <c r="QNL6" s="1962"/>
      <c r="QNM6" s="1962"/>
      <c r="QNN6" s="1962"/>
      <c r="QNO6" s="1962"/>
      <c r="QNP6" s="1962"/>
      <c r="QNQ6" s="1962"/>
      <c r="QNR6" s="1962"/>
      <c r="QNS6" s="1962"/>
      <c r="QNT6" s="1962"/>
      <c r="QNU6" s="1962"/>
      <c r="QNV6" s="1962"/>
      <c r="QNW6" s="1962"/>
      <c r="QNX6" s="1962"/>
      <c r="QNY6" s="1962"/>
      <c r="QNZ6" s="1962"/>
      <c r="QOA6" s="1962"/>
      <c r="QOB6" s="1962"/>
      <c r="QOC6" s="1962"/>
      <c r="QOD6" s="1962"/>
      <c r="QOE6" s="1962"/>
      <c r="QOF6" s="1962"/>
      <c r="QOG6" s="1962"/>
      <c r="QOH6" s="1962"/>
      <c r="QOI6" s="1962"/>
      <c r="QOJ6" s="1962"/>
      <c r="QOK6" s="1962"/>
      <c r="QOL6" s="1962"/>
      <c r="QOM6" s="1962"/>
      <c r="QON6" s="1962"/>
      <c r="QOO6" s="1962"/>
      <c r="QOP6" s="1962"/>
      <c r="QOQ6" s="1962"/>
      <c r="QOR6" s="1962"/>
      <c r="QOS6" s="1962"/>
      <c r="QOT6" s="1962"/>
      <c r="QOU6" s="1962"/>
      <c r="QOV6" s="1962"/>
      <c r="QOW6" s="1962"/>
      <c r="QOX6" s="1962"/>
      <c r="QOY6" s="1962"/>
      <c r="QOZ6" s="1962"/>
      <c r="QPA6" s="1962"/>
      <c r="QPB6" s="1962"/>
      <c r="QPC6" s="1962"/>
      <c r="QPD6" s="1962"/>
      <c r="QPE6" s="1962"/>
      <c r="QPF6" s="1962"/>
      <c r="QPG6" s="1962"/>
      <c r="QPH6" s="1962"/>
      <c r="QPI6" s="1962"/>
      <c r="QPJ6" s="1962"/>
      <c r="QPK6" s="1962"/>
      <c r="QPL6" s="1962"/>
      <c r="QPM6" s="1962"/>
      <c r="QPN6" s="1962"/>
      <c r="QPO6" s="1962"/>
      <c r="QPP6" s="1962"/>
      <c r="QPQ6" s="1962"/>
      <c r="QPR6" s="1962"/>
      <c r="QPS6" s="1962"/>
      <c r="QPT6" s="1962"/>
      <c r="QPU6" s="1962"/>
      <c r="QPV6" s="1962"/>
      <c r="QPW6" s="1962"/>
      <c r="QPX6" s="1962"/>
      <c r="QPY6" s="1962"/>
      <c r="QPZ6" s="1962"/>
      <c r="QQA6" s="1962"/>
      <c r="QQB6" s="1962"/>
      <c r="QQC6" s="1962"/>
      <c r="QQD6" s="1962"/>
      <c r="QQE6" s="1962"/>
      <c r="QQF6" s="1962"/>
      <c r="QQG6" s="1962"/>
      <c r="QQH6" s="1962"/>
      <c r="QQI6" s="1962"/>
      <c r="QQJ6" s="1962"/>
      <c r="QQK6" s="1962"/>
      <c r="QQL6" s="1962"/>
      <c r="QQM6" s="1962"/>
      <c r="QQN6" s="1962"/>
      <c r="QQO6" s="1962"/>
      <c r="QQP6" s="1962"/>
      <c r="QQQ6" s="1962"/>
      <c r="QQR6" s="1962"/>
      <c r="QQS6" s="1962"/>
      <c r="QQT6" s="1962"/>
      <c r="QQU6" s="1962"/>
      <c r="QQV6" s="1962"/>
      <c r="QQW6" s="1962"/>
      <c r="QQX6" s="1962"/>
      <c r="QQY6" s="1962"/>
      <c r="QQZ6" s="1962"/>
      <c r="QRA6" s="1962"/>
      <c r="QRB6" s="1962"/>
      <c r="QRC6" s="1962"/>
      <c r="QRD6" s="1962"/>
      <c r="QRE6" s="1962"/>
      <c r="QRF6" s="1962"/>
      <c r="QRG6" s="1962"/>
      <c r="QRH6" s="1962"/>
      <c r="QRI6" s="1962"/>
      <c r="QRJ6" s="1962"/>
      <c r="QRK6" s="1962"/>
      <c r="QRL6" s="1962"/>
      <c r="QRM6" s="1962"/>
      <c r="QRN6" s="1962"/>
      <c r="QRO6" s="1962"/>
      <c r="QRP6" s="1962"/>
      <c r="QRQ6" s="1962"/>
      <c r="QRR6" s="1962"/>
      <c r="QRS6" s="1962"/>
      <c r="QRT6" s="1962"/>
      <c r="QRU6" s="1962"/>
      <c r="QRV6" s="1962"/>
      <c r="QRW6" s="1962"/>
      <c r="QRX6" s="1962"/>
      <c r="QRY6" s="1962"/>
      <c r="QRZ6" s="1962"/>
      <c r="QSA6" s="1962"/>
      <c r="QSB6" s="1962"/>
      <c r="QSC6" s="1962"/>
      <c r="QSD6" s="1962"/>
      <c r="QSE6" s="1962"/>
      <c r="QSF6" s="1962"/>
      <c r="QSG6" s="1962"/>
      <c r="QSH6" s="1962"/>
      <c r="QSI6" s="1962"/>
      <c r="QSJ6" s="1962"/>
      <c r="QSK6" s="1962"/>
      <c r="QSL6" s="1962"/>
      <c r="QSM6" s="1962"/>
      <c r="QSN6" s="1962"/>
      <c r="QSO6" s="1962"/>
      <c r="QSP6" s="1962"/>
      <c r="QSQ6" s="1962"/>
      <c r="QSR6" s="1962"/>
      <c r="QSS6" s="1962"/>
      <c r="QST6" s="1962"/>
      <c r="QSU6" s="1962"/>
      <c r="QSV6" s="1962"/>
      <c r="QSW6" s="1962"/>
      <c r="QSX6" s="1962"/>
      <c r="QSY6" s="1962"/>
      <c r="QSZ6" s="1962"/>
      <c r="QTA6" s="1962"/>
      <c r="QTB6" s="1962"/>
      <c r="QTC6" s="1962"/>
      <c r="QTD6" s="1962"/>
      <c r="QTE6" s="1962"/>
      <c r="QTF6" s="1962"/>
      <c r="QTG6" s="1962"/>
      <c r="QTH6" s="1962"/>
      <c r="QTI6" s="1962"/>
      <c r="QTJ6" s="1962"/>
      <c r="QTK6" s="1962"/>
      <c r="QTL6" s="1962"/>
      <c r="QTM6" s="1962"/>
      <c r="QTN6" s="1962"/>
      <c r="QTO6" s="1962"/>
      <c r="QTP6" s="1962"/>
      <c r="QTQ6" s="1962"/>
      <c r="QTR6" s="1962"/>
      <c r="QTS6" s="1962"/>
      <c r="QTT6" s="1962"/>
      <c r="QTU6" s="1962"/>
      <c r="QTV6" s="1962"/>
      <c r="QTW6" s="1962"/>
      <c r="QTX6" s="1962"/>
      <c r="QTY6" s="1962"/>
      <c r="QTZ6" s="1962"/>
      <c r="QUA6" s="1962"/>
      <c r="QUB6" s="1962"/>
      <c r="QUC6" s="1962"/>
      <c r="QUD6" s="1962"/>
      <c r="QUE6" s="1962"/>
      <c r="QUF6" s="1962"/>
      <c r="QUG6" s="1962"/>
      <c r="QUH6" s="1962"/>
      <c r="QUI6" s="1962"/>
      <c r="QUJ6" s="1962"/>
      <c r="QUK6" s="1962"/>
      <c r="QUL6" s="1962"/>
      <c r="QUM6" s="1962"/>
      <c r="QUN6" s="1962"/>
      <c r="QUO6" s="1962"/>
      <c r="QUP6" s="1962"/>
      <c r="QUQ6" s="1962"/>
      <c r="QUR6" s="1962"/>
      <c r="QUS6" s="1962"/>
      <c r="QUT6" s="1962"/>
      <c r="QUU6" s="1962"/>
      <c r="QUV6" s="1962"/>
      <c r="QUW6" s="1962"/>
      <c r="QUX6" s="1962"/>
      <c r="QUY6" s="1962"/>
      <c r="QUZ6" s="1962"/>
      <c r="QVA6" s="1962"/>
      <c r="QVB6" s="1962"/>
      <c r="QVC6" s="1962"/>
      <c r="QVD6" s="1962"/>
      <c r="QVE6" s="1962"/>
      <c r="QVF6" s="1962"/>
      <c r="QVG6" s="1962"/>
      <c r="QVH6" s="1962"/>
      <c r="QVI6" s="1962"/>
      <c r="QVJ6" s="1962"/>
      <c r="QVK6" s="1962"/>
      <c r="QVL6" s="1962"/>
      <c r="QVM6" s="1962"/>
      <c r="QVN6" s="1962"/>
      <c r="QVO6" s="1962"/>
      <c r="QVP6" s="1962"/>
      <c r="QVQ6" s="1962"/>
      <c r="QVR6" s="1962"/>
      <c r="QVS6" s="1962"/>
      <c r="QVT6" s="1962"/>
      <c r="QVU6" s="1962"/>
      <c r="QVV6" s="1962"/>
      <c r="QVW6" s="1962"/>
      <c r="QVX6" s="1962"/>
      <c r="QVY6" s="1962"/>
      <c r="QVZ6" s="1962"/>
      <c r="QWA6" s="1962"/>
      <c r="QWB6" s="1962"/>
      <c r="QWC6" s="1962"/>
      <c r="QWD6" s="1962"/>
      <c r="QWE6" s="1962"/>
      <c r="QWF6" s="1962"/>
      <c r="QWG6" s="1962"/>
      <c r="QWH6" s="1962"/>
      <c r="QWI6" s="1962"/>
      <c r="QWJ6" s="1962"/>
      <c r="QWK6" s="1962"/>
      <c r="QWL6" s="1962"/>
      <c r="QWM6" s="1962"/>
      <c r="QWN6" s="1962"/>
      <c r="QWO6" s="1962"/>
      <c r="QWP6" s="1962"/>
      <c r="QWQ6" s="1962"/>
      <c r="QWR6" s="1962"/>
      <c r="QWS6" s="1962"/>
      <c r="QWT6" s="1962"/>
      <c r="QWU6" s="1962"/>
      <c r="QWV6" s="1962"/>
      <c r="QWW6" s="1962"/>
      <c r="QWX6" s="1962"/>
      <c r="QWY6" s="1962"/>
      <c r="QWZ6" s="1962"/>
      <c r="QXA6" s="1962"/>
      <c r="QXB6" s="1962"/>
      <c r="QXC6" s="1962"/>
      <c r="QXD6" s="1962"/>
      <c r="QXE6" s="1962"/>
      <c r="QXF6" s="1962"/>
      <c r="QXG6" s="1962"/>
      <c r="QXH6" s="1962"/>
      <c r="QXI6" s="1962"/>
      <c r="QXJ6" s="1962"/>
      <c r="QXK6" s="1962"/>
      <c r="QXL6" s="1962"/>
      <c r="QXM6" s="1962"/>
      <c r="QXN6" s="1962"/>
      <c r="QXO6" s="1962"/>
      <c r="QXP6" s="1962"/>
      <c r="QXQ6" s="1962"/>
      <c r="QXR6" s="1962"/>
      <c r="QXS6" s="1962"/>
      <c r="QXT6" s="1962"/>
      <c r="QXU6" s="1962"/>
      <c r="QXV6" s="1962"/>
      <c r="QXW6" s="1962"/>
      <c r="QXX6" s="1962"/>
      <c r="QXY6" s="1962"/>
      <c r="QXZ6" s="1962"/>
      <c r="QYA6" s="1962"/>
      <c r="QYB6" s="1962"/>
      <c r="QYC6" s="1962"/>
      <c r="QYD6" s="1962"/>
      <c r="QYE6" s="1962"/>
      <c r="QYF6" s="1962"/>
      <c r="QYG6" s="1962"/>
      <c r="QYH6" s="1962"/>
      <c r="QYI6" s="1962"/>
      <c r="QYJ6" s="1962"/>
      <c r="QYK6" s="1962"/>
      <c r="QYL6" s="1962"/>
      <c r="QYM6" s="1962"/>
      <c r="QYN6" s="1962"/>
      <c r="QYO6" s="1962"/>
      <c r="QYP6" s="1962"/>
      <c r="QYQ6" s="1962"/>
      <c r="QYR6" s="1962"/>
      <c r="QYS6" s="1962"/>
      <c r="QYT6" s="1962"/>
      <c r="QYU6" s="1962"/>
      <c r="QYV6" s="1962"/>
      <c r="QYW6" s="1962"/>
      <c r="QYX6" s="1962"/>
      <c r="QYY6" s="1962"/>
      <c r="QYZ6" s="1962"/>
      <c r="QZA6" s="1962"/>
      <c r="QZB6" s="1962"/>
      <c r="QZC6" s="1962"/>
      <c r="QZD6" s="1962"/>
      <c r="QZE6" s="1962"/>
      <c r="QZF6" s="1962"/>
      <c r="QZG6" s="1962"/>
      <c r="QZH6" s="1962"/>
      <c r="QZI6" s="1962"/>
      <c r="QZJ6" s="1962"/>
      <c r="QZK6" s="1962"/>
      <c r="QZL6" s="1962"/>
      <c r="QZM6" s="1962"/>
      <c r="QZN6" s="1962"/>
      <c r="QZO6" s="1962"/>
      <c r="QZP6" s="1962"/>
      <c r="QZQ6" s="1962"/>
      <c r="QZR6" s="1962"/>
      <c r="QZS6" s="1962"/>
      <c r="QZT6" s="1962"/>
      <c r="QZU6" s="1962"/>
      <c r="QZV6" s="1962"/>
      <c r="QZW6" s="1962"/>
      <c r="QZX6" s="1962"/>
      <c r="QZY6" s="1962"/>
      <c r="QZZ6" s="1962"/>
      <c r="RAA6" s="1962"/>
      <c r="RAB6" s="1962"/>
      <c r="RAC6" s="1962"/>
      <c r="RAD6" s="1962"/>
      <c r="RAE6" s="1962"/>
      <c r="RAF6" s="1962"/>
      <c r="RAG6" s="1962"/>
      <c r="RAH6" s="1962"/>
      <c r="RAI6" s="1962"/>
      <c r="RAJ6" s="1962"/>
      <c r="RAK6" s="1962"/>
      <c r="RAL6" s="1962"/>
      <c r="RAM6" s="1962"/>
      <c r="RAN6" s="1962"/>
      <c r="RAO6" s="1962"/>
      <c r="RAP6" s="1962"/>
      <c r="RAQ6" s="1962"/>
      <c r="RAR6" s="1962"/>
      <c r="RAS6" s="1962"/>
      <c r="RAT6" s="1962"/>
      <c r="RAU6" s="1962"/>
      <c r="RAV6" s="1962"/>
      <c r="RAW6" s="1962"/>
      <c r="RAX6" s="1962"/>
      <c r="RAY6" s="1962"/>
      <c r="RAZ6" s="1962"/>
      <c r="RBA6" s="1962"/>
      <c r="RBB6" s="1962"/>
      <c r="RBC6" s="1962"/>
      <c r="RBD6" s="1962"/>
      <c r="RBE6" s="1962"/>
      <c r="RBF6" s="1962"/>
      <c r="RBG6" s="1962"/>
      <c r="RBH6" s="1962"/>
      <c r="RBI6" s="1962"/>
      <c r="RBJ6" s="1962"/>
      <c r="RBK6" s="1962"/>
      <c r="RBL6" s="1962"/>
      <c r="RBM6" s="1962"/>
      <c r="RBN6" s="1962"/>
      <c r="RBO6" s="1962"/>
      <c r="RBP6" s="1962"/>
      <c r="RBQ6" s="1962"/>
      <c r="RBR6" s="1962"/>
      <c r="RBS6" s="1962"/>
      <c r="RBT6" s="1962"/>
      <c r="RBU6" s="1962"/>
      <c r="RBV6" s="1962"/>
      <c r="RBW6" s="1962"/>
      <c r="RBX6" s="1962"/>
      <c r="RBY6" s="1962"/>
      <c r="RBZ6" s="1962"/>
      <c r="RCA6" s="1962"/>
      <c r="RCB6" s="1962"/>
      <c r="RCC6" s="1962"/>
      <c r="RCD6" s="1962"/>
      <c r="RCE6" s="1962"/>
      <c r="RCF6" s="1962"/>
      <c r="RCG6" s="1962"/>
      <c r="RCH6" s="1962"/>
      <c r="RCI6" s="1962"/>
      <c r="RCJ6" s="1962"/>
      <c r="RCK6" s="1962"/>
      <c r="RCL6" s="1962"/>
      <c r="RCM6" s="1962"/>
      <c r="RCN6" s="1962"/>
      <c r="RCO6" s="1962"/>
      <c r="RCP6" s="1962"/>
      <c r="RCQ6" s="1962"/>
      <c r="RCR6" s="1962"/>
      <c r="RCS6" s="1962"/>
      <c r="RCT6" s="1962"/>
      <c r="RCU6" s="1962"/>
      <c r="RCV6" s="1962"/>
      <c r="RCW6" s="1962"/>
      <c r="RCX6" s="1962"/>
      <c r="RCY6" s="1962"/>
      <c r="RCZ6" s="1962"/>
      <c r="RDA6" s="1962"/>
      <c r="RDB6" s="1962"/>
      <c r="RDC6" s="1962"/>
      <c r="RDD6" s="1962"/>
      <c r="RDE6" s="1962"/>
      <c r="RDF6" s="1962"/>
      <c r="RDG6" s="1962"/>
      <c r="RDH6" s="1962"/>
      <c r="RDI6" s="1962"/>
      <c r="RDJ6" s="1962"/>
      <c r="RDK6" s="1962"/>
      <c r="RDL6" s="1962"/>
      <c r="RDM6" s="1962"/>
      <c r="RDN6" s="1962"/>
      <c r="RDO6" s="1962"/>
      <c r="RDP6" s="1962"/>
      <c r="RDQ6" s="1962"/>
      <c r="RDR6" s="1962"/>
      <c r="RDS6" s="1962"/>
      <c r="RDT6" s="1962"/>
      <c r="RDU6" s="1962"/>
      <c r="RDV6" s="1962"/>
      <c r="RDW6" s="1962"/>
      <c r="RDX6" s="1962"/>
      <c r="RDY6" s="1962"/>
      <c r="RDZ6" s="1962"/>
      <c r="REA6" s="1962"/>
      <c r="REB6" s="1962"/>
      <c r="REC6" s="1962"/>
      <c r="RED6" s="1962"/>
      <c r="REE6" s="1962"/>
      <c r="REF6" s="1962"/>
      <c r="REG6" s="1962"/>
      <c r="REH6" s="1962"/>
      <c r="REI6" s="1962"/>
      <c r="REJ6" s="1962"/>
      <c r="REK6" s="1962"/>
      <c r="REL6" s="1962"/>
      <c r="REM6" s="1962"/>
      <c r="REN6" s="1962"/>
      <c r="REO6" s="1962"/>
      <c r="REP6" s="1962"/>
      <c r="REQ6" s="1962"/>
      <c r="RER6" s="1962"/>
      <c r="RES6" s="1962"/>
      <c r="RET6" s="1962"/>
      <c r="REU6" s="1962"/>
      <c r="REV6" s="1962"/>
      <c r="REW6" s="1962"/>
      <c r="REX6" s="1962"/>
      <c r="REY6" s="1962"/>
      <c r="REZ6" s="1962"/>
      <c r="RFA6" s="1962"/>
      <c r="RFB6" s="1962"/>
      <c r="RFC6" s="1962"/>
      <c r="RFD6" s="1962"/>
      <c r="RFE6" s="1962"/>
      <c r="RFF6" s="1962"/>
      <c r="RFG6" s="1962"/>
      <c r="RFH6" s="1962"/>
      <c r="RFI6" s="1962"/>
      <c r="RFJ6" s="1962"/>
      <c r="RFK6" s="1962"/>
      <c r="RFL6" s="1962"/>
      <c r="RFM6" s="1962"/>
      <c r="RFN6" s="1962"/>
      <c r="RFO6" s="1962"/>
      <c r="RFP6" s="1962"/>
      <c r="RFQ6" s="1962"/>
      <c r="RFR6" s="1962"/>
      <c r="RFS6" s="1962"/>
      <c r="RFT6" s="1962"/>
      <c r="RFU6" s="1962"/>
      <c r="RFV6" s="1962"/>
      <c r="RFW6" s="1962"/>
      <c r="RFX6" s="1962"/>
      <c r="RFY6" s="1962"/>
      <c r="RFZ6" s="1962"/>
      <c r="RGA6" s="1962"/>
      <c r="RGB6" s="1962"/>
      <c r="RGC6" s="1962"/>
      <c r="RGD6" s="1962"/>
      <c r="RGE6" s="1962"/>
      <c r="RGF6" s="1962"/>
      <c r="RGG6" s="1962"/>
      <c r="RGH6" s="1962"/>
      <c r="RGI6" s="1962"/>
      <c r="RGJ6" s="1962"/>
      <c r="RGK6" s="1962"/>
      <c r="RGL6" s="1962"/>
      <c r="RGM6" s="1962"/>
      <c r="RGN6" s="1962"/>
      <c r="RGO6" s="1962"/>
      <c r="RGP6" s="1962"/>
      <c r="RGQ6" s="1962"/>
      <c r="RGR6" s="1962"/>
      <c r="RGS6" s="1962"/>
      <c r="RGT6" s="1962"/>
      <c r="RGU6" s="1962"/>
      <c r="RGV6" s="1962"/>
      <c r="RGW6" s="1962"/>
      <c r="RGX6" s="1962"/>
      <c r="RGY6" s="1962"/>
      <c r="RGZ6" s="1962"/>
      <c r="RHA6" s="1962"/>
      <c r="RHB6" s="1962"/>
      <c r="RHC6" s="1962"/>
      <c r="RHD6" s="1962"/>
      <c r="RHE6" s="1962"/>
      <c r="RHF6" s="1962"/>
      <c r="RHG6" s="1962"/>
      <c r="RHH6" s="1962"/>
      <c r="RHI6" s="1962"/>
      <c r="RHJ6" s="1962"/>
      <c r="RHK6" s="1962"/>
      <c r="RHL6" s="1962"/>
      <c r="RHM6" s="1962"/>
      <c r="RHN6" s="1962"/>
      <c r="RHO6" s="1962"/>
      <c r="RHP6" s="1962"/>
      <c r="RHQ6" s="1962"/>
      <c r="RHR6" s="1962"/>
      <c r="RHS6" s="1962"/>
      <c r="RHT6" s="1962"/>
      <c r="RHU6" s="1962"/>
      <c r="RHV6" s="1962"/>
      <c r="RHW6" s="1962"/>
      <c r="RHX6" s="1962"/>
      <c r="RHY6" s="1962"/>
      <c r="RHZ6" s="1962"/>
      <c r="RIA6" s="1962"/>
      <c r="RIB6" s="1962"/>
      <c r="RIC6" s="1962"/>
      <c r="RID6" s="1962"/>
      <c r="RIE6" s="1962"/>
      <c r="RIF6" s="1962"/>
      <c r="RIG6" s="1962"/>
      <c r="RIH6" s="1962"/>
      <c r="RII6" s="1962"/>
      <c r="RIJ6" s="1962"/>
      <c r="RIK6" s="1962"/>
      <c r="RIL6" s="1962"/>
      <c r="RIM6" s="1962"/>
      <c r="RIN6" s="1962"/>
      <c r="RIO6" s="1962"/>
      <c r="RIP6" s="1962"/>
      <c r="RIQ6" s="1962"/>
      <c r="RIR6" s="1962"/>
      <c r="RIS6" s="1962"/>
      <c r="RIT6" s="1962"/>
      <c r="RIU6" s="1962"/>
      <c r="RIV6" s="1962"/>
      <c r="RIW6" s="1962"/>
      <c r="RIX6" s="1962"/>
      <c r="RIY6" s="1962"/>
      <c r="RIZ6" s="1962"/>
      <c r="RJA6" s="1962"/>
      <c r="RJB6" s="1962"/>
      <c r="RJC6" s="1962"/>
      <c r="RJD6" s="1962"/>
      <c r="RJE6" s="1962"/>
      <c r="RJF6" s="1962"/>
      <c r="RJG6" s="1962"/>
      <c r="RJH6" s="1962"/>
      <c r="RJI6" s="1962"/>
      <c r="RJJ6" s="1962"/>
      <c r="RJK6" s="1962"/>
      <c r="RJL6" s="1962"/>
      <c r="RJM6" s="1962"/>
      <c r="RJN6" s="1962"/>
      <c r="RJO6" s="1962"/>
      <c r="RJP6" s="1962"/>
      <c r="RJQ6" s="1962"/>
      <c r="RJR6" s="1962"/>
      <c r="RJS6" s="1962"/>
      <c r="RJT6" s="1962"/>
      <c r="RJU6" s="1962"/>
      <c r="RJV6" s="1962"/>
      <c r="RJW6" s="1962"/>
      <c r="RJX6" s="1962"/>
      <c r="RJY6" s="1962"/>
      <c r="RJZ6" s="1962"/>
      <c r="RKA6" s="1962"/>
      <c r="RKB6" s="1962"/>
      <c r="RKC6" s="1962"/>
      <c r="RKD6" s="1962"/>
      <c r="RKE6" s="1962"/>
      <c r="RKF6" s="1962"/>
      <c r="RKG6" s="1962"/>
      <c r="RKH6" s="1962"/>
      <c r="RKI6" s="1962"/>
      <c r="RKJ6" s="1962"/>
      <c r="RKK6" s="1962"/>
      <c r="RKL6" s="1962"/>
      <c r="RKM6" s="1962"/>
      <c r="RKN6" s="1962"/>
      <c r="RKO6" s="1962"/>
      <c r="RKP6" s="1962"/>
      <c r="RKQ6" s="1962"/>
      <c r="RKR6" s="1962"/>
      <c r="RKS6" s="1962"/>
      <c r="RKT6" s="1962"/>
      <c r="RKU6" s="1962"/>
      <c r="RKV6" s="1962"/>
      <c r="RKW6" s="1962"/>
      <c r="RKX6" s="1962"/>
      <c r="RKY6" s="1962"/>
      <c r="RKZ6" s="1962"/>
      <c r="RLA6" s="1962"/>
      <c r="RLB6" s="1962"/>
      <c r="RLC6" s="1962"/>
      <c r="RLD6" s="1962"/>
      <c r="RLE6" s="1962"/>
      <c r="RLF6" s="1962"/>
      <c r="RLG6" s="1962"/>
      <c r="RLH6" s="1962"/>
      <c r="RLI6" s="1962"/>
      <c r="RLJ6" s="1962"/>
      <c r="RLK6" s="1962"/>
      <c r="RLL6" s="1962"/>
      <c r="RLM6" s="1962"/>
      <c r="RLN6" s="1962"/>
      <c r="RLO6" s="1962"/>
      <c r="RLP6" s="1962"/>
      <c r="RLQ6" s="1962"/>
      <c r="RLR6" s="1962"/>
      <c r="RLS6" s="1962"/>
      <c r="RLT6" s="1962"/>
      <c r="RLU6" s="1962"/>
      <c r="RLV6" s="1962"/>
      <c r="RLW6" s="1962"/>
      <c r="RLX6" s="1962"/>
      <c r="RLY6" s="1962"/>
      <c r="RLZ6" s="1962"/>
      <c r="RMA6" s="1962"/>
      <c r="RMB6" s="1962"/>
      <c r="RMC6" s="1962"/>
      <c r="RMD6" s="1962"/>
      <c r="RME6" s="1962"/>
      <c r="RMF6" s="1962"/>
      <c r="RMG6" s="1962"/>
      <c r="RMH6" s="1962"/>
      <c r="RMI6" s="1962"/>
      <c r="RMJ6" s="1962"/>
      <c r="RMK6" s="1962"/>
      <c r="RML6" s="1962"/>
      <c r="RMM6" s="1962"/>
      <c r="RMN6" s="1962"/>
      <c r="RMO6" s="1962"/>
      <c r="RMP6" s="1962"/>
      <c r="RMQ6" s="1962"/>
      <c r="RMR6" s="1962"/>
      <c r="RMS6" s="1962"/>
      <c r="RMT6" s="1962"/>
      <c r="RMU6" s="1962"/>
      <c r="RMV6" s="1962"/>
      <c r="RMW6" s="1962"/>
      <c r="RMX6" s="1962"/>
      <c r="RMY6" s="1962"/>
      <c r="RMZ6" s="1962"/>
      <c r="RNA6" s="1962"/>
      <c r="RNB6" s="1962"/>
      <c r="RNC6" s="1962"/>
      <c r="RND6" s="1962"/>
      <c r="RNE6" s="1962"/>
      <c r="RNF6" s="1962"/>
      <c r="RNG6" s="1962"/>
      <c r="RNH6" s="1962"/>
      <c r="RNI6" s="1962"/>
      <c r="RNJ6" s="1962"/>
      <c r="RNK6" s="1962"/>
      <c r="RNL6" s="1962"/>
      <c r="RNM6" s="1962"/>
      <c r="RNN6" s="1962"/>
      <c r="RNO6" s="1962"/>
      <c r="RNP6" s="1962"/>
      <c r="RNQ6" s="1962"/>
      <c r="RNR6" s="1962"/>
      <c r="RNS6" s="1962"/>
      <c r="RNT6" s="1962"/>
      <c r="RNU6" s="1962"/>
      <c r="RNV6" s="1962"/>
      <c r="RNW6" s="1962"/>
      <c r="RNX6" s="1962"/>
      <c r="RNY6" s="1962"/>
      <c r="RNZ6" s="1962"/>
      <c r="ROA6" s="1962"/>
      <c r="ROB6" s="1962"/>
      <c r="ROC6" s="1962"/>
      <c r="ROD6" s="1962"/>
      <c r="ROE6" s="1962"/>
      <c r="ROF6" s="1962"/>
      <c r="ROG6" s="1962"/>
      <c r="ROH6" s="1962"/>
      <c r="ROI6" s="1962"/>
      <c r="ROJ6" s="1962"/>
      <c r="ROK6" s="1962"/>
      <c r="ROL6" s="1962"/>
      <c r="ROM6" s="1962"/>
      <c r="RON6" s="1962"/>
      <c r="ROO6" s="1962"/>
      <c r="ROP6" s="1962"/>
      <c r="ROQ6" s="1962"/>
      <c r="ROR6" s="1962"/>
      <c r="ROS6" s="1962"/>
      <c r="ROT6" s="1962"/>
      <c r="ROU6" s="1962"/>
      <c r="ROV6" s="1962"/>
      <c r="ROW6" s="1962"/>
      <c r="ROX6" s="1962"/>
      <c r="ROY6" s="1962"/>
      <c r="ROZ6" s="1962"/>
      <c r="RPA6" s="1962"/>
      <c r="RPB6" s="1962"/>
      <c r="RPC6" s="1962"/>
      <c r="RPD6" s="1962"/>
      <c r="RPE6" s="1962"/>
      <c r="RPF6" s="1962"/>
      <c r="RPG6" s="1962"/>
      <c r="RPH6" s="1962"/>
      <c r="RPI6" s="1962"/>
      <c r="RPJ6" s="1962"/>
      <c r="RPK6" s="1962"/>
      <c r="RPL6" s="1962"/>
      <c r="RPM6" s="1962"/>
      <c r="RPN6" s="1962"/>
      <c r="RPO6" s="1962"/>
      <c r="RPP6" s="1962"/>
      <c r="RPQ6" s="1962"/>
      <c r="RPR6" s="1962"/>
      <c r="RPS6" s="1962"/>
      <c r="RPT6" s="1962"/>
      <c r="RPU6" s="1962"/>
      <c r="RPV6" s="1962"/>
      <c r="RPW6" s="1962"/>
      <c r="RPX6" s="1962"/>
      <c r="RPY6" s="1962"/>
      <c r="RPZ6" s="1962"/>
      <c r="RQA6" s="1962"/>
      <c r="RQB6" s="1962"/>
      <c r="RQC6" s="1962"/>
      <c r="RQD6" s="1962"/>
      <c r="RQE6" s="1962"/>
      <c r="RQF6" s="1962"/>
      <c r="RQG6" s="1962"/>
      <c r="RQH6" s="1962"/>
      <c r="RQI6" s="1962"/>
      <c r="RQJ6" s="1962"/>
      <c r="RQK6" s="1962"/>
      <c r="RQL6" s="1962"/>
      <c r="RQM6" s="1962"/>
      <c r="RQN6" s="1962"/>
      <c r="RQO6" s="1962"/>
      <c r="RQP6" s="1962"/>
      <c r="RQQ6" s="1962"/>
      <c r="RQR6" s="1962"/>
      <c r="RQS6" s="1962"/>
      <c r="RQT6" s="1962"/>
      <c r="RQU6" s="1962"/>
      <c r="RQV6" s="1962"/>
      <c r="RQW6" s="1962"/>
      <c r="RQX6" s="1962"/>
      <c r="RQY6" s="1962"/>
      <c r="RQZ6" s="1962"/>
      <c r="RRA6" s="1962"/>
      <c r="RRB6" s="1962"/>
      <c r="RRC6" s="1962"/>
      <c r="RRD6" s="1962"/>
      <c r="RRE6" s="1962"/>
      <c r="RRF6" s="1962"/>
      <c r="RRG6" s="1962"/>
      <c r="RRH6" s="1962"/>
      <c r="RRI6" s="1962"/>
      <c r="RRJ6" s="1962"/>
      <c r="RRK6" s="1962"/>
      <c r="RRL6" s="1962"/>
      <c r="RRM6" s="1962"/>
      <c r="RRN6" s="1962"/>
      <c r="RRO6" s="1962"/>
      <c r="RRP6" s="1962"/>
      <c r="RRQ6" s="1962"/>
      <c r="RRR6" s="1962"/>
      <c r="RRS6" s="1962"/>
      <c r="RRT6" s="1962"/>
      <c r="RRU6" s="1962"/>
      <c r="RRV6" s="1962"/>
      <c r="RRW6" s="1962"/>
      <c r="RRX6" s="1962"/>
      <c r="RRY6" s="1962"/>
      <c r="RRZ6" s="1962"/>
      <c r="RSA6" s="1962"/>
      <c r="RSB6" s="1962"/>
      <c r="RSC6" s="1962"/>
      <c r="RSD6" s="1962"/>
      <c r="RSE6" s="1962"/>
      <c r="RSF6" s="1962"/>
      <c r="RSG6" s="1962"/>
      <c r="RSH6" s="1962"/>
      <c r="RSI6" s="1962"/>
      <c r="RSJ6" s="1962"/>
      <c r="RSK6" s="1962"/>
      <c r="RSL6" s="1962"/>
      <c r="RSM6" s="1962"/>
      <c r="RSN6" s="1962"/>
      <c r="RSO6" s="1962"/>
      <c r="RSP6" s="1962"/>
      <c r="RSQ6" s="1962"/>
      <c r="RSR6" s="1962"/>
      <c r="RSS6" s="1962"/>
      <c r="RST6" s="1962"/>
      <c r="RSU6" s="1962"/>
      <c r="RSV6" s="1962"/>
      <c r="RSW6" s="1962"/>
      <c r="RSX6" s="1962"/>
      <c r="RSY6" s="1962"/>
      <c r="RSZ6" s="1962"/>
      <c r="RTA6" s="1962"/>
      <c r="RTB6" s="1962"/>
      <c r="RTC6" s="1962"/>
      <c r="RTD6" s="1962"/>
      <c r="RTE6" s="1962"/>
      <c r="RTF6" s="1962"/>
      <c r="RTG6" s="1962"/>
      <c r="RTH6" s="1962"/>
      <c r="RTI6" s="1962"/>
      <c r="RTJ6" s="1962"/>
      <c r="RTK6" s="1962"/>
      <c r="RTL6" s="1962"/>
      <c r="RTM6" s="1962"/>
      <c r="RTN6" s="1962"/>
      <c r="RTO6" s="1962"/>
      <c r="RTP6" s="1962"/>
      <c r="RTQ6" s="1962"/>
      <c r="RTR6" s="1962"/>
      <c r="RTS6" s="1962"/>
      <c r="RTT6" s="1962"/>
      <c r="RTU6" s="1962"/>
      <c r="RTV6" s="1962"/>
      <c r="RTW6" s="1962"/>
      <c r="RTX6" s="1962"/>
      <c r="RTY6" s="1962"/>
      <c r="RTZ6" s="1962"/>
      <c r="RUA6" s="1962"/>
      <c r="RUB6" s="1962"/>
      <c r="RUC6" s="1962"/>
      <c r="RUD6" s="1962"/>
      <c r="RUE6" s="1962"/>
      <c r="RUF6" s="1962"/>
      <c r="RUG6" s="1962"/>
      <c r="RUH6" s="1962"/>
      <c r="RUI6" s="1962"/>
      <c r="RUJ6" s="1962"/>
      <c r="RUK6" s="1962"/>
      <c r="RUL6" s="1962"/>
      <c r="RUM6" s="1962"/>
      <c r="RUN6" s="1962"/>
      <c r="RUO6" s="1962"/>
      <c r="RUP6" s="1962"/>
      <c r="RUQ6" s="1962"/>
      <c r="RUR6" s="1962"/>
      <c r="RUS6" s="1962"/>
      <c r="RUT6" s="1962"/>
      <c r="RUU6" s="1962"/>
      <c r="RUV6" s="1962"/>
      <c r="RUW6" s="1962"/>
      <c r="RUX6" s="1962"/>
      <c r="RUY6" s="1962"/>
      <c r="RUZ6" s="1962"/>
      <c r="RVA6" s="1962"/>
      <c r="RVB6" s="1962"/>
      <c r="RVC6" s="1962"/>
      <c r="RVD6" s="1962"/>
      <c r="RVE6" s="1962"/>
      <c r="RVF6" s="1962"/>
      <c r="RVG6" s="1962"/>
      <c r="RVH6" s="1962"/>
      <c r="RVI6" s="1962"/>
      <c r="RVJ6" s="1962"/>
      <c r="RVK6" s="1962"/>
      <c r="RVL6" s="1962"/>
      <c r="RVM6" s="1962"/>
      <c r="RVN6" s="1962"/>
      <c r="RVO6" s="1962"/>
      <c r="RVP6" s="1962"/>
      <c r="RVQ6" s="1962"/>
      <c r="RVR6" s="1962"/>
      <c r="RVS6" s="1962"/>
      <c r="RVT6" s="1962"/>
      <c r="RVU6" s="1962"/>
      <c r="RVV6" s="1962"/>
      <c r="RVW6" s="1962"/>
      <c r="RVX6" s="1962"/>
      <c r="RVY6" s="1962"/>
      <c r="RVZ6" s="1962"/>
      <c r="RWA6" s="1962"/>
      <c r="RWB6" s="1962"/>
      <c r="RWC6" s="1962"/>
      <c r="RWD6" s="1962"/>
      <c r="RWE6" s="1962"/>
      <c r="RWF6" s="1962"/>
      <c r="RWG6" s="1962"/>
      <c r="RWH6" s="1962"/>
      <c r="RWI6" s="1962"/>
      <c r="RWJ6" s="1962"/>
      <c r="RWK6" s="1962"/>
      <c r="RWL6" s="1962"/>
      <c r="RWM6" s="1962"/>
      <c r="RWN6" s="1962"/>
      <c r="RWO6" s="1962"/>
      <c r="RWP6" s="1962"/>
      <c r="RWQ6" s="1962"/>
      <c r="RWR6" s="1962"/>
      <c r="RWS6" s="1962"/>
      <c r="RWT6" s="1962"/>
      <c r="RWU6" s="1962"/>
      <c r="RWV6" s="1962"/>
      <c r="RWW6" s="1962"/>
      <c r="RWX6" s="1962"/>
      <c r="RWY6" s="1962"/>
      <c r="RWZ6" s="1962"/>
      <c r="RXA6" s="1962"/>
      <c r="RXB6" s="1962"/>
      <c r="RXC6" s="1962"/>
      <c r="RXD6" s="1962"/>
      <c r="RXE6" s="1962"/>
      <c r="RXF6" s="1962"/>
      <c r="RXG6" s="1962"/>
      <c r="RXH6" s="1962"/>
      <c r="RXI6" s="1962"/>
      <c r="RXJ6" s="1962"/>
      <c r="RXK6" s="1962"/>
      <c r="RXL6" s="1962"/>
      <c r="RXM6" s="1962"/>
      <c r="RXN6" s="1962"/>
      <c r="RXO6" s="1962"/>
      <c r="RXP6" s="1962"/>
      <c r="RXQ6" s="1962"/>
      <c r="RXR6" s="1962"/>
      <c r="RXS6" s="1962"/>
      <c r="RXT6" s="1962"/>
      <c r="RXU6" s="1962"/>
      <c r="RXV6" s="1962"/>
      <c r="RXW6" s="1962"/>
      <c r="RXX6" s="1962"/>
      <c r="RXY6" s="1962"/>
      <c r="RXZ6" s="1962"/>
      <c r="RYA6" s="1962"/>
      <c r="RYB6" s="1962"/>
      <c r="RYC6" s="1962"/>
      <c r="RYD6" s="1962"/>
      <c r="RYE6" s="1962"/>
      <c r="RYF6" s="1962"/>
      <c r="RYG6" s="1962"/>
      <c r="RYH6" s="1962"/>
      <c r="RYI6" s="1962"/>
      <c r="RYJ6" s="1962"/>
      <c r="RYK6" s="1962"/>
      <c r="RYL6" s="1962"/>
      <c r="RYM6" s="1962"/>
      <c r="RYN6" s="1962"/>
      <c r="RYO6" s="1962"/>
      <c r="RYP6" s="1962"/>
      <c r="RYQ6" s="1962"/>
      <c r="RYR6" s="1962"/>
      <c r="RYS6" s="1962"/>
      <c r="RYT6" s="1962"/>
      <c r="RYU6" s="1962"/>
      <c r="RYV6" s="1962"/>
      <c r="RYW6" s="1962"/>
      <c r="RYX6" s="1962"/>
      <c r="RYY6" s="1962"/>
      <c r="RYZ6" s="1962"/>
      <c r="RZA6" s="1962"/>
      <c r="RZB6" s="1962"/>
      <c r="RZC6" s="1962"/>
      <c r="RZD6" s="1962"/>
      <c r="RZE6" s="1962"/>
      <c r="RZF6" s="1962"/>
      <c r="RZG6" s="1962"/>
      <c r="RZH6" s="1962"/>
      <c r="RZI6" s="1962"/>
      <c r="RZJ6" s="1962"/>
      <c r="RZK6" s="1962"/>
      <c r="RZL6" s="1962"/>
      <c r="RZM6" s="1962"/>
      <c r="RZN6" s="1962"/>
      <c r="RZO6" s="1962"/>
      <c r="RZP6" s="1962"/>
      <c r="RZQ6" s="1962"/>
      <c r="RZR6" s="1962"/>
      <c r="RZS6" s="1962"/>
      <c r="RZT6" s="1962"/>
      <c r="RZU6" s="1962"/>
      <c r="RZV6" s="1962"/>
      <c r="RZW6" s="1962"/>
      <c r="RZX6" s="1962"/>
      <c r="RZY6" s="1962"/>
      <c r="RZZ6" s="1962"/>
      <c r="SAA6" s="1962"/>
      <c r="SAB6" s="1962"/>
      <c r="SAC6" s="1962"/>
      <c r="SAD6" s="1962"/>
      <c r="SAE6" s="1962"/>
      <c r="SAF6" s="1962"/>
      <c r="SAG6" s="1962"/>
      <c r="SAH6" s="1962"/>
      <c r="SAI6" s="1962"/>
      <c r="SAJ6" s="1962"/>
      <c r="SAK6" s="1962"/>
      <c r="SAL6" s="1962"/>
      <c r="SAM6" s="1962"/>
      <c r="SAN6" s="1962"/>
      <c r="SAO6" s="1962"/>
      <c r="SAP6" s="1962"/>
      <c r="SAQ6" s="1962"/>
      <c r="SAR6" s="1962"/>
      <c r="SAS6" s="1962"/>
      <c r="SAT6" s="1962"/>
      <c r="SAU6" s="1962"/>
      <c r="SAV6" s="1962"/>
      <c r="SAW6" s="1962"/>
      <c r="SAX6" s="1962"/>
      <c r="SAY6" s="1962"/>
      <c r="SAZ6" s="1962"/>
      <c r="SBA6" s="1962"/>
      <c r="SBB6" s="1962"/>
      <c r="SBC6" s="1962"/>
      <c r="SBD6" s="1962"/>
      <c r="SBE6" s="1962"/>
      <c r="SBF6" s="1962"/>
      <c r="SBG6" s="1962"/>
      <c r="SBH6" s="1962"/>
      <c r="SBI6" s="1962"/>
      <c r="SBJ6" s="1962"/>
      <c r="SBK6" s="1962"/>
      <c r="SBL6" s="1962"/>
      <c r="SBM6" s="1962"/>
      <c r="SBN6" s="1962"/>
      <c r="SBO6" s="1962"/>
      <c r="SBP6" s="1962"/>
      <c r="SBQ6" s="1962"/>
      <c r="SBR6" s="1962"/>
      <c r="SBS6" s="1962"/>
      <c r="SBT6" s="1962"/>
      <c r="SBU6" s="1962"/>
      <c r="SBV6" s="1962"/>
      <c r="SBW6" s="1962"/>
      <c r="SBX6" s="1962"/>
      <c r="SBY6" s="1962"/>
      <c r="SBZ6" s="1962"/>
      <c r="SCA6" s="1962"/>
      <c r="SCB6" s="1962"/>
      <c r="SCC6" s="1962"/>
      <c r="SCD6" s="1962"/>
      <c r="SCE6" s="1962"/>
      <c r="SCF6" s="1962"/>
      <c r="SCG6" s="1962"/>
      <c r="SCH6" s="1962"/>
      <c r="SCI6" s="1962"/>
      <c r="SCJ6" s="1962"/>
      <c r="SCK6" s="1962"/>
      <c r="SCL6" s="1962"/>
      <c r="SCM6" s="1962"/>
      <c r="SCN6" s="1962"/>
      <c r="SCO6" s="1962"/>
      <c r="SCP6" s="1962"/>
      <c r="SCQ6" s="1962"/>
      <c r="SCR6" s="1962"/>
      <c r="SCS6" s="1962"/>
      <c r="SCT6" s="1962"/>
      <c r="SCU6" s="1962"/>
      <c r="SCV6" s="1962"/>
      <c r="SCW6" s="1962"/>
      <c r="SCX6" s="1962"/>
      <c r="SCY6" s="1962"/>
      <c r="SCZ6" s="1962"/>
      <c r="SDA6" s="1962"/>
      <c r="SDB6" s="1962"/>
      <c r="SDC6" s="1962"/>
      <c r="SDD6" s="1962"/>
      <c r="SDE6" s="1962"/>
      <c r="SDF6" s="1962"/>
      <c r="SDG6" s="1962"/>
      <c r="SDH6" s="1962"/>
      <c r="SDI6" s="1962"/>
      <c r="SDJ6" s="1962"/>
      <c r="SDK6" s="1962"/>
      <c r="SDL6" s="1962"/>
      <c r="SDM6" s="1962"/>
      <c r="SDN6" s="1962"/>
      <c r="SDO6" s="1962"/>
      <c r="SDP6" s="1962"/>
      <c r="SDQ6" s="1962"/>
      <c r="SDR6" s="1962"/>
      <c r="SDS6" s="1962"/>
      <c r="SDT6" s="1962"/>
      <c r="SDU6" s="1962"/>
      <c r="SDV6" s="1962"/>
      <c r="SDW6" s="1962"/>
      <c r="SDX6" s="1962"/>
      <c r="SDY6" s="1962"/>
      <c r="SDZ6" s="1962"/>
      <c r="SEA6" s="1962"/>
      <c r="SEB6" s="1962"/>
      <c r="SEC6" s="1962"/>
      <c r="SED6" s="1962"/>
      <c r="SEE6" s="1962"/>
      <c r="SEF6" s="1962"/>
      <c r="SEG6" s="1962"/>
      <c r="SEH6" s="1962"/>
      <c r="SEI6" s="1962"/>
      <c r="SEJ6" s="1962"/>
      <c r="SEK6" s="1962"/>
      <c r="SEL6" s="1962"/>
      <c r="SEM6" s="1962"/>
      <c r="SEN6" s="1962"/>
      <c r="SEO6" s="1962"/>
      <c r="SEP6" s="1962"/>
      <c r="SEQ6" s="1962"/>
      <c r="SER6" s="1962"/>
      <c r="SES6" s="1962"/>
      <c r="SET6" s="1962"/>
      <c r="SEU6" s="1962"/>
      <c r="SEV6" s="1962"/>
      <c r="SEW6" s="1962"/>
      <c r="SEX6" s="1962"/>
      <c r="SEY6" s="1962"/>
      <c r="SEZ6" s="1962"/>
      <c r="SFA6" s="1962"/>
      <c r="SFB6" s="1962"/>
      <c r="SFC6" s="1962"/>
      <c r="SFD6" s="1962"/>
      <c r="SFE6" s="1962"/>
      <c r="SFF6" s="1962"/>
      <c r="SFG6" s="1962"/>
      <c r="SFH6" s="1962"/>
      <c r="SFI6" s="1962"/>
      <c r="SFJ6" s="1962"/>
      <c r="SFK6" s="1962"/>
      <c r="SFL6" s="1962"/>
      <c r="SFM6" s="1962"/>
      <c r="SFN6" s="1962"/>
      <c r="SFO6" s="1962"/>
      <c r="SFP6" s="1962"/>
      <c r="SFQ6" s="1962"/>
      <c r="SFR6" s="1962"/>
      <c r="SFS6" s="1962"/>
      <c r="SFT6" s="1962"/>
      <c r="SFU6" s="1962"/>
      <c r="SFV6" s="1962"/>
      <c r="SFW6" s="1962"/>
      <c r="SFX6" s="1962"/>
      <c r="SFY6" s="1962"/>
      <c r="SFZ6" s="1962"/>
      <c r="SGA6" s="1962"/>
      <c r="SGB6" s="1962"/>
      <c r="SGC6" s="1962"/>
      <c r="SGD6" s="1962"/>
      <c r="SGE6" s="1962"/>
      <c r="SGF6" s="1962"/>
      <c r="SGG6" s="1962"/>
      <c r="SGH6" s="1962"/>
      <c r="SGI6" s="1962"/>
      <c r="SGJ6" s="1962"/>
      <c r="SGK6" s="1962"/>
      <c r="SGL6" s="1962"/>
      <c r="SGM6" s="1962"/>
      <c r="SGN6" s="1962"/>
      <c r="SGO6" s="1962"/>
      <c r="SGP6" s="1962"/>
      <c r="SGQ6" s="1962"/>
      <c r="SGR6" s="1962"/>
      <c r="SGS6" s="1962"/>
      <c r="SGT6" s="1962"/>
      <c r="SGU6" s="1962"/>
      <c r="SGV6" s="1962"/>
      <c r="SGW6" s="1962"/>
      <c r="SGX6" s="1962"/>
      <c r="SGY6" s="1962"/>
      <c r="SGZ6" s="1962"/>
      <c r="SHA6" s="1962"/>
      <c r="SHB6" s="1962"/>
      <c r="SHC6" s="1962"/>
      <c r="SHD6" s="1962"/>
      <c r="SHE6" s="1962"/>
      <c r="SHF6" s="1962"/>
      <c r="SHG6" s="1962"/>
      <c r="SHH6" s="1962"/>
      <c r="SHI6" s="1962"/>
      <c r="SHJ6" s="1962"/>
      <c r="SHK6" s="1962"/>
      <c r="SHL6" s="1962"/>
      <c r="SHM6" s="1962"/>
      <c r="SHN6" s="1962"/>
      <c r="SHO6" s="1962"/>
      <c r="SHP6" s="1962"/>
      <c r="SHQ6" s="1962"/>
      <c r="SHR6" s="1962"/>
      <c r="SHS6" s="1962"/>
      <c r="SHT6" s="1962"/>
      <c r="SHU6" s="1962"/>
      <c r="SHV6" s="1962"/>
      <c r="SHW6" s="1962"/>
      <c r="SHX6" s="1962"/>
      <c r="SHY6" s="1962"/>
      <c r="SHZ6" s="1962"/>
      <c r="SIA6" s="1962"/>
      <c r="SIB6" s="1962"/>
      <c r="SIC6" s="1962"/>
      <c r="SID6" s="1962"/>
      <c r="SIE6" s="1962"/>
      <c r="SIF6" s="1962"/>
      <c r="SIG6" s="1962"/>
      <c r="SIH6" s="1962"/>
      <c r="SII6" s="1962"/>
      <c r="SIJ6" s="1962"/>
      <c r="SIK6" s="1962"/>
      <c r="SIL6" s="1962"/>
      <c r="SIM6" s="1962"/>
      <c r="SIN6" s="1962"/>
      <c r="SIO6" s="1962"/>
      <c r="SIP6" s="1962"/>
      <c r="SIQ6" s="1962"/>
      <c r="SIR6" s="1962"/>
      <c r="SIS6" s="1962"/>
      <c r="SIT6" s="1962"/>
      <c r="SIU6" s="1962"/>
      <c r="SIV6" s="1962"/>
      <c r="SIW6" s="1962"/>
      <c r="SIX6" s="1962"/>
      <c r="SIY6" s="1962"/>
      <c r="SIZ6" s="1962"/>
      <c r="SJA6" s="1962"/>
      <c r="SJB6" s="1962"/>
      <c r="SJC6" s="1962"/>
      <c r="SJD6" s="1962"/>
      <c r="SJE6" s="1962"/>
      <c r="SJF6" s="1962"/>
      <c r="SJG6" s="1962"/>
      <c r="SJH6" s="1962"/>
      <c r="SJI6" s="1962"/>
      <c r="SJJ6" s="1962"/>
      <c r="SJK6" s="1962"/>
      <c r="SJL6" s="1962"/>
      <c r="SJM6" s="1962"/>
      <c r="SJN6" s="1962"/>
      <c r="SJO6" s="1962"/>
      <c r="SJP6" s="1962"/>
      <c r="SJQ6" s="1962"/>
      <c r="SJR6" s="1962"/>
      <c r="SJS6" s="1962"/>
      <c r="SJT6" s="1962"/>
      <c r="SJU6" s="1962"/>
      <c r="SJV6" s="1962"/>
      <c r="SJW6" s="1962"/>
      <c r="SJX6" s="1962"/>
      <c r="SJY6" s="1962"/>
      <c r="SJZ6" s="1962"/>
      <c r="SKA6" s="1962"/>
      <c r="SKB6" s="1962"/>
      <c r="SKC6" s="1962"/>
      <c r="SKD6" s="1962"/>
      <c r="SKE6" s="1962"/>
      <c r="SKF6" s="1962"/>
      <c r="SKG6" s="1962"/>
      <c r="SKH6" s="1962"/>
      <c r="SKI6" s="1962"/>
      <c r="SKJ6" s="1962"/>
      <c r="SKK6" s="1962"/>
      <c r="SKL6" s="1962"/>
      <c r="SKM6" s="1962"/>
      <c r="SKN6" s="1962"/>
      <c r="SKO6" s="1962"/>
      <c r="SKP6" s="1962"/>
      <c r="SKQ6" s="1962"/>
      <c r="SKR6" s="1962"/>
      <c r="SKS6" s="1962"/>
      <c r="SKT6" s="1962"/>
      <c r="SKU6" s="1962"/>
      <c r="SKV6" s="1962"/>
      <c r="SKW6" s="1962"/>
      <c r="SKX6" s="1962"/>
      <c r="SKY6" s="1962"/>
      <c r="SKZ6" s="1962"/>
      <c r="SLA6" s="1962"/>
      <c r="SLB6" s="1962"/>
      <c r="SLC6" s="1962"/>
      <c r="SLD6" s="1962"/>
      <c r="SLE6" s="1962"/>
      <c r="SLF6" s="1962"/>
      <c r="SLG6" s="1962"/>
      <c r="SLH6" s="1962"/>
      <c r="SLI6" s="1962"/>
      <c r="SLJ6" s="1962"/>
      <c r="SLK6" s="1962"/>
      <c r="SLL6" s="1962"/>
      <c r="SLM6" s="1962"/>
      <c r="SLN6" s="1962"/>
      <c r="SLO6" s="1962"/>
      <c r="SLP6" s="1962"/>
      <c r="SLQ6" s="1962"/>
      <c r="SLR6" s="1962"/>
      <c r="SLS6" s="1962"/>
      <c r="SLT6" s="1962"/>
      <c r="SLU6" s="1962"/>
      <c r="SLV6" s="1962"/>
      <c r="SLW6" s="1962"/>
      <c r="SLX6" s="1962"/>
      <c r="SLY6" s="1962"/>
      <c r="SLZ6" s="1962"/>
      <c r="SMA6" s="1962"/>
      <c r="SMB6" s="1962"/>
      <c r="SMC6" s="1962"/>
      <c r="SMD6" s="1962"/>
      <c r="SME6" s="1962"/>
      <c r="SMF6" s="1962"/>
      <c r="SMG6" s="1962"/>
      <c r="SMH6" s="1962"/>
      <c r="SMI6" s="1962"/>
      <c r="SMJ6" s="1962"/>
      <c r="SMK6" s="1962"/>
      <c r="SML6" s="1962"/>
      <c r="SMM6" s="1962"/>
      <c r="SMN6" s="1962"/>
      <c r="SMO6" s="1962"/>
      <c r="SMP6" s="1962"/>
      <c r="SMQ6" s="1962"/>
      <c r="SMR6" s="1962"/>
      <c r="SMS6" s="1962"/>
      <c r="SMT6" s="1962"/>
      <c r="SMU6" s="1962"/>
      <c r="SMV6" s="1962"/>
      <c r="SMW6" s="1962"/>
      <c r="SMX6" s="1962"/>
      <c r="SMY6" s="1962"/>
      <c r="SMZ6" s="1962"/>
      <c r="SNA6" s="1962"/>
      <c r="SNB6" s="1962"/>
      <c r="SNC6" s="1962"/>
      <c r="SND6" s="1962"/>
      <c r="SNE6" s="1962"/>
      <c r="SNF6" s="1962"/>
      <c r="SNG6" s="1962"/>
      <c r="SNH6" s="1962"/>
      <c r="SNI6" s="1962"/>
      <c r="SNJ6" s="1962"/>
      <c r="SNK6" s="1962"/>
      <c r="SNL6" s="1962"/>
      <c r="SNM6" s="1962"/>
      <c r="SNN6" s="1962"/>
      <c r="SNO6" s="1962"/>
      <c r="SNP6" s="1962"/>
      <c r="SNQ6" s="1962"/>
      <c r="SNR6" s="1962"/>
      <c r="SNS6" s="1962"/>
      <c r="SNT6" s="1962"/>
      <c r="SNU6" s="1962"/>
      <c r="SNV6" s="1962"/>
      <c r="SNW6" s="1962"/>
      <c r="SNX6" s="1962"/>
      <c r="SNY6" s="1962"/>
      <c r="SNZ6" s="1962"/>
      <c r="SOA6" s="1962"/>
      <c r="SOB6" s="1962"/>
      <c r="SOC6" s="1962"/>
      <c r="SOD6" s="1962"/>
      <c r="SOE6" s="1962"/>
      <c r="SOF6" s="1962"/>
      <c r="SOG6" s="1962"/>
      <c r="SOH6" s="1962"/>
      <c r="SOI6" s="1962"/>
      <c r="SOJ6" s="1962"/>
      <c r="SOK6" s="1962"/>
      <c r="SOL6" s="1962"/>
      <c r="SOM6" s="1962"/>
      <c r="SON6" s="1962"/>
      <c r="SOO6" s="1962"/>
      <c r="SOP6" s="1962"/>
      <c r="SOQ6" s="1962"/>
      <c r="SOR6" s="1962"/>
      <c r="SOS6" s="1962"/>
      <c r="SOT6" s="1962"/>
      <c r="SOU6" s="1962"/>
      <c r="SOV6" s="1962"/>
      <c r="SOW6" s="1962"/>
      <c r="SOX6" s="1962"/>
      <c r="SOY6" s="1962"/>
      <c r="SOZ6" s="1962"/>
      <c r="SPA6" s="1962"/>
      <c r="SPB6" s="1962"/>
      <c r="SPC6" s="1962"/>
      <c r="SPD6" s="1962"/>
      <c r="SPE6" s="1962"/>
      <c r="SPF6" s="1962"/>
      <c r="SPG6" s="1962"/>
      <c r="SPH6" s="1962"/>
      <c r="SPI6" s="1962"/>
      <c r="SPJ6" s="1962"/>
      <c r="SPK6" s="1962"/>
      <c r="SPL6" s="1962"/>
      <c r="SPM6" s="1962"/>
      <c r="SPN6" s="1962"/>
      <c r="SPO6" s="1962"/>
      <c r="SPP6" s="1962"/>
      <c r="SPQ6" s="1962"/>
      <c r="SPR6" s="1962"/>
      <c r="SPS6" s="1962"/>
      <c r="SPT6" s="1962"/>
      <c r="SPU6" s="1962"/>
      <c r="SPV6" s="1962"/>
      <c r="SPW6" s="1962"/>
      <c r="SPX6" s="1962"/>
      <c r="SPY6" s="1962"/>
      <c r="SPZ6" s="1962"/>
      <c r="SQA6" s="1962"/>
      <c r="SQB6" s="1962"/>
      <c r="SQC6" s="1962"/>
      <c r="SQD6" s="1962"/>
      <c r="SQE6" s="1962"/>
      <c r="SQF6" s="1962"/>
      <c r="SQG6" s="1962"/>
      <c r="SQH6" s="1962"/>
      <c r="SQI6" s="1962"/>
      <c r="SQJ6" s="1962"/>
      <c r="SQK6" s="1962"/>
      <c r="SQL6" s="1962"/>
      <c r="SQM6" s="1962"/>
      <c r="SQN6" s="1962"/>
      <c r="SQO6" s="1962"/>
      <c r="SQP6" s="1962"/>
      <c r="SQQ6" s="1962"/>
      <c r="SQR6" s="1962"/>
      <c r="SQS6" s="1962"/>
      <c r="SQT6" s="1962"/>
      <c r="SQU6" s="1962"/>
      <c r="SQV6" s="1962"/>
      <c r="SQW6" s="1962"/>
      <c r="SQX6" s="1962"/>
      <c r="SQY6" s="1962"/>
      <c r="SQZ6" s="1962"/>
      <c r="SRA6" s="1962"/>
      <c r="SRB6" s="1962"/>
      <c r="SRC6" s="1962"/>
      <c r="SRD6" s="1962"/>
      <c r="SRE6" s="1962"/>
      <c r="SRF6" s="1962"/>
      <c r="SRG6" s="1962"/>
      <c r="SRH6" s="1962"/>
      <c r="SRI6" s="1962"/>
      <c r="SRJ6" s="1962"/>
      <c r="SRK6" s="1962"/>
      <c r="SRL6" s="1962"/>
      <c r="SRM6" s="1962"/>
      <c r="SRN6" s="1962"/>
      <c r="SRO6" s="1962"/>
      <c r="SRP6" s="1962"/>
      <c r="SRQ6" s="1962"/>
      <c r="SRR6" s="1962"/>
      <c r="SRS6" s="1962"/>
      <c r="SRT6" s="1962"/>
      <c r="SRU6" s="1962"/>
      <c r="SRV6" s="1962"/>
      <c r="SRW6" s="1962"/>
      <c r="SRX6" s="1962"/>
      <c r="SRY6" s="1962"/>
      <c r="SRZ6" s="1962"/>
      <c r="SSA6" s="1962"/>
      <c r="SSB6" s="1962"/>
      <c r="SSC6" s="1962"/>
      <c r="SSD6" s="1962"/>
      <c r="SSE6" s="1962"/>
      <c r="SSF6" s="1962"/>
      <c r="SSG6" s="1962"/>
      <c r="SSH6" s="1962"/>
      <c r="SSI6" s="1962"/>
      <c r="SSJ6" s="1962"/>
      <c r="SSK6" s="1962"/>
      <c r="SSL6" s="1962"/>
      <c r="SSM6" s="1962"/>
      <c r="SSN6" s="1962"/>
      <c r="SSO6" s="1962"/>
      <c r="SSP6" s="1962"/>
      <c r="SSQ6" s="1962"/>
      <c r="SSR6" s="1962"/>
      <c r="SSS6" s="1962"/>
      <c r="SST6" s="1962"/>
      <c r="SSU6" s="1962"/>
      <c r="SSV6" s="1962"/>
      <c r="SSW6" s="1962"/>
      <c r="SSX6" s="1962"/>
      <c r="SSY6" s="1962"/>
      <c r="SSZ6" s="1962"/>
      <c r="STA6" s="1962"/>
      <c r="STB6" s="1962"/>
      <c r="STC6" s="1962"/>
      <c r="STD6" s="1962"/>
      <c r="STE6" s="1962"/>
      <c r="STF6" s="1962"/>
      <c r="STG6" s="1962"/>
      <c r="STH6" s="1962"/>
      <c r="STI6" s="1962"/>
      <c r="STJ6" s="1962"/>
      <c r="STK6" s="1962"/>
      <c r="STL6" s="1962"/>
      <c r="STM6" s="1962"/>
      <c r="STN6" s="1962"/>
      <c r="STO6" s="1962"/>
      <c r="STP6" s="1962"/>
      <c r="STQ6" s="1962"/>
      <c r="STR6" s="1962"/>
      <c r="STS6" s="1962"/>
      <c r="STT6" s="1962"/>
      <c r="STU6" s="1962"/>
      <c r="STV6" s="1962"/>
      <c r="STW6" s="1962"/>
      <c r="STX6" s="1962"/>
      <c r="STY6" s="1962"/>
      <c r="STZ6" s="1962"/>
      <c r="SUA6" s="1962"/>
      <c r="SUB6" s="1962"/>
      <c r="SUC6" s="1962"/>
      <c r="SUD6" s="1962"/>
      <c r="SUE6" s="1962"/>
      <c r="SUF6" s="1962"/>
      <c r="SUG6" s="1962"/>
      <c r="SUH6" s="1962"/>
      <c r="SUI6" s="1962"/>
      <c r="SUJ6" s="1962"/>
      <c r="SUK6" s="1962"/>
      <c r="SUL6" s="1962"/>
      <c r="SUM6" s="1962"/>
      <c r="SUN6" s="1962"/>
      <c r="SUO6" s="1962"/>
      <c r="SUP6" s="1962"/>
      <c r="SUQ6" s="1962"/>
      <c r="SUR6" s="1962"/>
      <c r="SUS6" s="1962"/>
      <c r="SUT6" s="1962"/>
      <c r="SUU6" s="1962"/>
      <c r="SUV6" s="1962"/>
      <c r="SUW6" s="1962"/>
      <c r="SUX6" s="1962"/>
      <c r="SUY6" s="1962"/>
      <c r="SUZ6" s="1962"/>
      <c r="SVA6" s="1962"/>
      <c r="SVB6" s="1962"/>
      <c r="SVC6" s="1962"/>
      <c r="SVD6" s="1962"/>
      <c r="SVE6" s="1962"/>
      <c r="SVF6" s="1962"/>
      <c r="SVG6" s="1962"/>
      <c r="SVH6" s="1962"/>
      <c r="SVI6" s="1962"/>
      <c r="SVJ6" s="1962"/>
      <c r="SVK6" s="1962"/>
      <c r="SVL6" s="1962"/>
      <c r="SVM6" s="1962"/>
      <c r="SVN6" s="1962"/>
      <c r="SVO6" s="1962"/>
      <c r="SVP6" s="1962"/>
      <c r="SVQ6" s="1962"/>
      <c r="SVR6" s="1962"/>
      <c r="SVS6" s="1962"/>
      <c r="SVT6" s="1962"/>
      <c r="SVU6" s="1962"/>
      <c r="SVV6" s="1962"/>
      <c r="SVW6" s="1962"/>
      <c r="SVX6" s="1962"/>
      <c r="SVY6" s="1962"/>
      <c r="SVZ6" s="1962"/>
      <c r="SWA6" s="1962"/>
      <c r="SWB6" s="1962"/>
      <c r="SWC6" s="1962"/>
      <c r="SWD6" s="1962"/>
      <c r="SWE6" s="1962"/>
      <c r="SWF6" s="1962"/>
      <c r="SWG6" s="1962"/>
      <c r="SWH6" s="1962"/>
      <c r="SWI6" s="1962"/>
      <c r="SWJ6" s="1962"/>
      <c r="SWK6" s="1962"/>
      <c r="SWL6" s="1962"/>
      <c r="SWM6" s="1962"/>
      <c r="SWN6" s="1962"/>
      <c r="SWO6" s="1962"/>
      <c r="SWP6" s="1962"/>
      <c r="SWQ6" s="1962"/>
      <c r="SWR6" s="1962"/>
      <c r="SWS6" s="1962"/>
      <c r="SWT6" s="1962"/>
      <c r="SWU6" s="1962"/>
      <c r="SWV6" s="1962"/>
      <c r="SWW6" s="1962"/>
      <c r="SWX6" s="1962"/>
      <c r="SWY6" s="1962"/>
      <c r="SWZ6" s="1962"/>
      <c r="SXA6" s="1962"/>
      <c r="SXB6" s="1962"/>
      <c r="SXC6" s="1962"/>
      <c r="SXD6" s="1962"/>
      <c r="SXE6" s="1962"/>
      <c r="SXF6" s="1962"/>
      <c r="SXG6" s="1962"/>
      <c r="SXH6" s="1962"/>
      <c r="SXI6" s="1962"/>
      <c r="SXJ6" s="1962"/>
      <c r="SXK6" s="1962"/>
      <c r="SXL6" s="1962"/>
      <c r="SXM6" s="1962"/>
      <c r="SXN6" s="1962"/>
      <c r="SXO6" s="1962"/>
      <c r="SXP6" s="1962"/>
      <c r="SXQ6" s="1962"/>
      <c r="SXR6" s="1962"/>
      <c r="SXS6" s="1962"/>
      <c r="SXT6" s="1962"/>
      <c r="SXU6" s="1962"/>
      <c r="SXV6" s="1962"/>
      <c r="SXW6" s="1962"/>
      <c r="SXX6" s="1962"/>
      <c r="SXY6" s="1962"/>
      <c r="SXZ6" s="1962"/>
      <c r="SYA6" s="1962"/>
      <c r="SYB6" s="1962"/>
      <c r="SYC6" s="1962"/>
      <c r="SYD6" s="1962"/>
      <c r="SYE6" s="1962"/>
      <c r="SYF6" s="1962"/>
      <c r="SYG6" s="1962"/>
      <c r="SYH6" s="1962"/>
      <c r="SYI6" s="1962"/>
      <c r="SYJ6" s="1962"/>
      <c r="SYK6" s="1962"/>
      <c r="SYL6" s="1962"/>
      <c r="SYM6" s="1962"/>
      <c r="SYN6" s="1962"/>
      <c r="SYO6" s="1962"/>
      <c r="SYP6" s="1962"/>
      <c r="SYQ6" s="1962"/>
      <c r="SYR6" s="1962"/>
      <c r="SYS6" s="1962"/>
      <c r="SYT6" s="1962"/>
      <c r="SYU6" s="1962"/>
      <c r="SYV6" s="1962"/>
      <c r="SYW6" s="1962"/>
      <c r="SYX6" s="1962"/>
      <c r="SYY6" s="1962"/>
      <c r="SYZ6" s="1962"/>
      <c r="SZA6" s="1962"/>
      <c r="SZB6" s="1962"/>
      <c r="SZC6" s="1962"/>
      <c r="SZD6" s="1962"/>
      <c r="SZE6" s="1962"/>
      <c r="SZF6" s="1962"/>
      <c r="SZG6" s="1962"/>
      <c r="SZH6" s="1962"/>
      <c r="SZI6" s="1962"/>
      <c r="SZJ6" s="1962"/>
      <c r="SZK6" s="1962"/>
      <c r="SZL6" s="1962"/>
      <c r="SZM6" s="1962"/>
      <c r="SZN6" s="1962"/>
      <c r="SZO6" s="1962"/>
      <c r="SZP6" s="1962"/>
      <c r="SZQ6" s="1962"/>
      <c r="SZR6" s="1962"/>
      <c r="SZS6" s="1962"/>
      <c r="SZT6" s="1962"/>
      <c r="SZU6" s="1962"/>
      <c r="SZV6" s="1962"/>
      <c r="SZW6" s="1962"/>
      <c r="SZX6" s="1962"/>
      <c r="SZY6" s="1962"/>
      <c r="SZZ6" s="1962"/>
      <c r="TAA6" s="1962"/>
      <c r="TAB6" s="1962"/>
      <c r="TAC6" s="1962"/>
      <c r="TAD6" s="1962"/>
      <c r="TAE6" s="1962"/>
      <c r="TAF6" s="1962"/>
      <c r="TAG6" s="1962"/>
      <c r="TAH6" s="1962"/>
      <c r="TAI6" s="1962"/>
      <c r="TAJ6" s="1962"/>
      <c r="TAK6" s="1962"/>
      <c r="TAL6" s="1962"/>
      <c r="TAM6" s="1962"/>
      <c r="TAN6" s="1962"/>
      <c r="TAO6" s="1962"/>
      <c r="TAP6" s="1962"/>
      <c r="TAQ6" s="1962"/>
      <c r="TAR6" s="1962"/>
      <c r="TAS6" s="1962"/>
      <c r="TAT6" s="1962"/>
      <c r="TAU6" s="1962"/>
      <c r="TAV6" s="1962"/>
      <c r="TAW6" s="1962"/>
      <c r="TAX6" s="1962"/>
      <c r="TAY6" s="1962"/>
      <c r="TAZ6" s="1962"/>
      <c r="TBA6" s="1962"/>
      <c r="TBB6" s="1962"/>
      <c r="TBC6" s="1962"/>
      <c r="TBD6" s="1962"/>
      <c r="TBE6" s="1962"/>
      <c r="TBF6" s="1962"/>
      <c r="TBG6" s="1962"/>
      <c r="TBH6" s="1962"/>
      <c r="TBI6" s="1962"/>
      <c r="TBJ6" s="1962"/>
      <c r="TBK6" s="1962"/>
      <c r="TBL6" s="1962"/>
      <c r="TBM6" s="1962"/>
      <c r="TBN6" s="1962"/>
      <c r="TBO6" s="1962"/>
      <c r="TBP6" s="1962"/>
      <c r="TBQ6" s="1962"/>
      <c r="TBR6" s="1962"/>
      <c r="TBS6" s="1962"/>
      <c r="TBT6" s="1962"/>
      <c r="TBU6" s="1962"/>
      <c r="TBV6" s="1962"/>
      <c r="TBW6" s="1962"/>
      <c r="TBX6" s="1962"/>
      <c r="TBY6" s="1962"/>
      <c r="TBZ6" s="1962"/>
      <c r="TCA6" s="1962"/>
      <c r="TCB6" s="1962"/>
      <c r="TCC6" s="1962"/>
      <c r="TCD6" s="1962"/>
      <c r="TCE6" s="1962"/>
      <c r="TCF6" s="1962"/>
      <c r="TCG6" s="1962"/>
      <c r="TCH6" s="1962"/>
      <c r="TCI6" s="1962"/>
      <c r="TCJ6" s="1962"/>
      <c r="TCK6" s="1962"/>
      <c r="TCL6" s="1962"/>
      <c r="TCM6" s="1962"/>
      <c r="TCN6" s="1962"/>
      <c r="TCO6" s="1962"/>
      <c r="TCP6" s="1962"/>
      <c r="TCQ6" s="1962"/>
      <c r="TCR6" s="1962"/>
      <c r="TCS6" s="1962"/>
      <c r="TCT6" s="1962"/>
      <c r="TCU6" s="1962"/>
      <c r="TCV6" s="1962"/>
      <c r="TCW6" s="1962"/>
      <c r="TCX6" s="1962"/>
      <c r="TCY6" s="1962"/>
      <c r="TCZ6" s="1962"/>
      <c r="TDA6" s="1962"/>
      <c r="TDB6" s="1962"/>
      <c r="TDC6" s="1962"/>
      <c r="TDD6" s="1962"/>
      <c r="TDE6" s="1962"/>
      <c r="TDF6" s="1962"/>
      <c r="TDG6" s="1962"/>
      <c r="TDH6" s="1962"/>
      <c r="TDI6" s="1962"/>
      <c r="TDJ6" s="1962"/>
      <c r="TDK6" s="1962"/>
      <c r="TDL6" s="1962"/>
      <c r="TDM6" s="1962"/>
      <c r="TDN6" s="1962"/>
      <c r="TDO6" s="1962"/>
      <c r="TDP6" s="1962"/>
      <c r="TDQ6" s="1962"/>
      <c r="TDR6" s="1962"/>
      <c r="TDS6" s="1962"/>
      <c r="TDT6" s="1962"/>
      <c r="TDU6" s="1962"/>
      <c r="TDV6" s="1962"/>
      <c r="TDW6" s="1962"/>
      <c r="TDX6" s="1962"/>
      <c r="TDY6" s="1962"/>
      <c r="TDZ6" s="1962"/>
      <c r="TEA6" s="1962"/>
      <c r="TEB6" s="1962"/>
      <c r="TEC6" s="1962"/>
      <c r="TED6" s="1962"/>
      <c r="TEE6" s="1962"/>
      <c r="TEF6" s="1962"/>
      <c r="TEG6" s="1962"/>
      <c r="TEH6" s="1962"/>
      <c r="TEI6" s="1962"/>
      <c r="TEJ6" s="1962"/>
      <c r="TEK6" s="1962"/>
      <c r="TEL6" s="1962"/>
      <c r="TEM6" s="1962"/>
      <c r="TEN6" s="1962"/>
      <c r="TEO6" s="1962"/>
      <c r="TEP6" s="1962"/>
      <c r="TEQ6" s="1962"/>
      <c r="TER6" s="1962"/>
      <c r="TES6" s="1962"/>
      <c r="TET6" s="1962"/>
      <c r="TEU6" s="1962"/>
      <c r="TEV6" s="1962"/>
      <c r="TEW6" s="1962"/>
      <c r="TEX6" s="1962"/>
      <c r="TEY6" s="1962"/>
      <c r="TEZ6" s="1962"/>
      <c r="TFA6" s="1962"/>
      <c r="TFB6" s="1962"/>
      <c r="TFC6" s="1962"/>
      <c r="TFD6" s="1962"/>
      <c r="TFE6" s="1962"/>
      <c r="TFF6" s="1962"/>
      <c r="TFG6" s="1962"/>
      <c r="TFH6" s="1962"/>
      <c r="TFI6" s="1962"/>
      <c r="TFJ6" s="1962"/>
      <c r="TFK6" s="1962"/>
      <c r="TFL6" s="1962"/>
      <c r="TFM6" s="1962"/>
      <c r="TFN6" s="1962"/>
      <c r="TFO6" s="1962"/>
      <c r="TFP6" s="1962"/>
      <c r="TFQ6" s="1962"/>
      <c r="TFR6" s="1962"/>
      <c r="TFS6" s="1962"/>
      <c r="TFT6" s="1962"/>
      <c r="TFU6" s="1962"/>
      <c r="TFV6" s="1962"/>
      <c r="TFW6" s="1962"/>
      <c r="TFX6" s="1962"/>
      <c r="TFY6" s="1962"/>
      <c r="TFZ6" s="1962"/>
      <c r="TGA6" s="1962"/>
      <c r="TGB6" s="1962"/>
      <c r="TGC6" s="1962"/>
      <c r="TGD6" s="1962"/>
      <c r="TGE6" s="1962"/>
      <c r="TGF6" s="1962"/>
      <c r="TGG6" s="1962"/>
      <c r="TGH6" s="1962"/>
      <c r="TGI6" s="1962"/>
      <c r="TGJ6" s="1962"/>
      <c r="TGK6" s="1962"/>
      <c r="TGL6" s="1962"/>
      <c r="TGM6" s="1962"/>
      <c r="TGN6" s="1962"/>
      <c r="TGO6" s="1962"/>
      <c r="TGP6" s="1962"/>
      <c r="TGQ6" s="1962"/>
      <c r="TGR6" s="1962"/>
      <c r="TGS6" s="1962"/>
      <c r="TGT6" s="1962"/>
      <c r="TGU6" s="1962"/>
      <c r="TGV6" s="1962"/>
      <c r="TGW6" s="1962"/>
      <c r="TGX6" s="1962"/>
      <c r="TGY6" s="1962"/>
      <c r="TGZ6" s="1962"/>
      <c r="THA6" s="1962"/>
      <c r="THB6" s="1962"/>
      <c r="THC6" s="1962"/>
      <c r="THD6" s="1962"/>
      <c r="THE6" s="1962"/>
      <c r="THF6" s="1962"/>
      <c r="THG6" s="1962"/>
      <c r="THH6" s="1962"/>
      <c r="THI6" s="1962"/>
      <c r="THJ6" s="1962"/>
      <c r="THK6" s="1962"/>
      <c r="THL6" s="1962"/>
      <c r="THM6" s="1962"/>
      <c r="THN6" s="1962"/>
      <c r="THO6" s="1962"/>
      <c r="THP6" s="1962"/>
      <c r="THQ6" s="1962"/>
      <c r="THR6" s="1962"/>
      <c r="THS6" s="1962"/>
      <c r="THT6" s="1962"/>
      <c r="THU6" s="1962"/>
      <c r="THV6" s="1962"/>
      <c r="THW6" s="1962"/>
      <c r="THX6" s="1962"/>
      <c r="THY6" s="1962"/>
      <c r="THZ6" s="1962"/>
      <c r="TIA6" s="1962"/>
      <c r="TIB6" s="1962"/>
      <c r="TIC6" s="1962"/>
      <c r="TID6" s="1962"/>
      <c r="TIE6" s="1962"/>
      <c r="TIF6" s="1962"/>
      <c r="TIG6" s="1962"/>
      <c r="TIH6" s="1962"/>
      <c r="TII6" s="1962"/>
      <c r="TIJ6" s="1962"/>
      <c r="TIK6" s="1962"/>
      <c r="TIL6" s="1962"/>
      <c r="TIM6" s="1962"/>
      <c r="TIN6" s="1962"/>
      <c r="TIO6" s="1962"/>
      <c r="TIP6" s="1962"/>
      <c r="TIQ6" s="1962"/>
      <c r="TIR6" s="1962"/>
      <c r="TIS6" s="1962"/>
      <c r="TIT6" s="1962"/>
      <c r="TIU6" s="1962"/>
      <c r="TIV6" s="1962"/>
      <c r="TIW6" s="1962"/>
      <c r="TIX6" s="1962"/>
      <c r="TIY6" s="1962"/>
      <c r="TIZ6" s="1962"/>
      <c r="TJA6" s="1962"/>
      <c r="TJB6" s="1962"/>
      <c r="TJC6" s="1962"/>
      <c r="TJD6" s="1962"/>
      <c r="TJE6" s="1962"/>
      <c r="TJF6" s="1962"/>
      <c r="TJG6" s="1962"/>
      <c r="TJH6" s="1962"/>
      <c r="TJI6" s="1962"/>
      <c r="TJJ6" s="1962"/>
      <c r="TJK6" s="1962"/>
      <c r="TJL6" s="1962"/>
      <c r="TJM6" s="1962"/>
      <c r="TJN6" s="1962"/>
      <c r="TJO6" s="1962"/>
      <c r="TJP6" s="1962"/>
      <c r="TJQ6" s="1962"/>
      <c r="TJR6" s="1962"/>
      <c r="TJS6" s="1962"/>
      <c r="TJT6" s="1962"/>
      <c r="TJU6" s="1962"/>
      <c r="TJV6" s="1962"/>
      <c r="TJW6" s="1962"/>
      <c r="TJX6" s="1962"/>
      <c r="TJY6" s="1962"/>
      <c r="TJZ6" s="1962"/>
      <c r="TKA6" s="1962"/>
      <c r="TKB6" s="1962"/>
      <c r="TKC6" s="1962"/>
      <c r="TKD6" s="1962"/>
      <c r="TKE6" s="1962"/>
      <c r="TKF6" s="1962"/>
      <c r="TKG6" s="1962"/>
      <c r="TKH6" s="1962"/>
      <c r="TKI6" s="1962"/>
      <c r="TKJ6" s="1962"/>
      <c r="TKK6" s="1962"/>
      <c r="TKL6" s="1962"/>
      <c r="TKM6" s="1962"/>
      <c r="TKN6" s="1962"/>
      <c r="TKO6" s="1962"/>
      <c r="TKP6" s="1962"/>
      <c r="TKQ6" s="1962"/>
      <c r="TKR6" s="1962"/>
      <c r="TKS6" s="1962"/>
      <c r="TKT6" s="1962"/>
      <c r="TKU6" s="1962"/>
      <c r="TKV6" s="1962"/>
      <c r="TKW6" s="1962"/>
      <c r="TKX6" s="1962"/>
      <c r="TKY6" s="1962"/>
      <c r="TKZ6" s="1962"/>
      <c r="TLA6" s="1962"/>
      <c r="TLB6" s="1962"/>
      <c r="TLC6" s="1962"/>
      <c r="TLD6" s="1962"/>
      <c r="TLE6" s="1962"/>
      <c r="TLF6" s="1962"/>
      <c r="TLG6" s="1962"/>
      <c r="TLH6" s="1962"/>
      <c r="TLI6" s="1962"/>
      <c r="TLJ6" s="1962"/>
      <c r="TLK6" s="1962"/>
      <c r="TLL6" s="1962"/>
      <c r="TLM6" s="1962"/>
      <c r="TLN6" s="1962"/>
      <c r="TLO6" s="1962"/>
      <c r="TLP6" s="1962"/>
      <c r="TLQ6" s="1962"/>
      <c r="TLR6" s="1962"/>
      <c r="TLS6" s="1962"/>
      <c r="TLT6" s="1962"/>
      <c r="TLU6" s="1962"/>
      <c r="TLV6" s="1962"/>
      <c r="TLW6" s="1962"/>
      <c r="TLX6" s="1962"/>
      <c r="TLY6" s="1962"/>
      <c r="TLZ6" s="1962"/>
      <c r="TMA6" s="1962"/>
      <c r="TMB6" s="1962"/>
      <c r="TMC6" s="1962"/>
      <c r="TMD6" s="1962"/>
      <c r="TME6" s="1962"/>
      <c r="TMF6" s="1962"/>
      <c r="TMG6" s="1962"/>
      <c r="TMH6" s="1962"/>
      <c r="TMI6" s="1962"/>
      <c r="TMJ6" s="1962"/>
      <c r="TMK6" s="1962"/>
      <c r="TML6" s="1962"/>
      <c r="TMM6" s="1962"/>
      <c r="TMN6" s="1962"/>
      <c r="TMO6" s="1962"/>
      <c r="TMP6" s="1962"/>
      <c r="TMQ6" s="1962"/>
      <c r="TMR6" s="1962"/>
      <c r="TMS6" s="1962"/>
      <c r="TMT6" s="1962"/>
      <c r="TMU6" s="1962"/>
      <c r="TMV6" s="1962"/>
      <c r="TMW6" s="1962"/>
      <c r="TMX6" s="1962"/>
      <c r="TMY6" s="1962"/>
      <c r="TMZ6" s="1962"/>
      <c r="TNA6" s="1962"/>
      <c r="TNB6" s="1962"/>
      <c r="TNC6" s="1962"/>
      <c r="TND6" s="1962"/>
      <c r="TNE6" s="1962"/>
      <c r="TNF6" s="1962"/>
      <c r="TNG6" s="1962"/>
      <c r="TNH6" s="1962"/>
      <c r="TNI6" s="1962"/>
      <c r="TNJ6" s="1962"/>
      <c r="TNK6" s="1962"/>
      <c r="TNL6" s="1962"/>
      <c r="TNM6" s="1962"/>
      <c r="TNN6" s="1962"/>
      <c r="TNO6" s="1962"/>
      <c r="TNP6" s="1962"/>
      <c r="TNQ6" s="1962"/>
      <c r="TNR6" s="1962"/>
      <c r="TNS6" s="1962"/>
      <c r="TNT6" s="1962"/>
      <c r="TNU6" s="1962"/>
      <c r="TNV6" s="1962"/>
      <c r="TNW6" s="1962"/>
      <c r="TNX6" s="1962"/>
      <c r="TNY6" s="1962"/>
      <c r="TNZ6" s="1962"/>
      <c r="TOA6" s="1962"/>
      <c r="TOB6" s="1962"/>
      <c r="TOC6" s="1962"/>
      <c r="TOD6" s="1962"/>
      <c r="TOE6" s="1962"/>
      <c r="TOF6" s="1962"/>
      <c r="TOG6" s="1962"/>
      <c r="TOH6" s="1962"/>
      <c r="TOI6" s="1962"/>
      <c r="TOJ6" s="1962"/>
      <c r="TOK6" s="1962"/>
      <c r="TOL6" s="1962"/>
      <c r="TOM6" s="1962"/>
      <c r="TON6" s="1962"/>
      <c r="TOO6" s="1962"/>
      <c r="TOP6" s="1962"/>
      <c r="TOQ6" s="1962"/>
      <c r="TOR6" s="1962"/>
      <c r="TOS6" s="1962"/>
      <c r="TOT6" s="1962"/>
      <c r="TOU6" s="1962"/>
      <c r="TOV6" s="1962"/>
      <c r="TOW6" s="1962"/>
      <c r="TOX6" s="1962"/>
      <c r="TOY6" s="1962"/>
      <c r="TOZ6" s="1962"/>
      <c r="TPA6" s="1962"/>
      <c r="TPB6" s="1962"/>
      <c r="TPC6" s="1962"/>
      <c r="TPD6" s="1962"/>
      <c r="TPE6" s="1962"/>
      <c r="TPF6" s="1962"/>
      <c r="TPG6" s="1962"/>
      <c r="TPH6" s="1962"/>
      <c r="TPI6" s="1962"/>
      <c r="TPJ6" s="1962"/>
      <c r="TPK6" s="1962"/>
      <c r="TPL6" s="1962"/>
      <c r="TPM6" s="1962"/>
      <c r="TPN6" s="1962"/>
      <c r="TPO6" s="1962"/>
      <c r="TPP6" s="1962"/>
      <c r="TPQ6" s="1962"/>
      <c r="TPR6" s="1962"/>
      <c r="TPS6" s="1962"/>
      <c r="TPT6" s="1962"/>
      <c r="TPU6" s="1962"/>
      <c r="TPV6" s="1962"/>
      <c r="TPW6" s="1962"/>
      <c r="TPX6" s="1962"/>
      <c r="TPY6" s="1962"/>
      <c r="TPZ6" s="1962"/>
      <c r="TQA6" s="1962"/>
      <c r="TQB6" s="1962"/>
      <c r="TQC6" s="1962"/>
      <c r="TQD6" s="1962"/>
      <c r="TQE6" s="1962"/>
      <c r="TQF6" s="1962"/>
      <c r="TQG6" s="1962"/>
      <c r="TQH6" s="1962"/>
      <c r="TQI6" s="1962"/>
      <c r="TQJ6" s="1962"/>
      <c r="TQK6" s="1962"/>
      <c r="TQL6" s="1962"/>
      <c r="TQM6" s="1962"/>
      <c r="TQN6" s="1962"/>
      <c r="TQO6" s="1962"/>
      <c r="TQP6" s="1962"/>
      <c r="TQQ6" s="1962"/>
      <c r="TQR6" s="1962"/>
      <c r="TQS6" s="1962"/>
      <c r="TQT6" s="1962"/>
      <c r="TQU6" s="1962"/>
      <c r="TQV6" s="1962"/>
      <c r="TQW6" s="1962"/>
      <c r="TQX6" s="1962"/>
      <c r="TQY6" s="1962"/>
      <c r="TQZ6" s="1962"/>
      <c r="TRA6" s="1962"/>
      <c r="TRB6" s="1962"/>
      <c r="TRC6" s="1962"/>
      <c r="TRD6" s="1962"/>
      <c r="TRE6" s="1962"/>
      <c r="TRF6" s="1962"/>
      <c r="TRG6" s="1962"/>
      <c r="TRH6" s="1962"/>
      <c r="TRI6" s="1962"/>
      <c r="TRJ6" s="1962"/>
      <c r="TRK6" s="1962"/>
      <c r="TRL6" s="1962"/>
      <c r="TRM6" s="1962"/>
      <c r="TRN6" s="1962"/>
      <c r="TRO6" s="1962"/>
      <c r="TRP6" s="1962"/>
      <c r="TRQ6" s="1962"/>
      <c r="TRR6" s="1962"/>
      <c r="TRS6" s="1962"/>
      <c r="TRT6" s="1962"/>
      <c r="TRU6" s="1962"/>
      <c r="TRV6" s="1962"/>
      <c r="TRW6" s="1962"/>
      <c r="TRX6" s="1962"/>
      <c r="TRY6" s="1962"/>
      <c r="TRZ6" s="1962"/>
      <c r="TSA6" s="1962"/>
      <c r="TSB6" s="1962"/>
      <c r="TSC6" s="1962"/>
      <c r="TSD6" s="1962"/>
      <c r="TSE6" s="1962"/>
      <c r="TSF6" s="1962"/>
      <c r="TSG6" s="1962"/>
      <c r="TSH6" s="1962"/>
      <c r="TSI6" s="1962"/>
      <c r="TSJ6" s="1962"/>
      <c r="TSK6" s="1962"/>
      <c r="TSL6" s="1962"/>
      <c r="TSM6" s="1962"/>
      <c r="TSN6" s="1962"/>
      <c r="TSO6" s="1962"/>
      <c r="TSP6" s="1962"/>
      <c r="TSQ6" s="1962"/>
      <c r="TSR6" s="1962"/>
      <c r="TSS6" s="1962"/>
      <c r="TST6" s="1962"/>
      <c r="TSU6" s="1962"/>
      <c r="TSV6" s="1962"/>
      <c r="TSW6" s="1962"/>
      <c r="TSX6" s="1962"/>
      <c r="TSY6" s="1962"/>
      <c r="TSZ6" s="1962"/>
      <c r="TTA6" s="1962"/>
      <c r="TTB6" s="1962"/>
      <c r="TTC6" s="1962"/>
      <c r="TTD6" s="1962"/>
      <c r="TTE6" s="1962"/>
      <c r="TTF6" s="1962"/>
      <c r="TTG6" s="1962"/>
      <c r="TTH6" s="1962"/>
      <c r="TTI6" s="1962"/>
      <c r="TTJ6" s="1962"/>
      <c r="TTK6" s="1962"/>
      <c r="TTL6" s="1962"/>
      <c r="TTM6" s="1962"/>
      <c r="TTN6" s="1962"/>
      <c r="TTO6" s="1962"/>
      <c r="TTP6" s="1962"/>
      <c r="TTQ6" s="1962"/>
      <c r="TTR6" s="1962"/>
      <c r="TTS6" s="1962"/>
      <c r="TTT6" s="1962"/>
      <c r="TTU6" s="1962"/>
      <c r="TTV6" s="1962"/>
      <c r="TTW6" s="1962"/>
      <c r="TTX6" s="1962"/>
      <c r="TTY6" s="1962"/>
      <c r="TTZ6" s="1962"/>
      <c r="TUA6" s="1962"/>
      <c r="TUB6" s="1962"/>
      <c r="TUC6" s="1962"/>
      <c r="TUD6" s="1962"/>
      <c r="TUE6" s="1962"/>
      <c r="TUF6" s="1962"/>
      <c r="TUG6" s="1962"/>
      <c r="TUH6" s="1962"/>
      <c r="TUI6" s="1962"/>
      <c r="TUJ6" s="1962"/>
      <c r="TUK6" s="1962"/>
      <c r="TUL6" s="1962"/>
      <c r="TUM6" s="1962"/>
      <c r="TUN6" s="1962"/>
      <c r="TUO6" s="1962"/>
      <c r="TUP6" s="1962"/>
      <c r="TUQ6" s="1962"/>
      <c r="TUR6" s="1962"/>
      <c r="TUS6" s="1962"/>
      <c r="TUT6" s="1962"/>
      <c r="TUU6" s="1962"/>
      <c r="TUV6" s="1962"/>
      <c r="TUW6" s="1962"/>
      <c r="TUX6" s="1962"/>
      <c r="TUY6" s="1962"/>
      <c r="TUZ6" s="1962"/>
      <c r="TVA6" s="1962"/>
      <c r="TVB6" s="1962"/>
      <c r="TVC6" s="1962"/>
      <c r="TVD6" s="1962"/>
      <c r="TVE6" s="1962"/>
      <c r="TVF6" s="1962"/>
      <c r="TVG6" s="1962"/>
      <c r="TVH6" s="1962"/>
      <c r="TVI6" s="1962"/>
      <c r="TVJ6" s="1962"/>
      <c r="TVK6" s="1962"/>
      <c r="TVL6" s="1962"/>
      <c r="TVM6" s="1962"/>
      <c r="TVN6" s="1962"/>
      <c r="TVO6" s="1962"/>
      <c r="TVP6" s="1962"/>
      <c r="TVQ6" s="1962"/>
      <c r="TVR6" s="1962"/>
      <c r="TVS6" s="1962"/>
      <c r="TVT6" s="1962"/>
      <c r="TVU6" s="1962"/>
      <c r="TVV6" s="1962"/>
      <c r="TVW6" s="1962"/>
      <c r="TVX6" s="1962"/>
      <c r="TVY6" s="1962"/>
      <c r="TVZ6" s="1962"/>
      <c r="TWA6" s="1962"/>
      <c r="TWB6" s="1962"/>
      <c r="TWC6" s="1962"/>
      <c r="TWD6" s="1962"/>
      <c r="TWE6" s="1962"/>
      <c r="TWF6" s="1962"/>
      <c r="TWG6" s="1962"/>
      <c r="TWH6" s="1962"/>
      <c r="TWI6" s="1962"/>
      <c r="TWJ6" s="1962"/>
      <c r="TWK6" s="1962"/>
      <c r="TWL6" s="1962"/>
      <c r="TWM6" s="1962"/>
      <c r="TWN6" s="1962"/>
      <c r="TWO6" s="1962"/>
      <c r="TWP6" s="1962"/>
      <c r="TWQ6" s="1962"/>
      <c r="TWR6" s="1962"/>
      <c r="TWS6" s="1962"/>
      <c r="TWT6" s="1962"/>
      <c r="TWU6" s="1962"/>
      <c r="TWV6" s="1962"/>
      <c r="TWW6" s="1962"/>
      <c r="TWX6" s="1962"/>
      <c r="TWY6" s="1962"/>
      <c r="TWZ6" s="1962"/>
      <c r="TXA6" s="1962"/>
      <c r="TXB6" s="1962"/>
      <c r="TXC6" s="1962"/>
      <c r="TXD6" s="1962"/>
      <c r="TXE6" s="1962"/>
      <c r="TXF6" s="1962"/>
      <c r="TXG6" s="1962"/>
      <c r="TXH6" s="1962"/>
      <c r="TXI6" s="1962"/>
      <c r="TXJ6" s="1962"/>
      <c r="TXK6" s="1962"/>
      <c r="TXL6" s="1962"/>
      <c r="TXM6" s="1962"/>
      <c r="TXN6" s="1962"/>
      <c r="TXO6" s="1962"/>
      <c r="TXP6" s="1962"/>
      <c r="TXQ6" s="1962"/>
      <c r="TXR6" s="1962"/>
      <c r="TXS6" s="1962"/>
      <c r="TXT6" s="1962"/>
      <c r="TXU6" s="1962"/>
      <c r="TXV6" s="1962"/>
      <c r="TXW6" s="1962"/>
      <c r="TXX6" s="1962"/>
      <c r="TXY6" s="1962"/>
      <c r="TXZ6" s="1962"/>
      <c r="TYA6" s="1962"/>
      <c r="TYB6" s="1962"/>
      <c r="TYC6" s="1962"/>
      <c r="TYD6" s="1962"/>
      <c r="TYE6" s="1962"/>
      <c r="TYF6" s="1962"/>
      <c r="TYG6" s="1962"/>
      <c r="TYH6" s="1962"/>
      <c r="TYI6" s="1962"/>
      <c r="TYJ6" s="1962"/>
      <c r="TYK6" s="1962"/>
      <c r="TYL6" s="1962"/>
      <c r="TYM6" s="1962"/>
      <c r="TYN6" s="1962"/>
      <c r="TYO6" s="1962"/>
      <c r="TYP6" s="1962"/>
      <c r="TYQ6" s="1962"/>
      <c r="TYR6" s="1962"/>
      <c r="TYS6" s="1962"/>
      <c r="TYT6" s="1962"/>
      <c r="TYU6" s="1962"/>
      <c r="TYV6" s="1962"/>
      <c r="TYW6" s="1962"/>
      <c r="TYX6" s="1962"/>
      <c r="TYY6" s="1962"/>
      <c r="TYZ6" s="1962"/>
      <c r="TZA6" s="1962"/>
      <c r="TZB6" s="1962"/>
      <c r="TZC6" s="1962"/>
      <c r="TZD6" s="1962"/>
      <c r="TZE6" s="1962"/>
      <c r="TZF6" s="1962"/>
      <c r="TZG6" s="1962"/>
      <c r="TZH6" s="1962"/>
      <c r="TZI6" s="1962"/>
      <c r="TZJ6" s="1962"/>
      <c r="TZK6" s="1962"/>
      <c r="TZL6" s="1962"/>
      <c r="TZM6" s="1962"/>
      <c r="TZN6" s="1962"/>
      <c r="TZO6" s="1962"/>
      <c r="TZP6" s="1962"/>
      <c r="TZQ6" s="1962"/>
      <c r="TZR6" s="1962"/>
      <c r="TZS6" s="1962"/>
      <c r="TZT6" s="1962"/>
      <c r="TZU6" s="1962"/>
      <c r="TZV6" s="1962"/>
      <c r="TZW6" s="1962"/>
      <c r="TZX6" s="1962"/>
      <c r="TZY6" s="1962"/>
      <c r="TZZ6" s="1962"/>
      <c r="UAA6" s="1962"/>
      <c r="UAB6" s="1962"/>
      <c r="UAC6" s="1962"/>
      <c r="UAD6" s="1962"/>
      <c r="UAE6" s="1962"/>
      <c r="UAF6" s="1962"/>
      <c r="UAG6" s="1962"/>
      <c r="UAH6" s="1962"/>
      <c r="UAI6" s="1962"/>
      <c r="UAJ6" s="1962"/>
      <c r="UAK6" s="1962"/>
      <c r="UAL6" s="1962"/>
      <c r="UAM6" s="1962"/>
      <c r="UAN6" s="1962"/>
      <c r="UAO6" s="1962"/>
      <c r="UAP6" s="1962"/>
      <c r="UAQ6" s="1962"/>
      <c r="UAR6" s="1962"/>
      <c r="UAS6" s="1962"/>
      <c r="UAT6" s="1962"/>
      <c r="UAU6" s="1962"/>
      <c r="UAV6" s="1962"/>
      <c r="UAW6" s="1962"/>
      <c r="UAX6" s="1962"/>
      <c r="UAY6" s="1962"/>
      <c r="UAZ6" s="1962"/>
      <c r="UBA6" s="1962"/>
      <c r="UBB6" s="1962"/>
      <c r="UBC6" s="1962"/>
      <c r="UBD6" s="1962"/>
      <c r="UBE6" s="1962"/>
      <c r="UBF6" s="1962"/>
      <c r="UBG6" s="1962"/>
      <c r="UBH6" s="1962"/>
      <c r="UBI6" s="1962"/>
      <c r="UBJ6" s="1962"/>
      <c r="UBK6" s="1962"/>
      <c r="UBL6" s="1962"/>
      <c r="UBM6" s="1962"/>
      <c r="UBN6" s="1962"/>
      <c r="UBO6" s="1962"/>
      <c r="UBP6" s="1962"/>
      <c r="UBQ6" s="1962"/>
      <c r="UBR6" s="1962"/>
      <c r="UBS6" s="1962"/>
      <c r="UBT6" s="1962"/>
      <c r="UBU6" s="1962"/>
      <c r="UBV6" s="1962"/>
      <c r="UBW6" s="1962"/>
      <c r="UBX6" s="1962"/>
      <c r="UBY6" s="1962"/>
      <c r="UBZ6" s="1962"/>
      <c r="UCA6" s="1962"/>
      <c r="UCB6" s="1962"/>
      <c r="UCC6" s="1962"/>
      <c r="UCD6" s="1962"/>
      <c r="UCE6" s="1962"/>
      <c r="UCF6" s="1962"/>
      <c r="UCG6" s="1962"/>
      <c r="UCH6" s="1962"/>
      <c r="UCI6" s="1962"/>
      <c r="UCJ6" s="1962"/>
      <c r="UCK6" s="1962"/>
      <c r="UCL6" s="1962"/>
      <c r="UCM6" s="1962"/>
      <c r="UCN6" s="1962"/>
      <c r="UCO6" s="1962"/>
      <c r="UCP6" s="1962"/>
      <c r="UCQ6" s="1962"/>
      <c r="UCR6" s="1962"/>
      <c r="UCS6" s="1962"/>
      <c r="UCT6" s="1962"/>
      <c r="UCU6" s="1962"/>
      <c r="UCV6" s="1962"/>
      <c r="UCW6" s="1962"/>
      <c r="UCX6" s="1962"/>
      <c r="UCY6" s="1962"/>
      <c r="UCZ6" s="1962"/>
      <c r="UDA6" s="1962"/>
      <c r="UDB6" s="1962"/>
      <c r="UDC6" s="1962"/>
      <c r="UDD6" s="1962"/>
      <c r="UDE6" s="1962"/>
      <c r="UDF6" s="1962"/>
      <c r="UDG6" s="1962"/>
      <c r="UDH6" s="1962"/>
      <c r="UDI6" s="1962"/>
      <c r="UDJ6" s="1962"/>
      <c r="UDK6" s="1962"/>
      <c r="UDL6" s="1962"/>
      <c r="UDM6" s="1962"/>
      <c r="UDN6" s="1962"/>
      <c r="UDO6" s="1962"/>
      <c r="UDP6" s="1962"/>
      <c r="UDQ6" s="1962"/>
      <c r="UDR6" s="1962"/>
      <c r="UDS6" s="1962"/>
      <c r="UDT6" s="1962"/>
      <c r="UDU6" s="1962"/>
      <c r="UDV6" s="1962"/>
      <c r="UDW6" s="1962"/>
      <c r="UDX6" s="1962"/>
      <c r="UDY6" s="1962"/>
      <c r="UDZ6" s="1962"/>
      <c r="UEA6" s="1962"/>
      <c r="UEB6" s="1962"/>
      <c r="UEC6" s="1962"/>
      <c r="UED6" s="1962"/>
      <c r="UEE6" s="1962"/>
      <c r="UEF6" s="1962"/>
      <c r="UEG6" s="1962"/>
      <c r="UEH6" s="1962"/>
      <c r="UEI6" s="1962"/>
      <c r="UEJ6" s="1962"/>
      <c r="UEK6" s="1962"/>
      <c r="UEL6" s="1962"/>
      <c r="UEM6" s="1962"/>
      <c r="UEN6" s="1962"/>
      <c r="UEO6" s="1962"/>
      <c r="UEP6" s="1962"/>
      <c r="UEQ6" s="1962"/>
      <c r="UER6" s="1962"/>
      <c r="UES6" s="1962"/>
      <c r="UET6" s="1962"/>
      <c r="UEU6" s="1962"/>
      <c r="UEV6" s="1962"/>
      <c r="UEW6" s="1962"/>
      <c r="UEX6" s="1962"/>
      <c r="UEY6" s="1962"/>
      <c r="UEZ6" s="1962"/>
      <c r="UFA6" s="1962"/>
      <c r="UFB6" s="1962"/>
      <c r="UFC6" s="1962"/>
      <c r="UFD6" s="1962"/>
      <c r="UFE6" s="1962"/>
      <c r="UFF6" s="1962"/>
      <c r="UFG6" s="1962"/>
      <c r="UFH6" s="1962"/>
      <c r="UFI6" s="1962"/>
      <c r="UFJ6" s="1962"/>
      <c r="UFK6" s="1962"/>
      <c r="UFL6" s="1962"/>
      <c r="UFM6" s="1962"/>
      <c r="UFN6" s="1962"/>
      <c r="UFO6" s="1962"/>
      <c r="UFP6" s="1962"/>
      <c r="UFQ6" s="1962"/>
      <c r="UFR6" s="1962"/>
      <c r="UFS6" s="1962"/>
      <c r="UFT6" s="1962"/>
      <c r="UFU6" s="1962"/>
      <c r="UFV6" s="1962"/>
      <c r="UFW6" s="1962"/>
      <c r="UFX6" s="1962"/>
      <c r="UFY6" s="1962"/>
      <c r="UFZ6" s="1962"/>
      <c r="UGA6" s="1962"/>
      <c r="UGB6" s="1962"/>
      <c r="UGC6" s="1962"/>
      <c r="UGD6" s="1962"/>
      <c r="UGE6" s="1962"/>
      <c r="UGF6" s="1962"/>
      <c r="UGG6" s="1962"/>
      <c r="UGH6" s="1962"/>
      <c r="UGI6" s="1962"/>
      <c r="UGJ6" s="1962"/>
      <c r="UGK6" s="1962"/>
      <c r="UGL6" s="1962"/>
      <c r="UGM6" s="1962"/>
      <c r="UGN6" s="1962"/>
      <c r="UGO6" s="1962"/>
      <c r="UGP6" s="1962"/>
      <c r="UGQ6" s="1962"/>
      <c r="UGR6" s="1962"/>
      <c r="UGS6" s="1962"/>
      <c r="UGT6" s="1962"/>
      <c r="UGU6" s="1962"/>
      <c r="UGV6" s="1962"/>
      <c r="UGW6" s="1962"/>
      <c r="UGX6" s="1962"/>
      <c r="UGY6" s="1962"/>
      <c r="UGZ6" s="1962"/>
      <c r="UHA6" s="1962"/>
      <c r="UHB6" s="1962"/>
      <c r="UHC6" s="1962"/>
      <c r="UHD6" s="1962"/>
      <c r="UHE6" s="1962"/>
      <c r="UHF6" s="1962"/>
      <c r="UHG6" s="1962"/>
      <c r="UHH6" s="1962"/>
      <c r="UHI6" s="1962"/>
      <c r="UHJ6" s="1962"/>
      <c r="UHK6" s="1962"/>
      <c r="UHL6" s="1962"/>
      <c r="UHM6" s="1962"/>
      <c r="UHN6" s="1962"/>
      <c r="UHO6" s="1962"/>
      <c r="UHP6" s="1962"/>
      <c r="UHQ6" s="1962"/>
      <c r="UHR6" s="1962"/>
      <c r="UHS6" s="1962"/>
      <c r="UHT6" s="1962"/>
      <c r="UHU6" s="1962"/>
      <c r="UHV6" s="1962"/>
      <c r="UHW6" s="1962"/>
      <c r="UHX6" s="1962"/>
      <c r="UHY6" s="1962"/>
      <c r="UHZ6" s="1962"/>
      <c r="UIA6" s="1962"/>
      <c r="UIB6" s="1962"/>
      <c r="UIC6" s="1962"/>
      <c r="UID6" s="1962"/>
      <c r="UIE6" s="1962"/>
      <c r="UIF6" s="1962"/>
      <c r="UIG6" s="1962"/>
      <c r="UIH6" s="1962"/>
      <c r="UII6" s="1962"/>
      <c r="UIJ6" s="1962"/>
      <c r="UIK6" s="1962"/>
      <c r="UIL6" s="1962"/>
      <c r="UIM6" s="1962"/>
      <c r="UIN6" s="1962"/>
      <c r="UIO6" s="1962"/>
      <c r="UIP6" s="1962"/>
      <c r="UIQ6" s="1962"/>
      <c r="UIR6" s="1962"/>
      <c r="UIS6" s="1962"/>
      <c r="UIT6" s="1962"/>
      <c r="UIU6" s="1962"/>
      <c r="UIV6" s="1962"/>
      <c r="UIW6" s="1962"/>
      <c r="UIX6" s="1962"/>
      <c r="UIY6" s="1962"/>
      <c r="UIZ6" s="1962"/>
      <c r="UJA6" s="1962"/>
      <c r="UJB6" s="1962"/>
      <c r="UJC6" s="1962"/>
      <c r="UJD6" s="1962"/>
      <c r="UJE6" s="1962"/>
      <c r="UJF6" s="1962"/>
      <c r="UJG6" s="1962"/>
      <c r="UJH6" s="1962"/>
      <c r="UJI6" s="1962"/>
      <c r="UJJ6" s="1962"/>
      <c r="UJK6" s="1962"/>
      <c r="UJL6" s="1962"/>
      <c r="UJM6" s="1962"/>
      <c r="UJN6" s="1962"/>
      <c r="UJO6" s="1962"/>
      <c r="UJP6" s="1962"/>
      <c r="UJQ6" s="1962"/>
      <c r="UJR6" s="1962"/>
      <c r="UJS6" s="1962"/>
      <c r="UJT6" s="1962"/>
      <c r="UJU6" s="1962"/>
      <c r="UJV6" s="1962"/>
      <c r="UJW6" s="1962"/>
      <c r="UJX6" s="1962"/>
      <c r="UJY6" s="1962"/>
      <c r="UJZ6" s="1962"/>
      <c r="UKA6" s="1962"/>
      <c r="UKB6" s="1962"/>
      <c r="UKC6" s="1962"/>
      <c r="UKD6" s="1962"/>
      <c r="UKE6" s="1962"/>
      <c r="UKF6" s="1962"/>
      <c r="UKG6" s="1962"/>
      <c r="UKH6" s="1962"/>
      <c r="UKI6" s="1962"/>
      <c r="UKJ6" s="1962"/>
      <c r="UKK6" s="1962"/>
      <c r="UKL6" s="1962"/>
      <c r="UKM6" s="1962"/>
      <c r="UKN6" s="1962"/>
      <c r="UKO6" s="1962"/>
      <c r="UKP6" s="1962"/>
      <c r="UKQ6" s="1962"/>
      <c r="UKR6" s="1962"/>
      <c r="UKS6" s="1962"/>
      <c r="UKT6" s="1962"/>
      <c r="UKU6" s="1962"/>
      <c r="UKV6" s="1962"/>
      <c r="UKW6" s="1962"/>
      <c r="UKX6" s="1962"/>
      <c r="UKY6" s="1962"/>
      <c r="UKZ6" s="1962"/>
      <c r="ULA6" s="1962"/>
      <c r="ULB6" s="1962"/>
      <c r="ULC6" s="1962"/>
      <c r="ULD6" s="1962"/>
      <c r="ULE6" s="1962"/>
      <c r="ULF6" s="1962"/>
      <c r="ULG6" s="1962"/>
      <c r="ULH6" s="1962"/>
      <c r="ULI6" s="1962"/>
      <c r="ULJ6" s="1962"/>
      <c r="ULK6" s="1962"/>
      <c r="ULL6" s="1962"/>
      <c r="ULM6" s="1962"/>
      <c r="ULN6" s="1962"/>
      <c r="ULO6" s="1962"/>
      <c r="ULP6" s="1962"/>
      <c r="ULQ6" s="1962"/>
      <c r="ULR6" s="1962"/>
      <c r="ULS6" s="1962"/>
      <c r="ULT6" s="1962"/>
      <c r="ULU6" s="1962"/>
      <c r="ULV6" s="1962"/>
      <c r="ULW6" s="1962"/>
      <c r="ULX6" s="1962"/>
      <c r="ULY6" s="1962"/>
      <c r="ULZ6" s="1962"/>
      <c r="UMA6" s="1962"/>
      <c r="UMB6" s="1962"/>
      <c r="UMC6" s="1962"/>
      <c r="UMD6" s="1962"/>
      <c r="UME6" s="1962"/>
      <c r="UMF6" s="1962"/>
      <c r="UMG6" s="1962"/>
      <c r="UMH6" s="1962"/>
      <c r="UMI6" s="1962"/>
      <c r="UMJ6" s="1962"/>
      <c r="UMK6" s="1962"/>
      <c r="UML6" s="1962"/>
      <c r="UMM6" s="1962"/>
      <c r="UMN6" s="1962"/>
      <c r="UMO6" s="1962"/>
      <c r="UMP6" s="1962"/>
      <c r="UMQ6" s="1962"/>
      <c r="UMR6" s="1962"/>
      <c r="UMS6" s="1962"/>
      <c r="UMT6" s="1962"/>
      <c r="UMU6" s="1962"/>
      <c r="UMV6" s="1962"/>
      <c r="UMW6" s="1962"/>
      <c r="UMX6" s="1962"/>
      <c r="UMY6" s="1962"/>
      <c r="UMZ6" s="1962"/>
      <c r="UNA6" s="1962"/>
      <c r="UNB6" s="1962"/>
      <c r="UNC6" s="1962"/>
      <c r="UND6" s="1962"/>
      <c r="UNE6" s="1962"/>
      <c r="UNF6" s="1962"/>
      <c r="UNG6" s="1962"/>
      <c r="UNH6" s="1962"/>
      <c r="UNI6" s="1962"/>
      <c r="UNJ6" s="1962"/>
      <c r="UNK6" s="1962"/>
      <c r="UNL6" s="1962"/>
      <c r="UNM6" s="1962"/>
      <c r="UNN6" s="1962"/>
      <c r="UNO6" s="1962"/>
      <c r="UNP6" s="1962"/>
      <c r="UNQ6" s="1962"/>
      <c r="UNR6" s="1962"/>
      <c r="UNS6" s="1962"/>
      <c r="UNT6" s="1962"/>
      <c r="UNU6" s="1962"/>
      <c r="UNV6" s="1962"/>
      <c r="UNW6" s="1962"/>
      <c r="UNX6" s="1962"/>
      <c r="UNY6" s="1962"/>
      <c r="UNZ6" s="1962"/>
      <c r="UOA6" s="1962"/>
      <c r="UOB6" s="1962"/>
      <c r="UOC6" s="1962"/>
      <c r="UOD6" s="1962"/>
      <c r="UOE6" s="1962"/>
      <c r="UOF6" s="1962"/>
      <c r="UOG6" s="1962"/>
      <c r="UOH6" s="1962"/>
      <c r="UOI6" s="1962"/>
      <c r="UOJ6" s="1962"/>
      <c r="UOK6" s="1962"/>
      <c r="UOL6" s="1962"/>
      <c r="UOM6" s="1962"/>
      <c r="UON6" s="1962"/>
      <c r="UOO6" s="1962"/>
      <c r="UOP6" s="1962"/>
      <c r="UOQ6" s="1962"/>
      <c r="UOR6" s="1962"/>
      <c r="UOS6" s="1962"/>
      <c r="UOT6" s="1962"/>
      <c r="UOU6" s="1962"/>
      <c r="UOV6" s="1962"/>
      <c r="UOW6" s="1962"/>
      <c r="UOX6" s="1962"/>
      <c r="UOY6" s="1962"/>
      <c r="UOZ6" s="1962"/>
      <c r="UPA6" s="1962"/>
      <c r="UPB6" s="1962"/>
      <c r="UPC6" s="1962"/>
      <c r="UPD6" s="1962"/>
      <c r="UPE6" s="1962"/>
      <c r="UPF6" s="1962"/>
      <c r="UPG6" s="1962"/>
      <c r="UPH6" s="1962"/>
      <c r="UPI6" s="1962"/>
      <c r="UPJ6" s="1962"/>
      <c r="UPK6" s="1962"/>
      <c r="UPL6" s="1962"/>
      <c r="UPM6" s="1962"/>
      <c r="UPN6" s="1962"/>
      <c r="UPO6" s="1962"/>
      <c r="UPP6" s="1962"/>
      <c r="UPQ6" s="1962"/>
      <c r="UPR6" s="1962"/>
      <c r="UPS6" s="1962"/>
      <c r="UPT6" s="1962"/>
      <c r="UPU6" s="1962"/>
      <c r="UPV6" s="1962"/>
      <c r="UPW6" s="1962"/>
      <c r="UPX6" s="1962"/>
      <c r="UPY6" s="1962"/>
      <c r="UPZ6" s="1962"/>
      <c r="UQA6" s="1962"/>
      <c r="UQB6" s="1962"/>
      <c r="UQC6" s="1962"/>
      <c r="UQD6" s="1962"/>
      <c r="UQE6" s="1962"/>
      <c r="UQF6" s="1962"/>
      <c r="UQG6" s="1962"/>
      <c r="UQH6" s="1962"/>
      <c r="UQI6" s="1962"/>
      <c r="UQJ6" s="1962"/>
      <c r="UQK6" s="1962"/>
      <c r="UQL6" s="1962"/>
      <c r="UQM6" s="1962"/>
      <c r="UQN6" s="1962"/>
      <c r="UQO6" s="1962"/>
      <c r="UQP6" s="1962"/>
      <c r="UQQ6" s="1962"/>
      <c r="UQR6" s="1962"/>
      <c r="UQS6" s="1962"/>
      <c r="UQT6" s="1962"/>
      <c r="UQU6" s="1962"/>
      <c r="UQV6" s="1962"/>
      <c r="UQW6" s="1962"/>
      <c r="UQX6" s="1962"/>
      <c r="UQY6" s="1962"/>
      <c r="UQZ6" s="1962"/>
      <c r="URA6" s="1962"/>
      <c r="URB6" s="1962"/>
      <c r="URC6" s="1962"/>
      <c r="URD6" s="1962"/>
      <c r="URE6" s="1962"/>
      <c r="URF6" s="1962"/>
      <c r="URG6" s="1962"/>
      <c r="URH6" s="1962"/>
      <c r="URI6" s="1962"/>
      <c r="URJ6" s="1962"/>
      <c r="URK6" s="1962"/>
      <c r="URL6" s="1962"/>
      <c r="URM6" s="1962"/>
      <c r="URN6" s="1962"/>
      <c r="URO6" s="1962"/>
      <c r="URP6" s="1962"/>
      <c r="URQ6" s="1962"/>
      <c r="URR6" s="1962"/>
      <c r="URS6" s="1962"/>
      <c r="URT6" s="1962"/>
      <c r="URU6" s="1962"/>
      <c r="URV6" s="1962"/>
      <c r="URW6" s="1962"/>
      <c r="URX6" s="1962"/>
      <c r="URY6" s="1962"/>
      <c r="URZ6" s="1962"/>
      <c r="USA6" s="1962"/>
      <c r="USB6" s="1962"/>
      <c r="USC6" s="1962"/>
      <c r="USD6" s="1962"/>
      <c r="USE6" s="1962"/>
      <c r="USF6" s="1962"/>
      <c r="USG6" s="1962"/>
      <c r="USH6" s="1962"/>
      <c r="USI6" s="1962"/>
      <c r="USJ6" s="1962"/>
      <c r="USK6" s="1962"/>
      <c r="USL6" s="1962"/>
      <c r="USM6" s="1962"/>
      <c r="USN6" s="1962"/>
      <c r="USO6" s="1962"/>
      <c r="USP6" s="1962"/>
      <c r="USQ6" s="1962"/>
      <c r="USR6" s="1962"/>
      <c r="USS6" s="1962"/>
      <c r="UST6" s="1962"/>
      <c r="USU6" s="1962"/>
      <c r="USV6" s="1962"/>
      <c r="USW6" s="1962"/>
      <c r="USX6" s="1962"/>
      <c r="USY6" s="1962"/>
      <c r="USZ6" s="1962"/>
      <c r="UTA6" s="1962"/>
      <c r="UTB6" s="1962"/>
      <c r="UTC6" s="1962"/>
      <c r="UTD6" s="1962"/>
      <c r="UTE6" s="1962"/>
      <c r="UTF6" s="1962"/>
      <c r="UTG6" s="1962"/>
      <c r="UTH6" s="1962"/>
      <c r="UTI6" s="1962"/>
      <c r="UTJ6" s="1962"/>
      <c r="UTK6" s="1962"/>
      <c r="UTL6" s="1962"/>
      <c r="UTM6" s="1962"/>
      <c r="UTN6" s="1962"/>
      <c r="UTO6" s="1962"/>
      <c r="UTP6" s="1962"/>
      <c r="UTQ6" s="1962"/>
      <c r="UTR6" s="1962"/>
      <c r="UTS6" s="1962"/>
      <c r="UTT6" s="1962"/>
      <c r="UTU6" s="1962"/>
      <c r="UTV6" s="1962"/>
      <c r="UTW6" s="1962"/>
      <c r="UTX6" s="1962"/>
      <c r="UTY6" s="1962"/>
      <c r="UTZ6" s="1962"/>
      <c r="UUA6" s="1962"/>
      <c r="UUB6" s="1962"/>
      <c r="UUC6" s="1962"/>
      <c r="UUD6" s="1962"/>
      <c r="UUE6" s="1962"/>
      <c r="UUF6" s="1962"/>
      <c r="UUG6" s="1962"/>
      <c r="UUH6" s="1962"/>
      <c r="UUI6" s="1962"/>
      <c r="UUJ6" s="1962"/>
      <c r="UUK6" s="1962"/>
      <c r="UUL6" s="1962"/>
      <c r="UUM6" s="1962"/>
      <c r="UUN6" s="1962"/>
      <c r="UUO6" s="1962"/>
      <c r="UUP6" s="1962"/>
      <c r="UUQ6" s="1962"/>
      <c r="UUR6" s="1962"/>
      <c r="UUS6" s="1962"/>
      <c r="UUT6" s="1962"/>
      <c r="UUU6" s="1962"/>
      <c r="UUV6" s="1962"/>
      <c r="UUW6" s="1962"/>
      <c r="UUX6" s="1962"/>
      <c r="UUY6" s="1962"/>
      <c r="UUZ6" s="1962"/>
      <c r="UVA6" s="1962"/>
      <c r="UVB6" s="1962"/>
      <c r="UVC6" s="1962"/>
      <c r="UVD6" s="1962"/>
      <c r="UVE6" s="1962"/>
      <c r="UVF6" s="1962"/>
      <c r="UVG6" s="1962"/>
      <c r="UVH6" s="1962"/>
      <c r="UVI6" s="1962"/>
      <c r="UVJ6" s="1962"/>
      <c r="UVK6" s="1962"/>
      <c r="UVL6" s="1962"/>
      <c r="UVM6" s="1962"/>
      <c r="UVN6" s="1962"/>
      <c r="UVO6" s="1962"/>
      <c r="UVP6" s="1962"/>
      <c r="UVQ6" s="1962"/>
      <c r="UVR6" s="1962"/>
      <c r="UVS6" s="1962"/>
      <c r="UVT6" s="1962"/>
      <c r="UVU6" s="1962"/>
      <c r="UVV6" s="1962"/>
      <c r="UVW6" s="1962"/>
      <c r="UVX6" s="1962"/>
      <c r="UVY6" s="1962"/>
      <c r="UVZ6" s="1962"/>
      <c r="UWA6" s="1962"/>
      <c r="UWB6" s="1962"/>
      <c r="UWC6" s="1962"/>
      <c r="UWD6" s="1962"/>
      <c r="UWE6" s="1962"/>
      <c r="UWF6" s="1962"/>
      <c r="UWG6" s="1962"/>
      <c r="UWH6" s="1962"/>
      <c r="UWI6" s="1962"/>
      <c r="UWJ6" s="1962"/>
      <c r="UWK6" s="1962"/>
      <c r="UWL6" s="1962"/>
      <c r="UWM6" s="1962"/>
      <c r="UWN6" s="1962"/>
      <c r="UWO6" s="1962"/>
      <c r="UWP6" s="1962"/>
      <c r="UWQ6" s="1962"/>
      <c r="UWR6" s="1962"/>
      <c r="UWS6" s="1962"/>
      <c r="UWT6" s="1962"/>
      <c r="UWU6" s="1962"/>
      <c r="UWV6" s="1962"/>
      <c r="UWW6" s="1962"/>
      <c r="UWX6" s="1962"/>
      <c r="UWY6" s="1962"/>
      <c r="UWZ6" s="1962"/>
      <c r="UXA6" s="1962"/>
      <c r="UXB6" s="1962"/>
      <c r="UXC6" s="1962"/>
      <c r="UXD6" s="1962"/>
      <c r="UXE6" s="1962"/>
      <c r="UXF6" s="1962"/>
      <c r="UXG6" s="1962"/>
      <c r="UXH6" s="1962"/>
      <c r="UXI6" s="1962"/>
      <c r="UXJ6" s="1962"/>
      <c r="UXK6" s="1962"/>
      <c r="UXL6" s="1962"/>
      <c r="UXM6" s="1962"/>
      <c r="UXN6" s="1962"/>
      <c r="UXO6" s="1962"/>
      <c r="UXP6" s="1962"/>
      <c r="UXQ6" s="1962"/>
      <c r="UXR6" s="1962"/>
      <c r="UXS6" s="1962"/>
      <c r="UXT6" s="1962"/>
      <c r="UXU6" s="1962"/>
      <c r="UXV6" s="1962"/>
      <c r="UXW6" s="1962"/>
      <c r="UXX6" s="1962"/>
      <c r="UXY6" s="1962"/>
      <c r="UXZ6" s="1962"/>
      <c r="UYA6" s="1962"/>
      <c r="UYB6" s="1962"/>
      <c r="UYC6" s="1962"/>
      <c r="UYD6" s="1962"/>
      <c r="UYE6" s="1962"/>
      <c r="UYF6" s="1962"/>
      <c r="UYG6" s="1962"/>
      <c r="UYH6" s="1962"/>
      <c r="UYI6" s="1962"/>
      <c r="UYJ6" s="1962"/>
      <c r="UYK6" s="1962"/>
      <c r="UYL6" s="1962"/>
      <c r="UYM6" s="1962"/>
      <c r="UYN6" s="1962"/>
      <c r="UYO6" s="1962"/>
      <c r="UYP6" s="1962"/>
      <c r="UYQ6" s="1962"/>
      <c r="UYR6" s="1962"/>
      <c r="UYS6" s="1962"/>
      <c r="UYT6" s="1962"/>
      <c r="UYU6" s="1962"/>
      <c r="UYV6" s="1962"/>
      <c r="UYW6" s="1962"/>
      <c r="UYX6" s="1962"/>
      <c r="UYY6" s="1962"/>
      <c r="UYZ6" s="1962"/>
      <c r="UZA6" s="1962"/>
      <c r="UZB6" s="1962"/>
      <c r="UZC6" s="1962"/>
      <c r="UZD6" s="1962"/>
      <c r="UZE6" s="1962"/>
      <c r="UZF6" s="1962"/>
      <c r="UZG6" s="1962"/>
      <c r="UZH6" s="1962"/>
      <c r="UZI6" s="1962"/>
      <c r="UZJ6" s="1962"/>
      <c r="UZK6" s="1962"/>
      <c r="UZL6" s="1962"/>
      <c r="UZM6" s="1962"/>
      <c r="UZN6" s="1962"/>
      <c r="UZO6" s="1962"/>
      <c r="UZP6" s="1962"/>
      <c r="UZQ6" s="1962"/>
      <c r="UZR6" s="1962"/>
      <c r="UZS6" s="1962"/>
      <c r="UZT6" s="1962"/>
      <c r="UZU6" s="1962"/>
      <c r="UZV6" s="1962"/>
      <c r="UZW6" s="1962"/>
      <c r="UZX6" s="1962"/>
      <c r="UZY6" s="1962"/>
      <c r="UZZ6" s="1962"/>
      <c r="VAA6" s="1962"/>
      <c r="VAB6" s="1962"/>
      <c r="VAC6" s="1962"/>
      <c r="VAD6" s="1962"/>
      <c r="VAE6" s="1962"/>
      <c r="VAF6" s="1962"/>
      <c r="VAG6" s="1962"/>
      <c r="VAH6" s="1962"/>
      <c r="VAI6" s="1962"/>
      <c r="VAJ6" s="1962"/>
      <c r="VAK6" s="1962"/>
      <c r="VAL6" s="1962"/>
      <c r="VAM6" s="1962"/>
      <c r="VAN6" s="1962"/>
      <c r="VAO6" s="1962"/>
      <c r="VAP6" s="1962"/>
      <c r="VAQ6" s="1962"/>
      <c r="VAR6" s="1962"/>
      <c r="VAS6" s="1962"/>
      <c r="VAT6" s="1962"/>
      <c r="VAU6" s="1962"/>
      <c r="VAV6" s="1962"/>
      <c r="VAW6" s="1962"/>
      <c r="VAX6" s="1962"/>
      <c r="VAY6" s="1962"/>
      <c r="VAZ6" s="1962"/>
      <c r="VBA6" s="1962"/>
      <c r="VBB6" s="1962"/>
      <c r="VBC6" s="1962"/>
      <c r="VBD6" s="1962"/>
      <c r="VBE6" s="1962"/>
      <c r="VBF6" s="1962"/>
      <c r="VBG6" s="1962"/>
      <c r="VBH6" s="1962"/>
      <c r="VBI6" s="1962"/>
      <c r="VBJ6" s="1962"/>
      <c r="VBK6" s="1962"/>
      <c r="VBL6" s="1962"/>
      <c r="VBM6" s="1962"/>
      <c r="VBN6" s="1962"/>
      <c r="VBO6" s="1962"/>
      <c r="VBP6" s="1962"/>
      <c r="VBQ6" s="1962"/>
      <c r="VBR6" s="1962"/>
      <c r="VBS6" s="1962"/>
      <c r="VBT6" s="1962"/>
      <c r="VBU6" s="1962"/>
      <c r="VBV6" s="1962"/>
      <c r="VBW6" s="1962"/>
      <c r="VBX6" s="1962"/>
      <c r="VBY6" s="1962"/>
      <c r="VBZ6" s="1962"/>
      <c r="VCA6" s="1962"/>
      <c r="VCB6" s="1962"/>
      <c r="VCC6" s="1962"/>
      <c r="VCD6" s="1962"/>
      <c r="VCE6" s="1962"/>
      <c r="VCF6" s="1962"/>
      <c r="VCG6" s="1962"/>
      <c r="VCH6" s="1962"/>
      <c r="VCI6" s="1962"/>
      <c r="VCJ6" s="1962"/>
      <c r="VCK6" s="1962"/>
      <c r="VCL6" s="1962"/>
      <c r="VCM6" s="1962"/>
      <c r="VCN6" s="1962"/>
      <c r="VCO6" s="1962"/>
      <c r="VCP6" s="1962"/>
      <c r="VCQ6" s="1962"/>
      <c r="VCR6" s="1962"/>
      <c r="VCS6" s="1962"/>
      <c r="VCT6" s="1962"/>
      <c r="VCU6" s="1962"/>
      <c r="VCV6" s="1962"/>
      <c r="VCW6" s="1962"/>
      <c r="VCX6" s="1962"/>
      <c r="VCY6" s="1962"/>
      <c r="VCZ6" s="1962"/>
      <c r="VDA6" s="1962"/>
      <c r="VDB6" s="1962"/>
      <c r="VDC6" s="1962"/>
      <c r="VDD6" s="1962"/>
      <c r="VDE6" s="1962"/>
      <c r="VDF6" s="1962"/>
      <c r="VDG6" s="1962"/>
      <c r="VDH6" s="1962"/>
      <c r="VDI6" s="1962"/>
      <c r="VDJ6" s="1962"/>
      <c r="VDK6" s="1962"/>
      <c r="VDL6" s="1962"/>
      <c r="VDM6" s="1962"/>
      <c r="VDN6" s="1962"/>
      <c r="VDO6" s="1962"/>
      <c r="VDP6" s="1962"/>
      <c r="VDQ6" s="1962"/>
      <c r="VDR6" s="1962"/>
      <c r="VDS6" s="1962"/>
      <c r="VDT6" s="1962"/>
      <c r="VDU6" s="1962"/>
      <c r="VDV6" s="1962"/>
      <c r="VDW6" s="1962"/>
      <c r="VDX6" s="1962"/>
      <c r="VDY6" s="1962"/>
      <c r="VDZ6" s="1962"/>
      <c r="VEA6" s="1962"/>
      <c r="VEB6" s="1962"/>
      <c r="VEC6" s="1962"/>
      <c r="VED6" s="1962"/>
      <c r="VEE6" s="1962"/>
      <c r="VEF6" s="1962"/>
      <c r="VEG6" s="1962"/>
      <c r="VEH6" s="1962"/>
      <c r="VEI6" s="1962"/>
      <c r="VEJ6" s="1962"/>
      <c r="VEK6" s="1962"/>
      <c r="VEL6" s="1962"/>
      <c r="VEM6" s="1962"/>
      <c r="VEN6" s="1962"/>
      <c r="VEO6" s="1962"/>
      <c r="VEP6" s="1962"/>
      <c r="VEQ6" s="1962"/>
      <c r="VER6" s="1962"/>
      <c r="VES6" s="1962"/>
      <c r="VET6" s="1962"/>
      <c r="VEU6" s="1962"/>
      <c r="VEV6" s="1962"/>
      <c r="VEW6" s="1962"/>
      <c r="VEX6" s="1962"/>
      <c r="VEY6" s="1962"/>
      <c r="VEZ6" s="1962"/>
      <c r="VFA6" s="1962"/>
      <c r="VFB6" s="1962"/>
      <c r="VFC6" s="1962"/>
      <c r="VFD6" s="1962"/>
      <c r="VFE6" s="1962"/>
      <c r="VFF6" s="1962"/>
      <c r="VFG6" s="1962"/>
      <c r="VFH6" s="1962"/>
      <c r="VFI6" s="1962"/>
      <c r="VFJ6" s="1962"/>
      <c r="VFK6" s="1962"/>
      <c r="VFL6" s="1962"/>
      <c r="VFM6" s="1962"/>
      <c r="VFN6" s="1962"/>
      <c r="VFO6" s="1962"/>
      <c r="VFP6" s="1962"/>
      <c r="VFQ6" s="1962"/>
      <c r="VFR6" s="1962"/>
      <c r="VFS6" s="1962"/>
      <c r="VFT6" s="1962"/>
      <c r="VFU6" s="1962"/>
      <c r="VFV6" s="1962"/>
      <c r="VFW6" s="1962"/>
      <c r="VFX6" s="1962"/>
      <c r="VFY6" s="1962"/>
      <c r="VFZ6" s="1962"/>
      <c r="VGA6" s="1962"/>
      <c r="VGB6" s="1962"/>
      <c r="VGC6" s="1962"/>
      <c r="VGD6" s="1962"/>
      <c r="VGE6" s="1962"/>
      <c r="VGF6" s="1962"/>
      <c r="VGG6" s="1962"/>
      <c r="VGH6" s="1962"/>
      <c r="VGI6" s="1962"/>
      <c r="VGJ6" s="1962"/>
      <c r="VGK6" s="1962"/>
      <c r="VGL6" s="1962"/>
      <c r="VGM6" s="1962"/>
      <c r="VGN6" s="1962"/>
      <c r="VGO6" s="1962"/>
      <c r="VGP6" s="1962"/>
      <c r="VGQ6" s="1962"/>
      <c r="VGR6" s="1962"/>
      <c r="VGS6" s="1962"/>
      <c r="VGT6" s="1962"/>
      <c r="VGU6" s="1962"/>
      <c r="VGV6" s="1962"/>
      <c r="VGW6" s="1962"/>
      <c r="VGX6" s="1962"/>
      <c r="VGY6" s="1962"/>
      <c r="VGZ6" s="1962"/>
      <c r="VHA6" s="1962"/>
      <c r="VHB6" s="1962"/>
      <c r="VHC6" s="1962"/>
      <c r="VHD6" s="1962"/>
      <c r="VHE6" s="1962"/>
      <c r="VHF6" s="1962"/>
      <c r="VHG6" s="1962"/>
      <c r="VHH6" s="1962"/>
      <c r="VHI6" s="1962"/>
      <c r="VHJ6" s="1962"/>
      <c r="VHK6" s="1962"/>
      <c r="VHL6" s="1962"/>
      <c r="VHM6" s="1962"/>
      <c r="VHN6" s="1962"/>
      <c r="VHO6" s="1962"/>
      <c r="VHP6" s="1962"/>
      <c r="VHQ6" s="1962"/>
      <c r="VHR6" s="1962"/>
      <c r="VHS6" s="1962"/>
      <c r="VHT6" s="1962"/>
      <c r="VHU6" s="1962"/>
      <c r="VHV6" s="1962"/>
      <c r="VHW6" s="1962"/>
      <c r="VHX6" s="1962"/>
      <c r="VHY6" s="1962"/>
      <c r="VHZ6" s="1962"/>
      <c r="VIA6" s="1962"/>
      <c r="VIB6" s="1962"/>
      <c r="VIC6" s="1962"/>
      <c r="VID6" s="1962"/>
      <c r="VIE6" s="1962"/>
      <c r="VIF6" s="1962"/>
      <c r="VIG6" s="1962"/>
      <c r="VIH6" s="1962"/>
      <c r="VII6" s="1962"/>
      <c r="VIJ6" s="1962"/>
      <c r="VIK6" s="1962"/>
      <c r="VIL6" s="1962"/>
      <c r="VIM6" s="1962"/>
      <c r="VIN6" s="1962"/>
      <c r="VIO6" s="1962"/>
      <c r="VIP6" s="1962"/>
      <c r="VIQ6" s="1962"/>
      <c r="VIR6" s="1962"/>
      <c r="VIS6" s="1962"/>
      <c r="VIT6" s="1962"/>
      <c r="VIU6" s="1962"/>
      <c r="VIV6" s="1962"/>
      <c r="VIW6" s="1962"/>
      <c r="VIX6" s="1962"/>
      <c r="VIY6" s="1962"/>
      <c r="VIZ6" s="1962"/>
      <c r="VJA6" s="1962"/>
      <c r="VJB6" s="1962"/>
      <c r="VJC6" s="1962"/>
      <c r="VJD6" s="1962"/>
      <c r="VJE6" s="1962"/>
      <c r="VJF6" s="1962"/>
      <c r="VJG6" s="1962"/>
      <c r="VJH6" s="1962"/>
      <c r="VJI6" s="1962"/>
      <c r="VJJ6" s="1962"/>
      <c r="VJK6" s="1962"/>
      <c r="VJL6" s="1962"/>
      <c r="VJM6" s="1962"/>
      <c r="VJN6" s="1962"/>
      <c r="VJO6" s="1962"/>
      <c r="VJP6" s="1962"/>
      <c r="VJQ6" s="1962"/>
      <c r="VJR6" s="1962"/>
      <c r="VJS6" s="1962"/>
      <c r="VJT6" s="1962"/>
      <c r="VJU6" s="1962"/>
      <c r="VJV6" s="1962"/>
      <c r="VJW6" s="1962"/>
      <c r="VJX6" s="1962"/>
      <c r="VJY6" s="1962"/>
      <c r="VJZ6" s="1962"/>
      <c r="VKA6" s="1962"/>
      <c r="VKB6" s="1962"/>
      <c r="VKC6" s="1962"/>
      <c r="VKD6" s="1962"/>
      <c r="VKE6" s="1962"/>
      <c r="VKF6" s="1962"/>
      <c r="VKG6" s="1962"/>
      <c r="VKH6" s="1962"/>
      <c r="VKI6" s="1962"/>
      <c r="VKJ6" s="1962"/>
      <c r="VKK6" s="1962"/>
      <c r="VKL6" s="1962"/>
      <c r="VKM6" s="1962"/>
      <c r="VKN6" s="1962"/>
      <c r="VKO6" s="1962"/>
      <c r="VKP6" s="1962"/>
      <c r="VKQ6" s="1962"/>
      <c r="VKR6" s="1962"/>
      <c r="VKS6" s="1962"/>
      <c r="VKT6" s="1962"/>
      <c r="VKU6" s="1962"/>
      <c r="VKV6" s="1962"/>
      <c r="VKW6" s="1962"/>
      <c r="VKX6" s="1962"/>
      <c r="VKY6" s="1962"/>
      <c r="VKZ6" s="1962"/>
      <c r="VLA6" s="1962"/>
      <c r="VLB6" s="1962"/>
      <c r="VLC6" s="1962"/>
      <c r="VLD6" s="1962"/>
      <c r="VLE6" s="1962"/>
      <c r="VLF6" s="1962"/>
      <c r="VLG6" s="1962"/>
      <c r="VLH6" s="1962"/>
      <c r="VLI6" s="1962"/>
      <c r="VLJ6" s="1962"/>
      <c r="VLK6" s="1962"/>
      <c r="VLL6" s="1962"/>
      <c r="VLM6" s="1962"/>
      <c r="VLN6" s="1962"/>
      <c r="VLO6" s="1962"/>
      <c r="VLP6" s="1962"/>
      <c r="VLQ6" s="1962"/>
      <c r="VLR6" s="1962"/>
      <c r="VLS6" s="1962"/>
      <c r="VLT6" s="1962"/>
      <c r="VLU6" s="1962"/>
      <c r="VLV6" s="1962"/>
      <c r="VLW6" s="1962"/>
      <c r="VLX6" s="1962"/>
      <c r="VLY6" s="1962"/>
      <c r="VLZ6" s="1962"/>
      <c r="VMA6" s="1962"/>
      <c r="VMB6" s="1962"/>
      <c r="VMC6" s="1962"/>
      <c r="VMD6" s="1962"/>
      <c r="VME6" s="1962"/>
      <c r="VMF6" s="1962"/>
      <c r="VMG6" s="1962"/>
      <c r="VMH6" s="1962"/>
      <c r="VMI6" s="1962"/>
      <c r="VMJ6" s="1962"/>
      <c r="VMK6" s="1962"/>
      <c r="VML6" s="1962"/>
      <c r="VMM6" s="1962"/>
      <c r="VMN6" s="1962"/>
      <c r="VMO6" s="1962"/>
      <c r="VMP6" s="1962"/>
      <c r="VMQ6" s="1962"/>
      <c r="VMR6" s="1962"/>
      <c r="VMS6" s="1962"/>
      <c r="VMT6" s="1962"/>
      <c r="VMU6" s="1962"/>
      <c r="VMV6" s="1962"/>
      <c r="VMW6" s="1962"/>
      <c r="VMX6" s="1962"/>
      <c r="VMY6" s="1962"/>
      <c r="VMZ6" s="1962"/>
      <c r="VNA6" s="1962"/>
      <c r="VNB6" s="1962"/>
      <c r="VNC6" s="1962"/>
      <c r="VND6" s="1962"/>
      <c r="VNE6" s="1962"/>
      <c r="VNF6" s="1962"/>
      <c r="VNG6" s="1962"/>
      <c r="VNH6" s="1962"/>
      <c r="VNI6" s="1962"/>
      <c r="VNJ6" s="1962"/>
      <c r="VNK6" s="1962"/>
      <c r="VNL6" s="1962"/>
      <c r="VNM6" s="1962"/>
      <c r="VNN6" s="1962"/>
      <c r="VNO6" s="1962"/>
      <c r="VNP6" s="1962"/>
      <c r="VNQ6" s="1962"/>
      <c r="VNR6" s="1962"/>
      <c r="VNS6" s="1962"/>
      <c r="VNT6" s="1962"/>
      <c r="VNU6" s="1962"/>
      <c r="VNV6" s="1962"/>
      <c r="VNW6" s="1962"/>
      <c r="VNX6" s="1962"/>
      <c r="VNY6" s="1962"/>
      <c r="VNZ6" s="1962"/>
      <c r="VOA6" s="1962"/>
      <c r="VOB6" s="1962"/>
      <c r="VOC6" s="1962"/>
      <c r="VOD6" s="1962"/>
      <c r="VOE6" s="1962"/>
      <c r="VOF6" s="1962"/>
      <c r="VOG6" s="1962"/>
      <c r="VOH6" s="1962"/>
      <c r="VOI6" s="1962"/>
      <c r="VOJ6" s="1962"/>
      <c r="VOK6" s="1962"/>
      <c r="VOL6" s="1962"/>
      <c r="VOM6" s="1962"/>
      <c r="VON6" s="1962"/>
      <c r="VOO6" s="1962"/>
      <c r="VOP6" s="1962"/>
      <c r="VOQ6" s="1962"/>
      <c r="VOR6" s="1962"/>
      <c r="VOS6" s="1962"/>
      <c r="VOT6" s="1962"/>
      <c r="VOU6" s="1962"/>
      <c r="VOV6" s="1962"/>
      <c r="VOW6" s="1962"/>
      <c r="VOX6" s="1962"/>
      <c r="VOY6" s="1962"/>
      <c r="VOZ6" s="1962"/>
      <c r="VPA6" s="1962"/>
      <c r="VPB6" s="1962"/>
      <c r="VPC6" s="1962"/>
      <c r="VPD6" s="1962"/>
      <c r="VPE6" s="1962"/>
      <c r="VPF6" s="1962"/>
      <c r="VPG6" s="1962"/>
      <c r="VPH6" s="1962"/>
      <c r="VPI6" s="1962"/>
      <c r="VPJ6" s="1962"/>
      <c r="VPK6" s="1962"/>
      <c r="VPL6" s="1962"/>
      <c r="VPM6" s="1962"/>
      <c r="VPN6" s="1962"/>
      <c r="VPO6" s="1962"/>
      <c r="VPP6" s="1962"/>
      <c r="VPQ6" s="1962"/>
      <c r="VPR6" s="1962"/>
      <c r="VPS6" s="1962"/>
      <c r="VPT6" s="1962"/>
      <c r="VPU6" s="1962"/>
      <c r="VPV6" s="1962"/>
      <c r="VPW6" s="1962"/>
      <c r="VPX6" s="1962"/>
      <c r="VPY6" s="1962"/>
      <c r="VPZ6" s="1962"/>
      <c r="VQA6" s="1962"/>
      <c r="VQB6" s="1962"/>
      <c r="VQC6" s="1962"/>
      <c r="VQD6" s="1962"/>
      <c r="VQE6" s="1962"/>
      <c r="VQF6" s="1962"/>
      <c r="VQG6" s="1962"/>
      <c r="VQH6" s="1962"/>
      <c r="VQI6" s="1962"/>
      <c r="VQJ6" s="1962"/>
      <c r="VQK6" s="1962"/>
      <c r="VQL6" s="1962"/>
      <c r="VQM6" s="1962"/>
      <c r="VQN6" s="1962"/>
      <c r="VQO6" s="1962"/>
      <c r="VQP6" s="1962"/>
      <c r="VQQ6" s="1962"/>
      <c r="VQR6" s="1962"/>
      <c r="VQS6" s="1962"/>
      <c r="VQT6" s="1962"/>
      <c r="VQU6" s="1962"/>
      <c r="VQV6" s="1962"/>
      <c r="VQW6" s="1962"/>
      <c r="VQX6" s="1962"/>
      <c r="VQY6" s="1962"/>
      <c r="VQZ6" s="1962"/>
      <c r="VRA6" s="1962"/>
      <c r="VRB6" s="1962"/>
      <c r="VRC6" s="1962"/>
      <c r="VRD6" s="1962"/>
      <c r="VRE6" s="1962"/>
      <c r="VRF6" s="1962"/>
      <c r="VRG6" s="1962"/>
      <c r="VRH6" s="1962"/>
      <c r="VRI6" s="1962"/>
      <c r="VRJ6" s="1962"/>
      <c r="VRK6" s="1962"/>
      <c r="VRL6" s="1962"/>
      <c r="VRM6" s="1962"/>
      <c r="VRN6" s="1962"/>
      <c r="VRO6" s="1962"/>
      <c r="VRP6" s="1962"/>
      <c r="VRQ6" s="1962"/>
      <c r="VRR6" s="1962"/>
      <c r="VRS6" s="1962"/>
      <c r="VRT6" s="1962"/>
      <c r="VRU6" s="1962"/>
      <c r="VRV6" s="1962"/>
      <c r="VRW6" s="1962"/>
      <c r="VRX6" s="1962"/>
      <c r="VRY6" s="1962"/>
      <c r="VRZ6" s="1962"/>
      <c r="VSA6" s="1962"/>
      <c r="VSB6" s="1962"/>
      <c r="VSC6" s="1962"/>
      <c r="VSD6" s="1962"/>
      <c r="VSE6" s="1962"/>
      <c r="VSF6" s="1962"/>
      <c r="VSG6" s="1962"/>
      <c r="VSH6" s="1962"/>
      <c r="VSI6" s="1962"/>
      <c r="VSJ6" s="1962"/>
      <c r="VSK6" s="1962"/>
      <c r="VSL6" s="1962"/>
      <c r="VSM6" s="1962"/>
      <c r="VSN6" s="1962"/>
      <c r="VSO6" s="1962"/>
      <c r="VSP6" s="1962"/>
      <c r="VSQ6" s="1962"/>
      <c r="VSR6" s="1962"/>
      <c r="VSS6" s="1962"/>
      <c r="VST6" s="1962"/>
      <c r="VSU6" s="1962"/>
      <c r="VSV6" s="1962"/>
      <c r="VSW6" s="1962"/>
      <c r="VSX6" s="1962"/>
      <c r="VSY6" s="1962"/>
      <c r="VSZ6" s="1962"/>
      <c r="VTA6" s="1962"/>
      <c r="VTB6" s="1962"/>
      <c r="VTC6" s="1962"/>
      <c r="VTD6" s="1962"/>
      <c r="VTE6" s="1962"/>
      <c r="VTF6" s="1962"/>
      <c r="VTG6" s="1962"/>
      <c r="VTH6" s="1962"/>
      <c r="VTI6" s="1962"/>
      <c r="VTJ6" s="1962"/>
      <c r="VTK6" s="1962"/>
      <c r="VTL6" s="1962"/>
      <c r="VTM6" s="1962"/>
      <c r="VTN6" s="1962"/>
      <c r="VTO6" s="1962"/>
      <c r="VTP6" s="1962"/>
      <c r="VTQ6" s="1962"/>
      <c r="VTR6" s="1962"/>
      <c r="VTS6" s="1962"/>
      <c r="VTT6" s="1962"/>
      <c r="VTU6" s="1962"/>
      <c r="VTV6" s="1962"/>
      <c r="VTW6" s="1962"/>
      <c r="VTX6" s="1962"/>
      <c r="VTY6" s="1962"/>
      <c r="VTZ6" s="1962"/>
      <c r="VUA6" s="1962"/>
      <c r="VUB6" s="1962"/>
      <c r="VUC6" s="1962"/>
      <c r="VUD6" s="1962"/>
      <c r="VUE6" s="1962"/>
      <c r="VUF6" s="1962"/>
      <c r="VUG6" s="1962"/>
      <c r="VUH6" s="1962"/>
      <c r="VUI6" s="1962"/>
      <c r="VUJ6" s="1962"/>
      <c r="VUK6" s="1962"/>
      <c r="VUL6" s="1962"/>
      <c r="VUM6" s="1962"/>
      <c r="VUN6" s="1962"/>
      <c r="VUO6" s="1962"/>
      <c r="VUP6" s="1962"/>
      <c r="VUQ6" s="1962"/>
      <c r="VUR6" s="1962"/>
      <c r="VUS6" s="1962"/>
      <c r="VUT6" s="1962"/>
      <c r="VUU6" s="1962"/>
      <c r="VUV6" s="1962"/>
      <c r="VUW6" s="1962"/>
      <c r="VUX6" s="1962"/>
      <c r="VUY6" s="1962"/>
      <c r="VUZ6" s="1962"/>
      <c r="VVA6" s="1962"/>
      <c r="VVB6" s="1962"/>
      <c r="VVC6" s="1962"/>
      <c r="VVD6" s="1962"/>
      <c r="VVE6" s="1962"/>
      <c r="VVF6" s="1962"/>
      <c r="VVG6" s="1962"/>
      <c r="VVH6" s="1962"/>
      <c r="VVI6" s="1962"/>
      <c r="VVJ6" s="1962"/>
      <c r="VVK6" s="1962"/>
      <c r="VVL6" s="1962"/>
      <c r="VVM6" s="1962"/>
      <c r="VVN6" s="1962"/>
      <c r="VVO6" s="1962"/>
      <c r="VVP6" s="1962"/>
      <c r="VVQ6" s="1962"/>
      <c r="VVR6" s="1962"/>
      <c r="VVS6" s="1962"/>
      <c r="VVT6" s="1962"/>
      <c r="VVU6" s="1962"/>
      <c r="VVV6" s="1962"/>
      <c r="VVW6" s="1962"/>
      <c r="VVX6" s="1962"/>
      <c r="VVY6" s="1962"/>
      <c r="VVZ6" s="1962"/>
      <c r="VWA6" s="1962"/>
      <c r="VWB6" s="1962"/>
      <c r="VWC6" s="1962"/>
      <c r="VWD6" s="1962"/>
      <c r="VWE6" s="1962"/>
      <c r="VWF6" s="1962"/>
      <c r="VWG6" s="1962"/>
      <c r="VWH6" s="1962"/>
      <c r="VWI6" s="1962"/>
      <c r="VWJ6" s="1962"/>
      <c r="VWK6" s="1962"/>
      <c r="VWL6" s="1962"/>
      <c r="VWM6" s="1962"/>
      <c r="VWN6" s="1962"/>
      <c r="VWO6" s="1962"/>
      <c r="VWP6" s="1962"/>
      <c r="VWQ6" s="1962"/>
      <c r="VWR6" s="1962"/>
      <c r="VWS6" s="1962"/>
      <c r="VWT6" s="1962"/>
      <c r="VWU6" s="1962"/>
      <c r="VWV6" s="1962"/>
      <c r="VWW6" s="1962"/>
      <c r="VWX6" s="1962"/>
      <c r="VWY6" s="1962"/>
      <c r="VWZ6" s="1962"/>
      <c r="VXA6" s="1962"/>
      <c r="VXB6" s="1962"/>
      <c r="VXC6" s="1962"/>
      <c r="VXD6" s="1962"/>
      <c r="VXE6" s="1962"/>
      <c r="VXF6" s="1962"/>
      <c r="VXG6" s="1962"/>
      <c r="VXH6" s="1962"/>
      <c r="VXI6" s="1962"/>
      <c r="VXJ6" s="1962"/>
      <c r="VXK6" s="1962"/>
      <c r="VXL6" s="1962"/>
      <c r="VXM6" s="1962"/>
      <c r="VXN6" s="1962"/>
      <c r="VXO6" s="1962"/>
      <c r="VXP6" s="1962"/>
      <c r="VXQ6" s="1962"/>
      <c r="VXR6" s="1962"/>
      <c r="VXS6" s="1962"/>
      <c r="VXT6" s="1962"/>
      <c r="VXU6" s="1962"/>
      <c r="VXV6" s="1962"/>
      <c r="VXW6" s="1962"/>
      <c r="VXX6" s="1962"/>
      <c r="VXY6" s="1962"/>
      <c r="VXZ6" s="1962"/>
      <c r="VYA6" s="1962"/>
      <c r="VYB6" s="1962"/>
      <c r="VYC6" s="1962"/>
      <c r="VYD6" s="1962"/>
      <c r="VYE6" s="1962"/>
      <c r="VYF6" s="1962"/>
      <c r="VYG6" s="1962"/>
      <c r="VYH6" s="1962"/>
      <c r="VYI6" s="1962"/>
      <c r="VYJ6" s="1962"/>
      <c r="VYK6" s="1962"/>
      <c r="VYL6" s="1962"/>
      <c r="VYM6" s="1962"/>
      <c r="VYN6" s="1962"/>
      <c r="VYO6" s="1962"/>
      <c r="VYP6" s="1962"/>
      <c r="VYQ6" s="1962"/>
      <c r="VYR6" s="1962"/>
      <c r="VYS6" s="1962"/>
      <c r="VYT6" s="1962"/>
      <c r="VYU6" s="1962"/>
      <c r="VYV6" s="1962"/>
      <c r="VYW6" s="1962"/>
      <c r="VYX6" s="1962"/>
      <c r="VYY6" s="1962"/>
      <c r="VYZ6" s="1962"/>
      <c r="VZA6" s="1962"/>
      <c r="VZB6" s="1962"/>
      <c r="VZC6" s="1962"/>
      <c r="VZD6" s="1962"/>
      <c r="VZE6" s="1962"/>
      <c r="VZF6" s="1962"/>
      <c r="VZG6" s="1962"/>
      <c r="VZH6" s="1962"/>
      <c r="VZI6" s="1962"/>
      <c r="VZJ6" s="1962"/>
      <c r="VZK6" s="1962"/>
      <c r="VZL6" s="1962"/>
      <c r="VZM6" s="1962"/>
      <c r="VZN6" s="1962"/>
      <c r="VZO6" s="1962"/>
      <c r="VZP6" s="1962"/>
      <c r="VZQ6" s="1962"/>
      <c r="VZR6" s="1962"/>
      <c r="VZS6" s="1962"/>
      <c r="VZT6" s="1962"/>
      <c r="VZU6" s="1962"/>
      <c r="VZV6" s="1962"/>
      <c r="VZW6" s="1962"/>
      <c r="VZX6" s="1962"/>
      <c r="VZY6" s="1962"/>
      <c r="VZZ6" s="1962"/>
      <c r="WAA6" s="1962"/>
      <c r="WAB6" s="1962"/>
      <c r="WAC6" s="1962"/>
      <c r="WAD6" s="1962"/>
      <c r="WAE6" s="1962"/>
      <c r="WAF6" s="1962"/>
      <c r="WAG6" s="1962"/>
      <c r="WAH6" s="1962"/>
      <c r="WAI6" s="1962"/>
      <c r="WAJ6" s="1962"/>
      <c r="WAK6" s="1962"/>
      <c r="WAL6" s="1962"/>
      <c r="WAM6" s="1962"/>
      <c r="WAN6" s="1962"/>
      <c r="WAO6" s="1962"/>
      <c r="WAP6" s="1962"/>
      <c r="WAQ6" s="1962"/>
      <c r="WAR6" s="1962"/>
      <c r="WAS6" s="1962"/>
      <c r="WAT6" s="1962"/>
      <c r="WAU6" s="1962"/>
      <c r="WAV6" s="1962"/>
      <c r="WAW6" s="1962"/>
      <c r="WAX6" s="1962"/>
      <c r="WAY6" s="1962"/>
      <c r="WAZ6" s="1962"/>
      <c r="WBA6" s="1962"/>
      <c r="WBB6" s="1962"/>
      <c r="WBC6" s="1962"/>
      <c r="WBD6" s="1962"/>
      <c r="WBE6" s="1962"/>
      <c r="WBF6" s="1962"/>
      <c r="WBG6" s="1962"/>
      <c r="WBH6" s="1962"/>
      <c r="WBI6" s="1962"/>
      <c r="WBJ6" s="1962"/>
      <c r="WBK6" s="1962"/>
      <c r="WBL6" s="1962"/>
      <c r="WBM6" s="1962"/>
      <c r="WBN6" s="1962"/>
      <c r="WBO6" s="1962"/>
      <c r="WBP6" s="1962"/>
      <c r="WBQ6" s="1962"/>
      <c r="WBR6" s="1962"/>
      <c r="WBS6" s="1962"/>
      <c r="WBT6" s="1962"/>
      <c r="WBU6" s="1962"/>
      <c r="WBV6" s="1962"/>
      <c r="WBW6" s="1962"/>
      <c r="WBX6" s="1962"/>
      <c r="WBY6" s="1962"/>
      <c r="WBZ6" s="1962"/>
      <c r="WCA6" s="1962"/>
      <c r="WCB6" s="1962"/>
      <c r="WCC6" s="1962"/>
      <c r="WCD6" s="1962"/>
      <c r="WCE6" s="1962"/>
      <c r="WCF6" s="1962"/>
      <c r="WCG6" s="1962"/>
      <c r="WCH6" s="1962"/>
      <c r="WCI6" s="1962"/>
      <c r="WCJ6" s="1962"/>
      <c r="WCK6" s="1962"/>
      <c r="WCL6" s="1962"/>
      <c r="WCM6" s="1962"/>
      <c r="WCN6" s="1962"/>
      <c r="WCO6" s="1962"/>
      <c r="WCP6" s="1962"/>
      <c r="WCQ6" s="1962"/>
      <c r="WCR6" s="1962"/>
      <c r="WCS6" s="1962"/>
      <c r="WCT6" s="1962"/>
      <c r="WCU6" s="1962"/>
      <c r="WCV6" s="1962"/>
      <c r="WCW6" s="1962"/>
      <c r="WCX6" s="1962"/>
      <c r="WCY6" s="1962"/>
      <c r="WCZ6" s="1962"/>
      <c r="WDA6" s="1962"/>
      <c r="WDB6" s="1962"/>
      <c r="WDC6" s="1962"/>
      <c r="WDD6" s="1962"/>
      <c r="WDE6" s="1962"/>
      <c r="WDF6" s="1962"/>
      <c r="WDG6" s="1962"/>
      <c r="WDH6" s="1962"/>
      <c r="WDI6" s="1962"/>
      <c r="WDJ6" s="1962"/>
      <c r="WDK6" s="1962"/>
      <c r="WDL6" s="1962"/>
      <c r="WDM6" s="1962"/>
      <c r="WDN6" s="1962"/>
      <c r="WDO6" s="1962"/>
      <c r="WDP6" s="1962"/>
      <c r="WDQ6" s="1962"/>
      <c r="WDR6" s="1962"/>
      <c r="WDS6" s="1962"/>
      <c r="WDT6" s="1962"/>
      <c r="WDU6" s="1962"/>
      <c r="WDV6" s="1962"/>
      <c r="WDW6" s="1962"/>
      <c r="WDX6" s="1962"/>
      <c r="WDY6" s="1962"/>
      <c r="WDZ6" s="1962"/>
      <c r="WEA6" s="1962"/>
      <c r="WEB6" s="1962"/>
      <c r="WEC6" s="1962"/>
      <c r="WED6" s="1962"/>
      <c r="WEE6" s="1962"/>
      <c r="WEF6" s="1962"/>
      <c r="WEG6" s="1962"/>
      <c r="WEH6" s="1962"/>
      <c r="WEI6" s="1962"/>
      <c r="WEJ6" s="1962"/>
      <c r="WEK6" s="1962"/>
      <c r="WEL6" s="1962"/>
      <c r="WEM6" s="1962"/>
      <c r="WEN6" s="1962"/>
      <c r="WEO6" s="1962"/>
      <c r="WEP6" s="1962"/>
      <c r="WEQ6" s="1962"/>
      <c r="WER6" s="1962"/>
      <c r="WES6" s="1962"/>
      <c r="WET6" s="1962"/>
      <c r="WEU6" s="1962"/>
      <c r="WEV6" s="1962"/>
      <c r="WEW6" s="1962"/>
      <c r="WEX6" s="1962"/>
      <c r="WEY6" s="1962"/>
      <c r="WEZ6" s="1962"/>
      <c r="WFA6" s="1962"/>
      <c r="WFB6" s="1962"/>
      <c r="WFC6" s="1962"/>
      <c r="WFD6" s="1962"/>
      <c r="WFE6" s="1962"/>
      <c r="WFF6" s="1962"/>
      <c r="WFG6" s="1962"/>
      <c r="WFH6" s="1962"/>
      <c r="WFI6" s="1962"/>
      <c r="WFJ6" s="1962"/>
      <c r="WFK6" s="1962"/>
      <c r="WFL6" s="1962"/>
      <c r="WFM6" s="1962"/>
      <c r="WFN6" s="1962"/>
      <c r="WFO6" s="1962"/>
      <c r="WFP6" s="1962"/>
      <c r="WFQ6" s="1962"/>
      <c r="WFR6" s="1962"/>
      <c r="WFS6" s="1962"/>
      <c r="WFT6" s="1962"/>
      <c r="WFU6" s="1962"/>
      <c r="WFV6" s="1962"/>
      <c r="WFW6" s="1962"/>
      <c r="WFX6" s="1962"/>
      <c r="WFY6" s="1962"/>
      <c r="WFZ6" s="1962"/>
      <c r="WGA6" s="1962"/>
      <c r="WGB6" s="1962"/>
      <c r="WGC6" s="1962"/>
      <c r="WGD6" s="1962"/>
      <c r="WGE6" s="1962"/>
      <c r="WGF6" s="1962"/>
      <c r="WGG6" s="1962"/>
      <c r="WGH6" s="1962"/>
      <c r="WGI6" s="1962"/>
      <c r="WGJ6" s="1962"/>
      <c r="WGK6" s="1962"/>
      <c r="WGL6" s="1962"/>
      <c r="WGM6" s="1962"/>
      <c r="WGN6" s="1962"/>
      <c r="WGO6" s="1962"/>
      <c r="WGP6" s="1962"/>
      <c r="WGQ6" s="1962"/>
      <c r="WGR6" s="1962"/>
      <c r="WGS6" s="1962"/>
      <c r="WGT6" s="1962"/>
      <c r="WGU6" s="1962"/>
      <c r="WGV6" s="1962"/>
      <c r="WGW6" s="1962"/>
      <c r="WGX6" s="1962"/>
      <c r="WGY6" s="1962"/>
      <c r="WGZ6" s="1962"/>
      <c r="WHA6" s="1962"/>
      <c r="WHB6" s="1962"/>
      <c r="WHC6" s="1962"/>
      <c r="WHD6" s="1962"/>
      <c r="WHE6" s="1962"/>
      <c r="WHF6" s="1962"/>
      <c r="WHG6" s="1962"/>
      <c r="WHH6" s="1962"/>
      <c r="WHI6" s="1962"/>
      <c r="WHJ6" s="1962"/>
      <c r="WHK6" s="1962"/>
      <c r="WHL6" s="1962"/>
      <c r="WHM6" s="1962"/>
      <c r="WHN6" s="1962"/>
      <c r="WHO6" s="1962"/>
      <c r="WHP6" s="1962"/>
      <c r="WHQ6" s="1962"/>
      <c r="WHR6" s="1962"/>
      <c r="WHS6" s="1962"/>
      <c r="WHT6" s="1962"/>
      <c r="WHU6" s="1962"/>
      <c r="WHV6" s="1962"/>
      <c r="WHW6" s="1962"/>
      <c r="WHX6" s="1962"/>
      <c r="WHY6" s="1962"/>
      <c r="WHZ6" s="1962"/>
      <c r="WIA6" s="1962"/>
      <c r="WIB6" s="1962"/>
      <c r="WIC6" s="1962"/>
      <c r="WID6" s="1962"/>
      <c r="WIE6" s="1962"/>
      <c r="WIF6" s="1962"/>
      <c r="WIG6" s="1962"/>
      <c r="WIH6" s="1962"/>
      <c r="WII6" s="1962"/>
      <c r="WIJ6" s="1962"/>
      <c r="WIK6" s="1962"/>
      <c r="WIL6" s="1962"/>
      <c r="WIM6" s="1962"/>
      <c r="WIN6" s="1962"/>
      <c r="WIO6" s="1962"/>
      <c r="WIP6" s="1962"/>
      <c r="WIQ6" s="1962"/>
      <c r="WIR6" s="1962"/>
      <c r="WIS6" s="1962"/>
      <c r="WIT6" s="1962"/>
      <c r="WIU6" s="1962"/>
      <c r="WIV6" s="1962"/>
      <c r="WIW6" s="1962"/>
      <c r="WIX6" s="1962"/>
      <c r="WIY6" s="1962"/>
      <c r="WIZ6" s="1962"/>
      <c r="WJA6" s="1962"/>
      <c r="WJB6" s="1962"/>
      <c r="WJC6" s="1962"/>
      <c r="WJD6" s="1962"/>
      <c r="WJE6" s="1962"/>
      <c r="WJF6" s="1962"/>
      <c r="WJG6" s="1962"/>
      <c r="WJH6" s="1962"/>
      <c r="WJI6" s="1962"/>
      <c r="WJJ6" s="1962"/>
      <c r="WJK6" s="1962"/>
      <c r="WJL6" s="1962"/>
      <c r="WJM6" s="1962"/>
      <c r="WJN6" s="1962"/>
      <c r="WJO6" s="1962"/>
      <c r="WJP6" s="1962"/>
      <c r="WJQ6" s="1962"/>
      <c r="WJR6" s="1962"/>
      <c r="WJS6" s="1962"/>
      <c r="WJT6" s="1962"/>
      <c r="WJU6" s="1962"/>
      <c r="WJV6" s="1962"/>
      <c r="WJW6" s="1962"/>
      <c r="WJX6" s="1962"/>
      <c r="WJY6" s="1962"/>
      <c r="WJZ6" s="1962"/>
      <c r="WKA6" s="1962"/>
      <c r="WKB6" s="1962"/>
      <c r="WKC6" s="1962"/>
      <c r="WKD6" s="1962"/>
      <c r="WKE6" s="1962"/>
      <c r="WKF6" s="1962"/>
      <c r="WKG6" s="1962"/>
      <c r="WKH6" s="1962"/>
      <c r="WKI6" s="1962"/>
      <c r="WKJ6" s="1962"/>
      <c r="WKK6" s="1962"/>
      <c r="WKL6" s="1962"/>
      <c r="WKM6" s="1962"/>
      <c r="WKN6" s="1962"/>
      <c r="WKO6" s="1962"/>
      <c r="WKP6" s="1962"/>
      <c r="WKQ6" s="1962"/>
      <c r="WKR6" s="1962"/>
      <c r="WKS6" s="1962"/>
      <c r="WKT6" s="1962"/>
      <c r="WKU6" s="1962"/>
      <c r="WKV6" s="1962"/>
      <c r="WKW6" s="1962"/>
      <c r="WKX6" s="1962"/>
      <c r="WKY6" s="1962"/>
      <c r="WKZ6" s="1962"/>
      <c r="WLA6" s="1962"/>
      <c r="WLB6" s="1962"/>
      <c r="WLC6" s="1962"/>
      <c r="WLD6" s="1962"/>
      <c r="WLE6" s="1962"/>
      <c r="WLF6" s="1962"/>
      <c r="WLG6" s="1962"/>
      <c r="WLH6" s="1962"/>
      <c r="WLI6" s="1962"/>
      <c r="WLJ6" s="1962"/>
      <c r="WLK6" s="1962"/>
      <c r="WLL6" s="1962"/>
      <c r="WLM6" s="1962"/>
      <c r="WLN6" s="1962"/>
      <c r="WLO6" s="1962"/>
      <c r="WLP6" s="1962"/>
      <c r="WLQ6" s="1962"/>
      <c r="WLR6" s="1962"/>
      <c r="WLS6" s="1962"/>
      <c r="WLT6" s="1962"/>
      <c r="WLU6" s="1962"/>
      <c r="WLV6" s="1962"/>
      <c r="WLW6" s="1962"/>
      <c r="WLX6" s="1962"/>
      <c r="WLY6" s="1962"/>
      <c r="WLZ6" s="1962"/>
      <c r="WMA6" s="1962"/>
      <c r="WMB6" s="1962"/>
      <c r="WMC6" s="1962"/>
      <c r="WMD6" s="1962"/>
      <c r="WME6" s="1962"/>
      <c r="WMF6" s="1962"/>
      <c r="WMG6" s="1962"/>
      <c r="WMH6" s="1962"/>
      <c r="WMI6" s="1962"/>
      <c r="WMJ6" s="1962"/>
      <c r="WMK6" s="1962"/>
      <c r="WML6" s="1962"/>
      <c r="WMM6" s="1962"/>
      <c r="WMN6" s="1962"/>
      <c r="WMO6" s="1962"/>
      <c r="WMP6" s="1962"/>
      <c r="WMQ6" s="1962"/>
      <c r="WMR6" s="1962"/>
      <c r="WMS6" s="1962"/>
      <c r="WMT6" s="1962"/>
      <c r="WMU6" s="1962"/>
      <c r="WMV6" s="1962"/>
      <c r="WMW6" s="1962"/>
      <c r="WMX6" s="1962"/>
      <c r="WMY6" s="1962"/>
      <c r="WMZ6" s="1962"/>
      <c r="WNA6" s="1962"/>
      <c r="WNB6" s="1962"/>
      <c r="WNC6" s="1962"/>
      <c r="WND6" s="1962"/>
      <c r="WNE6" s="1962"/>
      <c r="WNF6" s="1962"/>
      <c r="WNG6" s="1962"/>
      <c r="WNH6" s="1962"/>
      <c r="WNI6" s="1962"/>
      <c r="WNJ6" s="1962"/>
      <c r="WNK6" s="1962"/>
      <c r="WNL6" s="1962"/>
      <c r="WNM6" s="1962"/>
      <c r="WNN6" s="1962"/>
      <c r="WNO6" s="1962"/>
      <c r="WNP6" s="1962"/>
      <c r="WNQ6" s="1962"/>
      <c r="WNR6" s="1962"/>
      <c r="WNS6" s="1962"/>
      <c r="WNT6" s="1962"/>
      <c r="WNU6" s="1962"/>
      <c r="WNV6" s="1962"/>
      <c r="WNW6" s="1962"/>
      <c r="WNX6" s="1962"/>
      <c r="WNY6" s="1962"/>
      <c r="WNZ6" s="1962"/>
      <c r="WOA6" s="1962"/>
      <c r="WOB6" s="1962"/>
      <c r="WOC6" s="1962"/>
      <c r="WOD6" s="1962"/>
      <c r="WOE6" s="1962"/>
      <c r="WOF6" s="1962"/>
      <c r="WOG6" s="1962"/>
      <c r="WOH6" s="1962"/>
      <c r="WOI6" s="1962"/>
      <c r="WOJ6" s="1962"/>
      <c r="WOK6" s="1962"/>
      <c r="WOL6" s="1962"/>
      <c r="WOM6" s="1962"/>
      <c r="WON6" s="1962"/>
      <c r="WOO6" s="1962"/>
      <c r="WOP6" s="1962"/>
      <c r="WOQ6" s="1962"/>
      <c r="WOR6" s="1962"/>
      <c r="WOS6" s="1962"/>
      <c r="WOT6" s="1962"/>
      <c r="WOU6" s="1962"/>
      <c r="WOV6" s="1962"/>
      <c r="WOW6" s="1962"/>
      <c r="WOX6" s="1962"/>
      <c r="WOY6" s="1962"/>
      <c r="WOZ6" s="1962"/>
      <c r="WPA6" s="1962"/>
      <c r="WPB6" s="1962"/>
      <c r="WPC6" s="1962"/>
      <c r="WPD6" s="1962"/>
      <c r="WPE6" s="1962"/>
      <c r="WPF6" s="1962"/>
      <c r="WPG6" s="1962"/>
      <c r="WPH6" s="1962"/>
      <c r="WPI6" s="1962"/>
      <c r="WPJ6" s="1962"/>
      <c r="WPK6" s="1962"/>
      <c r="WPL6" s="1962"/>
      <c r="WPM6" s="1962"/>
      <c r="WPN6" s="1962"/>
      <c r="WPO6" s="1962"/>
      <c r="WPP6" s="1962"/>
      <c r="WPQ6" s="1962"/>
      <c r="WPR6" s="1962"/>
      <c r="WPS6" s="1962"/>
      <c r="WPT6" s="1962"/>
      <c r="WPU6" s="1962"/>
      <c r="WPV6" s="1962"/>
      <c r="WPW6" s="1962"/>
      <c r="WPX6" s="1962"/>
      <c r="WPY6" s="1962"/>
      <c r="WPZ6" s="1962"/>
      <c r="WQA6" s="1962"/>
      <c r="WQB6" s="1962"/>
      <c r="WQC6" s="1962"/>
      <c r="WQD6" s="1962"/>
      <c r="WQE6" s="1962"/>
      <c r="WQF6" s="1962"/>
      <c r="WQG6" s="1962"/>
      <c r="WQH6" s="1962"/>
      <c r="WQI6" s="1962"/>
      <c r="WQJ6" s="1962"/>
      <c r="WQK6" s="1962"/>
      <c r="WQL6" s="1962"/>
      <c r="WQM6" s="1962"/>
      <c r="WQN6" s="1962"/>
      <c r="WQO6" s="1962"/>
      <c r="WQP6" s="1962"/>
      <c r="WQQ6" s="1962"/>
      <c r="WQR6" s="1962"/>
      <c r="WQS6" s="1962"/>
      <c r="WQT6" s="1962"/>
      <c r="WQU6" s="1962"/>
      <c r="WQV6" s="1962"/>
      <c r="WQW6" s="1962"/>
      <c r="WQX6" s="1962"/>
      <c r="WQY6" s="1962"/>
      <c r="WQZ6" s="1962"/>
      <c r="WRA6" s="1962"/>
      <c r="WRB6" s="1962"/>
      <c r="WRC6" s="1962"/>
      <c r="WRD6" s="1962"/>
      <c r="WRE6" s="1962"/>
      <c r="WRF6" s="1962"/>
      <c r="WRG6" s="1962"/>
      <c r="WRH6" s="1962"/>
      <c r="WRI6" s="1962"/>
      <c r="WRJ6" s="1962"/>
      <c r="WRK6" s="1962"/>
      <c r="WRL6" s="1962"/>
      <c r="WRM6" s="1962"/>
      <c r="WRN6" s="1962"/>
      <c r="WRO6" s="1962"/>
      <c r="WRP6" s="1962"/>
      <c r="WRQ6" s="1962"/>
      <c r="WRR6" s="1962"/>
      <c r="WRS6" s="1962"/>
      <c r="WRT6" s="1962"/>
      <c r="WRU6" s="1962"/>
      <c r="WRV6" s="1962"/>
      <c r="WRW6" s="1962"/>
      <c r="WRX6" s="1962"/>
      <c r="WRY6" s="1962"/>
      <c r="WRZ6" s="1962"/>
      <c r="WSA6" s="1962"/>
      <c r="WSB6" s="1962"/>
      <c r="WSC6" s="1962"/>
      <c r="WSD6" s="1962"/>
      <c r="WSE6" s="1962"/>
      <c r="WSF6" s="1962"/>
      <c r="WSG6" s="1962"/>
      <c r="WSH6" s="1962"/>
      <c r="WSI6" s="1962"/>
      <c r="WSJ6" s="1962"/>
      <c r="WSK6" s="1962"/>
      <c r="WSL6" s="1962"/>
      <c r="WSM6" s="1962"/>
      <c r="WSN6" s="1962"/>
      <c r="WSO6" s="1962"/>
      <c r="WSP6" s="1962"/>
      <c r="WSQ6" s="1962"/>
      <c r="WSR6" s="1962"/>
      <c r="WSS6" s="1962"/>
      <c r="WST6" s="1962"/>
      <c r="WSU6" s="1962"/>
      <c r="WSV6" s="1962"/>
      <c r="WSW6" s="1962"/>
      <c r="WSX6" s="1962"/>
      <c r="WSY6" s="1962"/>
      <c r="WSZ6" s="1962"/>
      <c r="WTA6" s="1962"/>
      <c r="WTB6" s="1962"/>
      <c r="WTC6" s="1962"/>
      <c r="WTD6" s="1962"/>
      <c r="WTE6" s="1962"/>
      <c r="WTF6" s="1962"/>
      <c r="WTG6" s="1962"/>
      <c r="WTH6" s="1962"/>
      <c r="WTI6" s="1962"/>
      <c r="WTJ6" s="1962"/>
      <c r="WTK6" s="1962"/>
      <c r="WTL6" s="1962"/>
      <c r="WTM6" s="1962"/>
      <c r="WTN6" s="1962"/>
      <c r="WTO6" s="1962"/>
      <c r="WTP6" s="1962"/>
      <c r="WTQ6" s="1962"/>
      <c r="WTR6" s="1962"/>
      <c r="WTS6" s="1962"/>
      <c r="WTT6" s="1962"/>
      <c r="WTU6" s="1962"/>
      <c r="WTV6" s="1962"/>
      <c r="WTW6" s="1962"/>
      <c r="WTX6" s="1962"/>
      <c r="WTY6" s="1962"/>
      <c r="WTZ6" s="1962"/>
      <c r="WUA6" s="1962"/>
      <c r="WUB6" s="1962"/>
      <c r="WUC6" s="1962"/>
      <c r="WUD6" s="1962"/>
      <c r="WUE6" s="1962"/>
      <c r="WUF6" s="1962"/>
      <c r="WUG6" s="1962"/>
      <c r="WUH6" s="1962"/>
      <c r="WUI6" s="1962"/>
      <c r="WUJ6" s="1962"/>
      <c r="WUK6" s="1962"/>
      <c r="WUL6" s="1962"/>
      <c r="WUM6" s="1962"/>
      <c r="WUN6" s="1962"/>
      <c r="WUO6" s="1962"/>
      <c r="WUP6" s="1962"/>
      <c r="WUQ6" s="1962"/>
      <c r="WUR6" s="1962"/>
      <c r="WUS6" s="1962"/>
      <c r="WUT6" s="1962"/>
      <c r="WUU6" s="1962"/>
      <c r="WUV6" s="1962"/>
      <c r="WUW6" s="1962"/>
      <c r="WUX6" s="1962"/>
      <c r="WUY6" s="1962"/>
      <c r="WUZ6" s="1962"/>
      <c r="WVA6" s="1962"/>
      <c r="WVB6" s="1962"/>
      <c r="WVC6" s="1962"/>
      <c r="WVD6" s="1962"/>
      <c r="WVE6" s="1962"/>
      <c r="WVF6" s="1962"/>
      <c r="WVG6" s="1962"/>
      <c r="WVH6" s="1962"/>
      <c r="WVI6" s="1962"/>
      <c r="WVJ6" s="1962"/>
      <c r="WVK6" s="1962"/>
      <c r="WVL6" s="1962"/>
      <c r="WVM6" s="1962"/>
      <c r="WVN6" s="1962"/>
      <c r="WVO6" s="1962"/>
      <c r="WVP6" s="1962"/>
      <c r="WVQ6" s="1962"/>
      <c r="WVR6" s="1962"/>
      <c r="WVS6" s="1962"/>
      <c r="WVT6" s="1962"/>
      <c r="WVU6" s="1962"/>
      <c r="WVV6" s="1962"/>
      <c r="WVW6" s="1962"/>
      <c r="WVX6" s="1962"/>
      <c r="WVY6" s="1962"/>
      <c r="WVZ6" s="1962"/>
      <c r="WWA6" s="1962"/>
      <c r="WWB6" s="1962"/>
      <c r="WWC6" s="1962"/>
      <c r="WWD6" s="1962"/>
      <c r="WWE6" s="1962"/>
      <c r="WWF6" s="1962"/>
      <c r="WWG6" s="1962"/>
      <c r="WWH6" s="1962"/>
      <c r="WWI6" s="1962"/>
      <c r="WWJ6" s="1962"/>
      <c r="WWK6" s="1962"/>
      <c r="WWL6" s="1962"/>
      <c r="WWM6" s="1962"/>
      <c r="WWN6" s="1962"/>
      <c r="WWO6" s="1962"/>
      <c r="WWP6" s="1962"/>
      <c r="WWQ6" s="1962"/>
      <c r="WWR6" s="1962"/>
      <c r="WWS6" s="1962"/>
      <c r="WWT6" s="1962"/>
      <c r="WWU6" s="1962"/>
      <c r="WWV6" s="1962"/>
      <c r="WWW6" s="1962"/>
      <c r="WWX6" s="1962"/>
      <c r="WWY6" s="1962"/>
      <c r="WWZ6" s="1962"/>
      <c r="WXA6" s="1962"/>
      <c r="WXB6" s="1962"/>
      <c r="WXC6" s="1962"/>
      <c r="WXD6" s="1962"/>
      <c r="WXE6" s="1962"/>
      <c r="WXF6" s="1962"/>
      <c r="WXG6" s="1962"/>
      <c r="WXH6" s="1962"/>
      <c r="WXI6" s="1962"/>
      <c r="WXJ6" s="1962"/>
      <c r="WXK6" s="1962"/>
      <c r="WXL6" s="1962"/>
      <c r="WXM6" s="1962"/>
      <c r="WXN6" s="1962"/>
      <c r="WXO6" s="1962"/>
      <c r="WXP6" s="1962"/>
      <c r="WXQ6" s="1962"/>
      <c r="WXR6" s="1962"/>
      <c r="WXS6" s="1962"/>
      <c r="WXT6" s="1962"/>
      <c r="WXU6" s="1962"/>
      <c r="WXV6" s="1962"/>
      <c r="WXW6" s="1962"/>
      <c r="WXX6" s="1962"/>
      <c r="WXY6" s="1962"/>
      <c r="WXZ6" s="1962"/>
      <c r="WYA6" s="1962"/>
      <c r="WYB6" s="1962"/>
      <c r="WYC6" s="1962"/>
      <c r="WYD6" s="1962"/>
      <c r="WYE6" s="1962"/>
      <c r="WYF6" s="1962"/>
      <c r="WYG6" s="1962"/>
      <c r="WYH6" s="1962"/>
      <c r="WYI6" s="1962"/>
      <c r="WYJ6" s="1962"/>
      <c r="WYK6" s="1962"/>
      <c r="WYL6" s="1962"/>
      <c r="WYM6" s="1962"/>
      <c r="WYN6" s="1962"/>
      <c r="WYO6" s="1962"/>
      <c r="WYP6" s="1962"/>
      <c r="WYQ6" s="1962"/>
      <c r="WYR6" s="1962"/>
      <c r="WYS6" s="1962"/>
      <c r="WYT6" s="1962"/>
      <c r="WYU6" s="1962"/>
      <c r="WYV6" s="1962"/>
      <c r="WYW6" s="1962"/>
      <c r="WYX6" s="1962"/>
      <c r="WYY6" s="1962"/>
      <c r="WYZ6" s="1962"/>
      <c r="WZA6" s="1962"/>
      <c r="WZB6" s="1962"/>
      <c r="WZC6" s="1962"/>
      <c r="WZD6" s="1962"/>
      <c r="WZE6" s="1962"/>
      <c r="WZF6" s="1962"/>
      <c r="WZG6" s="1962"/>
      <c r="WZH6" s="1962"/>
      <c r="WZI6" s="1962"/>
      <c r="WZJ6" s="1962"/>
      <c r="WZK6" s="1962"/>
      <c r="WZL6" s="1962"/>
      <c r="WZM6" s="1962"/>
      <c r="WZN6" s="1962"/>
      <c r="WZO6" s="1962"/>
      <c r="WZP6" s="1962"/>
      <c r="WZQ6" s="1962"/>
      <c r="WZR6" s="1962"/>
      <c r="WZS6" s="1962"/>
      <c r="WZT6" s="1962"/>
      <c r="WZU6" s="1962"/>
      <c r="WZV6" s="1962"/>
      <c r="WZW6" s="1962"/>
      <c r="WZX6" s="1962"/>
      <c r="WZY6" s="1962"/>
      <c r="WZZ6" s="1962"/>
      <c r="XAA6" s="1962"/>
      <c r="XAB6" s="1962"/>
      <c r="XAC6" s="1962"/>
      <c r="XAD6" s="1962"/>
      <c r="XAE6" s="1962"/>
      <c r="XAF6" s="1962"/>
      <c r="XAG6" s="1962"/>
      <c r="XAH6" s="1962"/>
      <c r="XAI6" s="1962"/>
      <c r="XAJ6" s="1962"/>
      <c r="XAK6" s="1962"/>
      <c r="XAL6" s="1962"/>
      <c r="XAM6" s="1962"/>
      <c r="XAN6" s="1962"/>
      <c r="XAO6" s="1962"/>
      <c r="XAP6" s="1962"/>
      <c r="XAQ6" s="1962"/>
      <c r="XAR6" s="1962"/>
      <c r="XAS6" s="1962"/>
      <c r="XAT6" s="1962"/>
      <c r="XAU6" s="1962"/>
      <c r="XAV6" s="1962"/>
      <c r="XAW6" s="1962"/>
      <c r="XAX6" s="1962"/>
      <c r="XAY6" s="1962"/>
      <c r="XAZ6" s="1962"/>
      <c r="XBA6" s="1962"/>
      <c r="XBB6" s="1962"/>
      <c r="XBC6" s="1962"/>
      <c r="XBD6" s="1962"/>
      <c r="XBE6" s="1962"/>
      <c r="XBF6" s="1962"/>
      <c r="XBG6" s="1962"/>
      <c r="XBH6" s="1962"/>
      <c r="XBI6" s="1962"/>
      <c r="XBJ6" s="1962"/>
      <c r="XBK6" s="1962"/>
      <c r="XBL6" s="1962"/>
      <c r="XBM6" s="1962"/>
      <c r="XBN6" s="1962"/>
      <c r="XBO6" s="1962"/>
      <c r="XBP6" s="1962"/>
      <c r="XBQ6" s="1962"/>
      <c r="XBR6" s="1962"/>
      <c r="XBS6" s="1962"/>
      <c r="XBT6" s="1962"/>
      <c r="XBU6" s="1962"/>
      <c r="XBV6" s="1962"/>
      <c r="XBW6" s="1962"/>
      <c r="XBX6" s="1962"/>
      <c r="XBY6" s="1962"/>
      <c r="XBZ6" s="1962"/>
      <c r="XCA6" s="1962"/>
      <c r="XCB6" s="1962"/>
      <c r="XCC6" s="1962"/>
      <c r="XCD6" s="1962"/>
      <c r="XCE6" s="1962"/>
      <c r="XCF6" s="1962"/>
      <c r="XCG6" s="1962"/>
      <c r="XCH6" s="1962"/>
      <c r="XCI6" s="1962"/>
      <c r="XCJ6" s="1962"/>
      <c r="XCK6" s="1962"/>
      <c r="XCL6" s="1962"/>
      <c r="XCM6" s="1962"/>
      <c r="XCN6" s="1962"/>
      <c r="XCO6" s="1962"/>
      <c r="XCP6" s="1962"/>
      <c r="XCQ6" s="1962"/>
      <c r="XCR6" s="1962"/>
      <c r="XCS6" s="1962"/>
      <c r="XCT6" s="1962"/>
      <c r="XCU6" s="1962"/>
      <c r="XCV6" s="1962"/>
      <c r="XCW6" s="1962"/>
      <c r="XCX6" s="1962"/>
      <c r="XCY6" s="1962"/>
      <c r="XCZ6" s="1962"/>
      <c r="XDA6" s="1962"/>
      <c r="XDB6" s="1962"/>
      <c r="XDC6" s="1962"/>
      <c r="XDD6" s="1962"/>
      <c r="XDE6" s="1962"/>
      <c r="XDF6" s="1962"/>
      <c r="XDG6" s="1962"/>
      <c r="XDH6" s="1962"/>
      <c r="XDI6" s="1962"/>
      <c r="XDJ6" s="1962"/>
      <c r="XDK6" s="1962"/>
      <c r="XDL6" s="1962"/>
      <c r="XDM6" s="1962"/>
      <c r="XDN6" s="1962"/>
      <c r="XDO6" s="1962"/>
      <c r="XDP6" s="1962"/>
      <c r="XDQ6" s="1962"/>
      <c r="XDR6" s="1962"/>
      <c r="XDS6" s="1962"/>
      <c r="XDT6" s="1962"/>
      <c r="XDU6" s="1962"/>
      <c r="XDV6" s="1962"/>
      <c r="XDW6" s="1962"/>
      <c r="XDX6" s="1962"/>
      <c r="XDY6" s="1962"/>
      <c r="XDZ6" s="1962"/>
      <c r="XEA6" s="1962"/>
      <c r="XEB6" s="1962"/>
      <c r="XEC6" s="1962"/>
      <c r="XED6" s="1962"/>
      <c r="XEE6" s="1962"/>
      <c r="XEF6" s="1962"/>
      <c r="XEG6" s="1962"/>
      <c r="XEH6" s="1962"/>
      <c r="XEI6" s="1962"/>
      <c r="XEJ6" s="1962"/>
      <c r="XEK6" s="1962"/>
      <c r="XEL6" s="1962"/>
      <c r="XEM6" s="1962"/>
      <c r="XEN6" s="1962"/>
      <c r="XEO6" s="1962"/>
      <c r="XEP6" s="1962"/>
      <c r="XEQ6" s="1962"/>
      <c r="XER6" s="1962"/>
      <c r="XES6" s="1962"/>
      <c r="XET6" s="1962"/>
      <c r="XEU6" s="1962"/>
      <c r="XEV6" s="1962"/>
      <c r="XEW6" s="1962"/>
      <c r="XEX6" s="1962"/>
      <c r="XEY6" s="1962"/>
      <c r="XEZ6" s="1962"/>
      <c r="XFA6" s="1962"/>
      <c r="XFB6" s="1962"/>
      <c r="XFC6" s="1972"/>
      <c r="XFD6" s="1972"/>
    </row>
    <row r="7" s="1962" customFormat="1" spans="1:16384">
      <c r="A7" s="1968" t="s">
        <v>1707</v>
      </c>
      <c r="B7" s="1968" t="s">
        <v>1708</v>
      </c>
      <c r="C7" s="1968">
        <v>108919</v>
      </c>
      <c r="D7" s="1968">
        <v>199808</v>
      </c>
      <c r="E7" s="1968" t="s">
        <v>1709</v>
      </c>
      <c r="F7" s="1968" t="s">
        <v>1710</v>
      </c>
      <c r="G7" s="1968" t="s">
        <v>1711</v>
      </c>
      <c r="H7" s="1968" t="s">
        <v>1689</v>
      </c>
      <c r="I7" s="1968" t="s">
        <v>1712</v>
      </c>
      <c r="J7" s="1968" t="s">
        <v>1691</v>
      </c>
      <c r="K7" s="1968" t="s">
        <v>1692</v>
      </c>
      <c r="L7" s="1968">
        <v>97500</v>
      </c>
      <c r="M7" s="1968">
        <v>8951.6</v>
      </c>
      <c r="N7" s="1968">
        <v>596.77</v>
      </c>
      <c r="O7" s="1968">
        <v>4880</v>
      </c>
      <c r="P7" s="1968">
        <v>28.12</v>
      </c>
      <c r="XFC7" s="1972"/>
      <c r="XFD7" s="1972"/>
    </row>
    <row r="8" s="1962" customFormat="1" spans="1:16384">
      <c r="A8" s="1968" t="s">
        <v>1713</v>
      </c>
      <c r="B8" s="1968" t="s">
        <v>1714</v>
      </c>
      <c r="C8" s="1968">
        <v>57816</v>
      </c>
      <c r="D8" s="1968">
        <v>109295</v>
      </c>
      <c r="E8" s="1968" t="s">
        <v>1709</v>
      </c>
      <c r="F8" s="1968" t="s">
        <v>1710</v>
      </c>
      <c r="G8" s="1968" t="s">
        <v>1715</v>
      </c>
      <c r="H8" s="1968" t="s">
        <v>1689</v>
      </c>
      <c r="I8" s="1968" t="s">
        <v>1716</v>
      </c>
      <c r="J8" s="1968" t="s">
        <v>1691</v>
      </c>
      <c r="K8" s="1968" t="s">
        <v>1717</v>
      </c>
      <c r="L8" s="1968">
        <v>57000</v>
      </c>
      <c r="M8" s="1968">
        <v>9858.86</v>
      </c>
      <c r="N8" s="1968">
        <v>657.26</v>
      </c>
      <c r="O8" s="1968">
        <v>5215</v>
      </c>
      <c r="P8" s="1968">
        <v>49.21</v>
      </c>
      <c r="XFC8" s="1972"/>
      <c r="XFD8" s="1972"/>
    </row>
    <row r="9" s="1962" customFormat="1" spans="1:16384">
      <c r="A9" s="1968" t="s">
        <v>1718</v>
      </c>
      <c r="B9" s="1968" t="s">
        <v>1719</v>
      </c>
      <c r="C9" s="1968">
        <v>30462</v>
      </c>
      <c r="D9" s="1968">
        <v>48092</v>
      </c>
      <c r="E9" s="1968" t="s">
        <v>1709</v>
      </c>
      <c r="F9" s="1968" t="s">
        <v>1710</v>
      </c>
      <c r="G9" s="1968" t="s">
        <v>1720</v>
      </c>
      <c r="H9" s="1968" t="s">
        <v>1689</v>
      </c>
      <c r="I9" s="1968" t="s">
        <v>1716</v>
      </c>
      <c r="J9" s="1968" t="s">
        <v>1691</v>
      </c>
      <c r="K9" s="1968" t="s">
        <v>1717</v>
      </c>
      <c r="L9" s="1968">
        <v>26900</v>
      </c>
      <c r="M9" s="1968">
        <v>8830.67</v>
      </c>
      <c r="N9" s="1968">
        <v>588.71</v>
      </c>
      <c r="O9" s="1968">
        <v>5593</v>
      </c>
      <c r="P9" s="1968">
        <v>48.62</v>
      </c>
      <c r="XFC9" s="1972"/>
      <c r="XFD9" s="1972"/>
    </row>
    <row r="10" s="1962" customFormat="1" spans="1:16384">
      <c r="A10" s="1968" t="s">
        <v>1721</v>
      </c>
      <c r="B10" s="1968" t="s">
        <v>1722</v>
      </c>
      <c r="C10" s="1968">
        <v>5092</v>
      </c>
      <c r="D10" s="1968">
        <v>7638</v>
      </c>
      <c r="E10" s="1968" t="s">
        <v>1709</v>
      </c>
      <c r="F10" s="1968" t="s">
        <v>1723</v>
      </c>
      <c r="G10" s="1968" t="s">
        <v>1724</v>
      </c>
      <c r="H10" s="1968" t="s">
        <v>1689</v>
      </c>
      <c r="I10" s="1968" t="s">
        <v>1725</v>
      </c>
      <c r="J10" s="1968" t="s">
        <v>1691</v>
      </c>
      <c r="K10" s="1968" t="s">
        <v>1726</v>
      </c>
      <c r="L10" s="1968">
        <v>3300</v>
      </c>
      <c r="M10" s="1968">
        <v>6480.75</v>
      </c>
      <c r="N10" s="1968">
        <v>432.05</v>
      </c>
      <c r="O10" s="1968">
        <v>4321</v>
      </c>
      <c r="P10" s="1968">
        <v>6.45</v>
      </c>
      <c r="XFC10" s="1972"/>
      <c r="XFD10" s="1972"/>
    </row>
    <row r="11" s="1962" customFormat="1" spans="1:16384">
      <c r="A11" s="1968" t="s">
        <v>1727</v>
      </c>
      <c r="B11" s="1968" t="s">
        <v>1728</v>
      </c>
      <c r="C11" s="1968">
        <v>115868</v>
      </c>
      <c r="D11" s="1968">
        <v>213197.12</v>
      </c>
      <c r="E11" s="1968" t="s">
        <v>1709</v>
      </c>
      <c r="F11" s="1968" t="s">
        <v>1729</v>
      </c>
      <c r="G11" s="1968" t="s">
        <v>1730</v>
      </c>
      <c r="H11" s="1968" t="s">
        <v>1689</v>
      </c>
      <c r="I11" s="1968" t="s">
        <v>1731</v>
      </c>
      <c r="J11" s="1968" t="s">
        <v>1691</v>
      </c>
      <c r="K11" s="1968" t="s">
        <v>1732</v>
      </c>
      <c r="L11" s="1968">
        <v>105800</v>
      </c>
      <c r="M11" s="1968">
        <v>9131.08</v>
      </c>
      <c r="N11" s="1968">
        <v>608.74</v>
      </c>
      <c r="O11" s="1968">
        <v>4963</v>
      </c>
      <c r="P11" s="1968">
        <v>0.38</v>
      </c>
      <c r="XFC11" s="1972"/>
      <c r="XFD11" s="1972"/>
    </row>
    <row r="12" s="1962" customFormat="1" spans="1:16384">
      <c r="A12" s="1968" t="s">
        <v>1733</v>
      </c>
      <c r="B12" s="1968" t="s">
        <v>1734</v>
      </c>
      <c r="C12" s="1968">
        <v>15150</v>
      </c>
      <c r="D12" s="1968">
        <v>53025</v>
      </c>
      <c r="E12" s="1968" t="s">
        <v>1709</v>
      </c>
      <c r="F12" s="1968" t="s">
        <v>1729</v>
      </c>
      <c r="G12" s="1968" t="s">
        <v>1735</v>
      </c>
      <c r="H12" s="1968" t="s">
        <v>1689</v>
      </c>
      <c r="I12" s="1968" t="s">
        <v>1736</v>
      </c>
      <c r="J12" s="1968" t="s">
        <v>1691</v>
      </c>
      <c r="K12" s="1968" t="s">
        <v>1737</v>
      </c>
      <c r="L12" s="1968">
        <v>8100</v>
      </c>
      <c r="M12" s="1968">
        <v>5346.53</v>
      </c>
      <c r="N12" s="1968">
        <v>356.44</v>
      </c>
      <c r="O12" s="1968">
        <v>1528</v>
      </c>
      <c r="P12" s="1968">
        <v>3.85</v>
      </c>
      <c r="XFC12" s="1972"/>
      <c r="XFD12" s="1972"/>
    </row>
    <row r="13" s="1962" customFormat="1" spans="1:16384">
      <c r="A13" s="1968" t="s">
        <v>1738</v>
      </c>
      <c r="B13" s="1968" t="s">
        <v>1739</v>
      </c>
      <c r="C13" s="1968">
        <v>23467</v>
      </c>
      <c r="D13" s="1968">
        <v>56320.8</v>
      </c>
      <c r="E13" s="1968" t="s">
        <v>1709</v>
      </c>
      <c r="F13" s="1968" t="s">
        <v>1729</v>
      </c>
      <c r="G13" s="1968" t="s">
        <v>1740</v>
      </c>
      <c r="H13" s="1968" t="s">
        <v>1689</v>
      </c>
      <c r="I13" s="1968" t="s">
        <v>1741</v>
      </c>
      <c r="J13" s="1968" t="s">
        <v>1691</v>
      </c>
      <c r="K13" s="1968" t="s">
        <v>1742</v>
      </c>
      <c r="L13" s="1968">
        <v>19300</v>
      </c>
      <c r="M13" s="1968">
        <v>8224.31</v>
      </c>
      <c r="N13" s="1968">
        <v>548.29</v>
      </c>
      <c r="O13" s="1968">
        <v>3427</v>
      </c>
      <c r="P13" s="1968">
        <v>2.12</v>
      </c>
      <c r="XFC13" s="1972"/>
      <c r="XFD13" s="1972"/>
    </row>
    <row r="14" s="1962" customFormat="1" spans="1:16384">
      <c r="A14" s="1968" t="s">
        <v>1743</v>
      </c>
      <c r="B14" s="1968" t="s">
        <v>1744</v>
      </c>
      <c r="C14" s="1968">
        <v>129940</v>
      </c>
      <c r="D14" s="1968">
        <v>252083.6</v>
      </c>
      <c r="E14" s="1968" t="s">
        <v>1709</v>
      </c>
      <c r="F14" s="1968" t="s">
        <v>1729</v>
      </c>
      <c r="G14" s="1968" t="s">
        <v>1745</v>
      </c>
      <c r="H14" s="1968" t="s">
        <v>1689</v>
      </c>
      <c r="I14" s="1968" t="s">
        <v>1746</v>
      </c>
      <c r="J14" s="1968" t="s">
        <v>1691</v>
      </c>
      <c r="K14" s="1968" t="s">
        <v>1747</v>
      </c>
      <c r="L14" s="1968">
        <v>46100</v>
      </c>
      <c r="M14" s="1968">
        <v>3547.79</v>
      </c>
      <c r="N14" s="1968">
        <v>236.52</v>
      </c>
      <c r="O14" s="1968">
        <v>1829</v>
      </c>
      <c r="P14" s="1968">
        <v>0.88</v>
      </c>
      <c r="XFC14" s="1972"/>
      <c r="XFD14" s="1972"/>
    </row>
    <row r="15" s="1962" customFormat="1" spans="1:16384">
      <c r="A15" s="1968" t="s">
        <v>1748</v>
      </c>
      <c r="B15" s="1968" t="s">
        <v>1749</v>
      </c>
      <c r="C15" s="1968">
        <v>84382</v>
      </c>
      <c r="D15" s="1968">
        <v>175514.6</v>
      </c>
      <c r="E15" s="1968" t="s">
        <v>1709</v>
      </c>
      <c r="F15" s="1968" t="s">
        <v>1729</v>
      </c>
      <c r="G15" s="1968" t="s">
        <v>1750</v>
      </c>
      <c r="H15" s="1968" t="s">
        <v>1689</v>
      </c>
      <c r="I15" s="1968" t="s">
        <v>1751</v>
      </c>
      <c r="J15" s="1968" t="s">
        <v>1691</v>
      </c>
      <c r="K15" s="1968" t="s">
        <v>1752</v>
      </c>
      <c r="L15" s="1968">
        <v>53300</v>
      </c>
      <c r="M15" s="1968">
        <v>6316.51</v>
      </c>
      <c r="N15" s="1968">
        <v>421.1</v>
      </c>
      <c r="O15" s="1968">
        <v>3037</v>
      </c>
      <c r="P15" s="1968">
        <v>0.76</v>
      </c>
      <c r="XFC15" s="1972"/>
      <c r="XFD15" s="1972"/>
    </row>
    <row r="16" s="1962" customFormat="1" spans="1:16">
      <c r="A16" s="1968" t="s">
        <v>1753</v>
      </c>
      <c r="B16" s="1968" t="s">
        <v>1754</v>
      </c>
      <c r="C16" s="1968">
        <v>52302</v>
      </c>
      <c r="D16" s="1968">
        <v>83683.2</v>
      </c>
      <c r="E16" s="1968" t="s">
        <v>1709</v>
      </c>
      <c r="F16" s="1968" t="s">
        <v>1729</v>
      </c>
      <c r="G16" s="1968" t="s">
        <v>1755</v>
      </c>
      <c r="H16" s="1968" t="s">
        <v>1689</v>
      </c>
      <c r="I16" s="1968" t="s">
        <v>1751</v>
      </c>
      <c r="J16" s="1968" t="s">
        <v>1691</v>
      </c>
      <c r="K16" s="1968" t="s">
        <v>1692</v>
      </c>
      <c r="L16" s="1968">
        <v>40500</v>
      </c>
      <c r="M16" s="1968">
        <v>7743.48</v>
      </c>
      <c r="N16" s="1968">
        <v>516.23</v>
      </c>
      <c r="O16" s="1968">
        <v>4840</v>
      </c>
      <c r="P16" s="1968">
        <v>25.39</v>
      </c>
    </row>
    <row r="17" s="1962" customFormat="1" spans="1:16">
      <c r="A17" s="1968" t="s">
        <v>1756</v>
      </c>
      <c r="B17" s="1968" t="s">
        <v>1757</v>
      </c>
      <c r="C17" s="1968">
        <v>19365</v>
      </c>
      <c r="D17" s="1968">
        <v>40666.5</v>
      </c>
      <c r="E17" s="1968" t="s">
        <v>1709</v>
      </c>
      <c r="F17" s="1968" t="s">
        <v>1729</v>
      </c>
      <c r="G17" s="1968" t="s">
        <v>1758</v>
      </c>
      <c r="H17" s="1968" t="s">
        <v>1689</v>
      </c>
      <c r="I17" s="1968" t="s">
        <v>1759</v>
      </c>
      <c r="J17" s="1968" t="s">
        <v>1691</v>
      </c>
      <c r="K17" s="1968" t="s">
        <v>1760</v>
      </c>
      <c r="L17" s="1968">
        <v>39800</v>
      </c>
      <c r="M17" s="1968">
        <v>20552.54</v>
      </c>
      <c r="N17" s="1968">
        <v>1370.17</v>
      </c>
      <c r="O17" s="1968">
        <v>9787</v>
      </c>
      <c r="P17" s="1968">
        <v>5.29</v>
      </c>
    </row>
    <row r="18" s="1962" customFormat="1" spans="1:16">
      <c r="A18" s="1968" t="s">
        <v>1761</v>
      </c>
      <c r="B18" s="1968" t="s">
        <v>1762</v>
      </c>
      <c r="C18" s="1968">
        <v>12814</v>
      </c>
      <c r="D18" s="1968">
        <v>50999.72</v>
      </c>
      <c r="E18" s="1968" t="s">
        <v>1709</v>
      </c>
      <c r="F18" s="1968" t="s">
        <v>1729</v>
      </c>
      <c r="G18" s="1968" t="s">
        <v>1763</v>
      </c>
      <c r="H18" s="1968" t="s">
        <v>1689</v>
      </c>
      <c r="I18" s="1968" t="s">
        <v>1764</v>
      </c>
      <c r="J18" s="1968" t="s">
        <v>1691</v>
      </c>
      <c r="K18" s="1968" t="s">
        <v>1765</v>
      </c>
      <c r="L18" s="1968">
        <v>4450</v>
      </c>
      <c r="M18" s="1968">
        <v>3472.76</v>
      </c>
      <c r="N18" s="1968">
        <v>231.52</v>
      </c>
      <c r="O18" s="1968">
        <v>873</v>
      </c>
      <c r="P18" s="1968">
        <v>3.49</v>
      </c>
    </row>
    <row r="19" s="1965" customFormat="1" spans="1:16384">
      <c r="A19" s="1970" t="s">
        <v>1766</v>
      </c>
      <c r="B19" s="1970" t="s">
        <v>1767</v>
      </c>
      <c r="C19" s="1970">
        <v>6405</v>
      </c>
      <c r="D19" s="1970">
        <v>12810</v>
      </c>
      <c r="E19" s="1970" t="s">
        <v>1686</v>
      </c>
      <c r="F19" s="1970" t="s">
        <v>1687</v>
      </c>
      <c r="G19" s="1970" t="s">
        <v>1768</v>
      </c>
      <c r="H19" s="1970" t="s">
        <v>1689</v>
      </c>
      <c r="I19" s="1970" t="s">
        <v>1769</v>
      </c>
      <c r="J19" s="1970" t="s">
        <v>1691</v>
      </c>
      <c r="K19" s="1970" t="s">
        <v>1770</v>
      </c>
      <c r="L19" s="1970">
        <v>3550</v>
      </c>
      <c r="M19" s="1970">
        <v>5542.54</v>
      </c>
      <c r="N19" s="1970">
        <v>369.5</v>
      </c>
      <c r="O19" s="1970">
        <v>2771</v>
      </c>
      <c r="P19" s="1970">
        <v>31.48</v>
      </c>
      <c r="XFC19" s="1973"/>
      <c r="XFD19" s="1973"/>
    </row>
    <row r="20" s="1965" customFormat="1" spans="1:16384">
      <c r="A20" s="1970" t="s">
        <v>1771</v>
      </c>
      <c r="B20" s="1970" t="s">
        <v>1772</v>
      </c>
      <c r="C20" s="1970">
        <v>5361</v>
      </c>
      <c r="D20" s="1970">
        <v>11794.2</v>
      </c>
      <c r="E20" s="1970" t="s">
        <v>1686</v>
      </c>
      <c r="F20" s="1970" t="s">
        <v>1687</v>
      </c>
      <c r="G20" s="1970" t="s">
        <v>1773</v>
      </c>
      <c r="H20" s="1970" t="s">
        <v>1689</v>
      </c>
      <c r="I20" s="1970" t="s">
        <v>1769</v>
      </c>
      <c r="J20" s="1970" t="s">
        <v>1691</v>
      </c>
      <c r="K20" s="1970" t="s">
        <v>1774</v>
      </c>
      <c r="L20" s="1970">
        <v>3350</v>
      </c>
      <c r="M20" s="1970">
        <v>6248.83</v>
      </c>
      <c r="N20" s="1970">
        <v>416.59</v>
      </c>
      <c r="O20" s="1970">
        <v>2840</v>
      </c>
      <c r="P20" s="1970">
        <v>4.69</v>
      </c>
      <c r="XFC20" s="1973"/>
      <c r="XFD20" s="1973"/>
    </row>
    <row r="21" s="1965" customFormat="1" spans="1:16384">
      <c r="A21" s="1970" t="s">
        <v>1775</v>
      </c>
      <c r="B21" s="1970" t="s">
        <v>1776</v>
      </c>
      <c r="C21" s="1970">
        <v>10599</v>
      </c>
      <c r="D21" s="1970">
        <v>21198</v>
      </c>
      <c r="E21" s="1970" t="s">
        <v>1686</v>
      </c>
      <c r="F21" s="1970" t="s">
        <v>1687</v>
      </c>
      <c r="G21" s="1970" t="s">
        <v>1768</v>
      </c>
      <c r="H21" s="1970" t="s">
        <v>1689</v>
      </c>
      <c r="I21" s="1970" t="s">
        <v>1769</v>
      </c>
      <c r="J21" s="1970" t="s">
        <v>1691</v>
      </c>
      <c r="K21" s="1970" t="s">
        <v>1770</v>
      </c>
      <c r="L21" s="1970">
        <v>5850</v>
      </c>
      <c r="M21" s="1970">
        <v>5519.38</v>
      </c>
      <c r="N21" s="1970">
        <v>367.96</v>
      </c>
      <c r="O21" s="1970">
        <v>2760</v>
      </c>
      <c r="P21" s="1970">
        <v>32.95</v>
      </c>
      <c r="XFC21" s="1973"/>
      <c r="XFD21" s="1973"/>
    </row>
    <row r="22" s="1962" customFormat="1" spans="1:16">
      <c r="A22" s="1968" t="s">
        <v>1777</v>
      </c>
      <c r="B22" s="1968" t="s">
        <v>1778</v>
      </c>
      <c r="C22" s="1968">
        <v>3022</v>
      </c>
      <c r="D22" s="1968">
        <v>3626.4</v>
      </c>
      <c r="E22" s="1968" t="s">
        <v>1686</v>
      </c>
      <c r="F22" s="1968" t="s">
        <v>1687</v>
      </c>
      <c r="G22" s="1968" t="s">
        <v>1779</v>
      </c>
      <c r="H22" s="1968" t="s">
        <v>1689</v>
      </c>
      <c r="I22" s="1968" t="s">
        <v>1769</v>
      </c>
      <c r="J22" s="1968" t="s">
        <v>1691</v>
      </c>
      <c r="K22" s="1968" t="s">
        <v>1774</v>
      </c>
      <c r="L22" s="1968">
        <v>1470</v>
      </c>
      <c r="M22" s="1968">
        <v>4864.32</v>
      </c>
      <c r="N22" s="1968">
        <v>324.29</v>
      </c>
      <c r="O22" s="1968">
        <v>4054</v>
      </c>
      <c r="P22" s="1968">
        <v>4.26</v>
      </c>
    </row>
    <row r="23" s="1962" customFormat="1" spans="1:16">
      <c r="A23" s="1968" t="s">
        <v>1780</v>
      </c>
      <c r="B23" s="1968" t="s">
        <v>1781</v>
      </c>
      <c r="C23" s="1968">
        <v>33627</v>
      </c>
      <c r="D23" s="1968">
        <v>36989.7</v>
      </c>
      <c r="E23" s="1968" t="s">
        <v>1686</v>
      </c>
      <c r="F23" s="1968" t="s">
        <v>1687</v>
      </c>
      <c r="G23" s="1968" t="s">
        <v>1782</v>
      </c>
      <c r="H23" s="1968" t="s">
        <v>1689</v>
      </c>
      <c r="I23" s="1968" t="s">
        <v>1783</v>
      </c>
      <c r="J23" s="1968" t="s">
        <v>1691</v>
      </c>
      <c r="K23" s="1968" t="s">
        <v>1774</v>
      </c>
      <c r="L23" s="1968">
        <v>15900</v>
      </c>
      <c r="M23" s="1968">
        <v>4728.34</v>
      </c>
      <c r="N23" s="1968">
        <v>315.22</v>
      </c>
      <c r="O23" s="1968">
        <v>4298</v>
      </c>
      <c r="P23" s="1968">
        <v>3.92</v>
      </c>
    </row>
    <row r="24" s="1962" customFormat="1" spans="1:16">
      <c r="A24" s="1968" t="s">
        <v>1784</v>
      </c>
      <c r="B24" s="1968" t="s">
        <v>1785</v>
      </c>
      <c r="C24" s="1968">
        <v>5720</v>
      </c>
      <c r="D24" s="1968">
        <v>2288</v>
      </c>
      <c r="E24" s="1968" t="s">
        <v>1686</v>
      </c>
      <c r="F24" s="1968" t="s">
        <v>1687</v>
      </c>
      <c r="G24" s="1968" t="s">
        <v>1786</v>
      </c>
      <c r="H24" s="1968" t="s">
        <v>1689</v>
      </c>
      <c r="I24" s="1968" t="s">
        <v>1787</v>
      </c>
      <c r="J24" s="1968" t="s">
        <v>1691</v>
      </c>
      <c r="K24" s="1968" t="s">
        <v>1788</v>
      </c>
      <c r="L24" s="1968">
        <v>9630</v>
      </c>
      <c r="M24" s="1968">
        <v>16835.66</v>
      </c>
      <c r="N24" s="1968">
        <v>1122.38</v>
      </c>
      <c r="O24" s="1968">
        <v>42089</v>
      </c>
      <c r="P24" s="1968">
        <v>383.92</v>
      </c>
    </row>
    <row r="25" s="1962" customFormat="1" spans="1:16">
      <c r="A25" s="1968" t="s">
        <v>1789</v>
      </c>
      <c r="B25" s="1968" t="s">
        <v>1790</v>
      </c>
      <c r="C25" s="1968">
        <v>6154</v>
      </c>
      <c r="D25" s="1968">
        <v>16000.4</v>
      </c>
      <c r="E25" s="1968" t="s">
        <v>1686</v>
      </c>
      <c r="F25" s="1968" t="s">
        <v>1700</v>
      </c>
      <c r="G25" s="1968" t="s">
        <v>1791</v>
      </c>
      <c r="H25" s="1968" t="s">
        <v>1689</v>
      </c>
      <c r="I25" s="1968" t="s">
        <v>1792</v>
      </c>
      <c r="J25" s="1968" t="s">
        <v>1691</v>
      </c>
      <c r="K25" s="1968" t="s">
        <v>1793</v>
      </c>
      <c r="L25" s="1968">
        <v>1900</v>
      </c>
      <c r="M25" s="1968">
        <v>3087.42</v>
      </c>
      <c r="N25" s="1968">
        <v>205.83</v>
      </c>
      <c r="O25" s="1968">
        <v>1187</v>
      </c>
      <c r="P25" s="1968">
        <v>4.4</v>
      </c>
    </row>
    <row r="26" s="1962" customFormat="1" spans="1:16">
      <c r="A26" s="1968" t="s">
        <v>1794</v>
      </c>
      <c r="B26" s="1968" t="s">
        <v>1795</v>
      </c>
      <c r="C26" s="1968">
        <v>3890</v>
      </c>
      <c r="D26" s="1968">
        <v>2334</v>
      </c>
      <c r="E26" s="1968" t="s">
        <v>1686</v>
      </c>
      <c r="F26" s="1968" t="s">
        <v>1796</v>
      </c>
      <c r="G26" s="1968" t="s">
        <v>1797</v>
      </c>
      <c r="H26" s="1968" t="s">
        <v>1689</v>
      </c>
      <c r="I26" s="1968" t="s">
        <v>1798</v>
      </c>
      <c r="J26" s="1968" t="s">
        <v>1691</v>
      </c>
      <c r="K26" s="1968" t="s">
        <v>1799</v>
      </c>
      <c r="L26" s="1968">
        <v>11050</v>
      </c>
      <c r="M26" s="1968">
        <v>28406.17</v>
      </c>
      <c r="N26" s="1968">
        <v>1893.74</v>
      </c>
      <c r="O26" s="1968">
        <v>47344</v>
      </c>
      <c r="P26" s="1968">
        <v>145.94</v>
      </c>
    </row>
    <row r="27" s="1962" customFormat="1" spans="1:16">
      <c r="A27" s="1968" t="s">
        <v>1800</v>
      </c>
      <c r="B27" s="1968" t="s">
        <v>1801</v>
      </c>
      <c r="C27" s="1968">
        <v>11461</v>
      </c>
      <c r="D27" s="1968">
        <v>46073.22</v>
      </c>
      <c r="E27" s="1968" t="s">
        <v>1686</v>
      </c>
      <c r="F27" s="1968" t="s">
        <v>1700</v>
      </c>
      <c r="G27" s="1968" t="s">
        <v>1802</v>
      </c>
      <c r="H27" s="1968" t="s">
        <v>1689</v>
      </c>
      <c r="I27" s="1968" t="s">
        <v>1798</v>
      </c>
      <c r="J27" s="1968" t="s">
        <v>1691</v>
      </c>
      <c r="K27" s="1968" t="s">
        <v>1803</v>
      </c>
      <c r="L27" s="1968">
        <v>3200</v>
      </c>
      <c r="M27" s="1968">
        <v>2792.07</v>
      </c>
      <c r="N27" s="1968">
        <v>186.14</v>
      </c>
      <c r="O27" s="1968">
        <v>695</v>
      </c>
      <c r="P27" s="1968">
        <v>10.34</v>
      </c>
    </row>
    <row r="28" s="1962" customFormat="1" spans="1:16">
      <c r="A28" s="1968" t="s">
        <v>1804</v>
      </c>
      <c r="B28" s="1968" t="s">
        <v>1805</v>
      </c>
      <c r="C28" s="1968">
        <v>136431</v>
      </c>
      <c r="D28" s="1968">
        <v>54572.4</v>
      </c>
      <c r="E28" s="1968" t="s">
        <v>1686</v>
      </c>
      <c r="F28" s="1968" t="s">
        <v>1806</v>
      </c>
      <c r="G28" s="1968" t="s">
        <v>1807</v>
      </c>
      <c r="H28" s="1968" t="s">
        <v>1689</v>
      </c>
      <c r="I28" s="1968" t="s">
        <v>1798</v>
      </c>
      <c r="J28" s="1968" t="s">
        <v>1691</v>
      </c>
      <c r="K28" s="1968" t="s">
        <v>1808</v>
      </c>
      <c r="L28" s="1968">
        <v>76700</v>
      </c>
      <c r="M28" s="1968">
        <v>5621.88</v>
      </c>
      <c r="N28" s="1968">
        <v>374.79</v>
      </c>
      <c r="O28" s="1968">
        <v>14055</v>
      </c>
      <c r="P28" s="1968">
        <v>0.79</v>
      </c>
    </row>
    <row r="29" s="1962" customFormat="1" spans="1:16">
      <c r="A29" s="1968" t="s">
        <v>1809</v>
      </c>
      <c r="B29" s="1968" t="s">
        <v>1810</v>
      </c>
      <c r="C29" s="1968">
        <v>3450</v>
      </c>
      <c r="D29" s="1968">
        <v>2415</v>
      </c>
      <c r="E29" s="1968" t="s">
        <v>1686</v>
      </c>
      <c r="F29" s="1968" t="s">
        <v>1796</v>
      </c>
      <c r="G29" s="1968" t="s">
        <v>1811</v>
      </c>
      <c r="H29" s="1968" t="s">
        <v>1689</v>
      </c>
      <c r="I29" s="1968" t="s">
        <v>1812</v>
      </c>
      <c r="J29" s="1968" t="s">
        <v>1691</v>
      </c>
      <c r="K29" s="1968" t="s">
        <v>1799</v>
      </c>
      <c r="L29" s="1968">
        <v>640</v>
      </c>
      <c r="M29" s="1968">
        <v>1855.07</v>
      </c>
      <c r="N29" s="1968">
        <v>123.67</v>
      </c>
      <c r="O29" s="1968">
        <v>2650</v>
      </c>
      <c r="P29" s="1968">
        <v>10.34</v>
      </c>
    </row>
    <row r="30" s="1962" customFormat="1" spans="1:16">
      <c r="A30" s="1968" t="s">
        <v>1813</v>
      </c>
      <c r="B30" s="1968" t="s">
        <v>1814</v>
      </c>
      <c r="C30" s="1968">
        <v>14656</v>
      </c>
      <c r="D30" s="1968">
        <v>24915.2</v>
      </c>
      <c r="E30" s="1968" t="s">
        <v>1686</v>
      </c>
      <c r="F30" s="1968" t="s">
        <v>1700</v>
      </c>
      <c r="G30" s="1968" t="s">
        <v>1815</v>
      </c>
      <c r="H30" s="1968" t="s">
        <v>1689</v>
      </c>
      <c r="I30" s="1968" t="s">
        <v>1816</v>
      </c>
      <c r="J30" s="1968" t="s">
        <v>1691</v>
      </c>
      <c r="K30" s="1968" t="s">
        <v>1817</v>
      </c>
      <c r="L30" s="1968">
        <v>1780</v>
      </c>
      <c r="M30" s="1968">
        <v>1214.51</v>
      </c>
      <c r="N30" s="1968">
        <v>80.97</v>
      </c>
      <c r="O30" s="1968">
        <v>714</v>
      </c>
      <c r="P30" s="1968">
        <v>1.14</v>
      </c>
    </row>
    <row r="31" s="1962" customFormat="1" spans="1:16">
      <c r="A31" s="1968" t="s">
        <v>1818</v>
      </c>
      <c r="B31" s="1968" t="s">
        <v>1819</v>
      </c>
      <c r="C31" s="1968">
        <v>11713</v>
      </c>
      <c r="D31" s="1968">
        <v>21083.4</v>
      </c>
      <c r="E31" s="1968" t="s">
        <v>1686</v>
      </c>
      <c r="F31" s="1968" t="s">
        <v>1700</v>
      </c>
      <c r="G31" s="1968" t="s">
        <v>1820</v>
      </c>
      <c r="H31" s="1968" t="s">
        <v>1689</v>
      </c>
      <c r="I31" s="1971">
        <v>42244</v>
      </c>
      <c r="J31" s="1968" t="s">
        <v>1691</v>
      </c>
      <c r="K31" s="1968" t="s">
        <v>1821</v>
      </c>
      <c r="L31" s="1968">
        <v>1460</v>
      </c>
      <c r="M31" s="1968">
        <v>1246.47</v>
      </c>
      <c r="N31" s="1968">
        <v>83.1</v>
      </c>
      <c r="O31" s="1968">
        <v>692</v>
      </c>
      <c r="P31" s="1968">
        <v>1.39</v>
      </c>
    </row>
    <row r="32" s="1962" customFormat="1" spans="1:16">
      <c r="A32" s="1968" t="s">
        <v>1822</v>
      </c>
      <c r="B32" s="1968" t="s">
        <v>1823</v>
      </c>
      <c r="C32" s="1968">
        <v>72606</v>
      </c>
      <c r="D32" s="1968">
        <v>112539.3</v>
      </c>
      <c r="E32" s="1968" t="s">
        <v>1686</v>
      </c>
      <c r="F32" s="1968" t="s">
        <v>1700</v>
      </c>
      <c r="G32" s="1968" t="s">
        <v>1824</v>
      </c>
      <c r="H32" s="1968" t="s">
        <v>1689</v>
      </c>
      <c r="I32" s="1968" t="s">
        <v>1825</v>
      </c>
      <c r="J32" s="1968" t="s">
        <v>1691</v>
      </c>
      <c r="K32" s="1968" t="s">
        <v>1826</v>
      </c>
      <c r="L32" s="1968">
        <v>16500</v>
      </c>
      <c r="M32" s="1968">
        <v>2272.53</v>
      </c>
      <c r="N32" s="1968">
        <v>151.5</v>
      </c>
      <c r="O32" s="1968">
        <v>1466</v>
      </c>
      <c r="P32" s="1968">
        <v>2.48</v>
      </c>
    </row>
    <row r="33" s="1962" customFormat="1" spans="1:16">
      <c r="A33" s="1968" t="s">
        <v>1827</v>
      </c>
      <c r="B33" s="1968" t="s">
        <v>1828</v>
      </c>
      <c r="C33" s="1968">
        <v>26059</v>
      </c>
      <c r="D33" s="1968">
        <v>41694.4</v>
      </c>
      <c r="E33" s="1968" t="s">
        <v>1686</v>
      </c>
      <c r="F33" s="1968" t="s">
        <v>1796</v>
      </c>
      <c r="G33" s="1968" t="s">
        <v>1829</v>
      </c>
      <c r="H33" s="1968" t="s">
        <v>1689</v>
      </c>
      <c r="I33" s="1968" t="s">
        <v>1830</v>
      </c>
      <c r="J33" s="1968" t="s">
        <v>1691</v>
      </c>
      <c r="K33" s="1968" t="s">
        <v>1831</v>
      </c>
      <c r="L33" s="1968">
        <v>3500</v>
      </c>
      <c r="M33" s="1968">
        <v>1343.1</v>
      </c>
      <c r="N33" s="1968">
        <v>89.54</v>
      </c>
      <c r="O33" s="1968">
        <v>839</v>
      </c>
      <c r="P33" s="1968">
        <v>2.94</v>
      </c>
    </row>
    <row r="34" s="1962" customFormat="1" spans="1:16">
      <c r="A34" s="1968" t="s">
        <v>1832</v>
      </c>
      <c r="B34" s="1968" t="s">
        <v>1833</v>
      </c>
      <c r="C34" s="1968">
        <v>3838</v>
      </c>
      <c r="D34" s="1968">
        <v>1343.3</v>
      </c>
      <c r="E34" s="1968" t="s">
        <v>1686</v>
      </c>
      <c r="F34" s="1968" t="s">
        <v>1796</v>
      </c>
      <c r="G34" s="1968" t="s">
        <v>1834</v>
      </c>
      <c r="H34" s="1968" t="s">
        <v>1689</v>
      </c>
      <c r="I34" s="1968" t="s">
        <v>1830</v>
      </c>
      <c r="J34" s="1968" t="s">
        <v>1691</v>
      </c>
      <c r="K34" s="1968" t="s">
        <v>1835</v>
      </c>
      <c r="L34" s="1968">
        <v>2460</v>
      </c>
      <c r="M34" s="1968">
        <v>6409.58</v>
      </c>
      <c r="N34" s="1968">
        <v>427.31</v>
      </c>
      <c r="O34" s="1968">
        <v>18313</v>
      </c>
      <c r="P34" s="1968">
        <v>0</v>
      </c>
    </row>
    <row r="35" s="1962" customFormat="1" spans="1:16">
      <c r="A35" s="1968" t="s">
        <v>1836</v>
      </c>
      <c r="B35" s="1968" t="s">
        <v>1837</v>
      </c>
      <c r="C35" s="1968">
        <v>10245</v>
      </c>
      <c r="D35" s="1968">
        <v>15367.5</v>
      </c>
      <c r="E35" s="1968" t="s">
        <v>1686</v>
      </c>
      <c r="F35" s="1968" t="s">
        <v>1806</v>
      </c>
      <c r="G35" s="1968" t="s">
        <v>1838</v>
      </c>
      <c r="H35" s="1968" t="s">
        <v>1689</v>
      </c>
      <c r="I35" s="1968" t="s">
        <v>1830</v>
      </c>
      <c r="J35" s="1968" t="s">
        <v>1691</v>
      </c>
      <c r="K35" s="1968" t="s">
        <v>1839</v>
      </c>
      <c r="L35" s="1968">
        <v>1290</v>
      </c>
      <c r="M35" s="1968">
        <v>1259.15</v>
      </c>
      <c r="N35" s="1968">
        <v>83.94</v>
      </c>
      <c r="O35" s="1968">
        <v>839</v>
      </c>
      <c r="P35" s="1968">
        <v>4.88</v>
      </c>
    </row>
    <row r="36" s="1962" customFormat="1" spans="1:16">
      <c r="A36" s="1968" t="s">
        <v>1840</v>
      </c>
      <c r="B36" s="1968" t="s">
        <v>1841</v>
      </c>
      <c r="C36" s="1968">
        <v>49743</v>
      </c>
      <c r="D36" s="1968">
        <v>59691.6</v>
      </c>
      <c r="E36" s="1968" t="s">
        <v>1686</v>
      </c>
      <c r="F36" s="1968" t="s">
        <v>1806</v>
      </c>
      <c r="G36" s="1968" t="s">
        <v>1779</v>
      </c>
      <c r="H36" s="1968" t="s">
        <v>1689</v>
      </c>
      <c r="I36" s="1968" t="s">
        <v>1842</v>
      </c>
      <c r="J36" s="1968" t="s">
        <v>1691</v>
      </c>
      <c r="K36" s="1968" t="s">
        <v>1843</v>
      </c>
      <c r="L36" s="1968">
        <v>5900</v>
      </c>
      <c r="M36" s="1968">
        <v>1186.09</v>
      </c>
      <c r="N36" s="1968">
        <v>79.07</v>
      </c>
      <c r="O36" s="1968">
        <v>988</v>
      </c>
      <c r="P36" s="1968">
        <v>3.51</v>
      </c>
    </row>
    <row r="37" s="1962" customFormat="1" spans="1:16">
      <c r="A37" s="1968" t="s">
        <v>1844</v>
      </c>
      <c r="B37" s="1968" t="s">
        <v>1845</v>
      </c>
      <c r="C37" s="1968">
        <v>4650</v>
      </c>
      <c r="D37" s="1968">
        <v>6510</v>
      </c>
      <c r="E37" s="1968" t="s">
        <v>1686</v>
      </c>
      <c r="F37" s="1968" t="s">
        <v>1796</v>
      </c>
      <c r="G37" s="1968" t="s">
        <v>1846</v>
      </c>
      <c r="H37" s="1968" t="s">
        <v>1689</v>
      </c>
      <c r="I37" s="1968" t="s">
        <v>1842</v>
      </c>
      <c r="J37" s="1968" t="s">
        <v>1691</v>
      </c>
      <c r="K37" s="1968" t="s">
        <v>1847</v>
      </c>
      <c r="L37" s="1968">
        <v>410</v>
      </c>
      <c r="M37" s="1968">
        <v>881.72</v>
      </c>
      <c r="N37" s="1968">
        <v>58.78</v>
      </c>
      <c r="O37" s="1968">
        <v>630</v>
      </c>
      <c r="P37" s="1968">
        <v>2.5</v>
      </c>
    </row>
    <row r="38" s="1962" customFormat="1" spans="1:16">
      <c r="A38" s="1968" t="s">
        <v>1848</v>
      </c>
      <c r="B38" s="1968" t="s">
        <v>1849</v>
      </c>
      <c r="C38" s="1968">
        <v>2548</v>
      </c>
      <c r="D38" s="1968">
        <v>4331.6</v>
      </c>
      <c r="E38" s="1968" t="s">
        <v>1686</v>
      </c>
      <c r="F38" s="1968" t="s">
        <v>1700</v>
      </c>
      <c r="G38" s="1968" t="s">
        <v>1850</v>
      </c>
      <c r="H38" s="1968" t="s">
        <v>1689</v>
      </c>
      <c r="I38" s="1968" t="s">
        <v>1851</v>
      </c>
      <c r="J38" s="1968" t="s">
        <v>1691</v>
      </c>
      <c r="K38" s="1968" t="s">
        <v>1852</v>
      </c>
      <c r="L38" s="1968">
        <v>260</v>
      </c>
      <c r="M38" s="1968">
        <v>1020.4</v>
      </c>
      <c r="N38" s="1968">
        <v>68.03</v>
      </c>
      <c r="O38" s="1968">
        <v>600</v>
      </c>
      <c r="P38" s="1968">
        <v>18.18</v>
      </c>
    </row>
    <row r="39" s="1962" customFormat="1" spans="1:16">
      <c r="A39" s="1968" t="s">
        <v>1853</v>
      </c>
      <c r="B39" s="1968" t="s">
        <v>1854</v>
      </c>
      <c r="C39" s="1968">
        <v>14300</v>
      </c>
      <c r="D39" s="1968">
        <v>50050</v>
      </c>
      <c r="E39" s="1968" t="s">
        <v>1686</v>
      </c>
      <c r="F39" s="1968" t="s">
        <v>1806</v>
      </c>
      <c r="G39" s="1968" t="s">
        <v>1855</v>
      </c>
      <c r="H39" s="1968" t="s">
        <v>1689</v>
      </c>
      <c r="I39" s="1968" t="s">
        <v>1856</v>
      </c>
      <c r="J39" s="1968" t="s">
        <v>1691</v>
      </c>
      <c r="K39" s="1968" t="s">
        <v>1857</v>
      </c>
      <c r="L39" s="1968">
        <v>2990</v>
      </c>
      <c r="M39" s="1968">
        <v>2090.9</v>
      </c>
      <c r="N39" s="1968">
        <v>139.39</v>
      </c>
      <c r="O39" s="1968">
        <v>597</v>
      </c>
      <c r="P39" s="1968">
        <v>2.05</v>
      </c>
    </row>
    <row r="40" s="1962" customFormat="1" spans="1:16">
      <c r="A40" s="1968" t="s">
        <v>1858</v>
      </c>
      <c r="B40" s="1968" t="s">
        <v>1859</v>
      </c>
      <c r="C40" s="1968">
        <v>33897</v>
      </c>
      <c r="D40" s="1968">
        <v>101691</v>
      </c>
      <c r="E40" s="1968" t="s">
        <v>1709</v>
      </c>
      <c r="F40" s="1968" t="s">
        <v>1860</v>
      </c>
      <c r="G40" s="1968" t="s">
        <v>1861</v>
      </c>
      <c r="H40" s="1968" t="s">
        <v>1689</v>
      </c>
      <c r="I40" s="1968" t="s">
        <v>1862</v>
      </c>
      <c r="J40" s="1968" t="s">
        <v>1691</v>
      </c>
      <c r="K40" s="1968" t="s">
        <v>1863</v>
      </c>
      <c r="L40" s="1968">
        <v>6500</v>
      </c>
      <c r="M40" s="1968">
        <v>1917.57</v>
      </c>
      <c r="N40" s="1968">
        <v>127.84</v>
      </c>
      <c r="O40" s="1968">
        <v>639</v>
      </c>
      <c r="P40" s="1968">
        <v>4.84</v>
      </c>
    </row>
    <row r="41" s="1962" customFormat="1" spans="1:16">
      <c r="A41" s="1968" t="s">
        <v>1864</v>
      </c>
      <c r="B41" s="1968" t="s">
        <v>1865</v>
      </c>
      <c r="C41" s="1968">
        <v>19677</v>
      </c>
      <c r="D41" s="1968">
        <v>23612.4</v>
      </c>
      <c r="E41" s="1968" t="s">
        <v>1686</v>
      </c>
      <c r="F41" s="1968" t="s">
        <v>1866</v>
      </c>
      <c r="G41" s="1968" t="s">
        <v>1867</v>
      </c>
      <c r="H41" s="1968" t="s">
        <v>1689</v>
      </c>
      <c r="I41" s="1968" t="s">
        <v>1868</v>
      </c>
      <c r="J41" s="1968" t="s">
        <v>1691</v>
      </c>
      <c r="K41" s="1968" t="s">
        <v>1869</v>
      </c>
      <c r="L41" s="1968">
        <v>2230</v>
      </c>
      <c r="M41" s="1968">
        <v>1133.3</v>
      </c>
      <c r="N41" s="1968">
        <v>75.55</v>
      </c>
      <c r="O41" s="1968">
        <v>944</v>
      </c>
      <c r="P41" s="1968">
        <v>0.9</v>
      </c>
    </row>
    <row r="42" s="1962" customFormat="1" spans="1:16">
      <c r="A42" s="1968" t="s">
        <v>1870</v>
      </c>
      <c r="B42" s="1968" t="s">
        <v>1871</v>
      </c>
      <c r="C42" s="1968">
        <v>23040</v>
      </c>
      <c r="D42" s="1968">
        <v>82967.04</v>
      </c>
      <c r="E42" s="1968" t="s">
        <v>1686</v>
      </c>
      <c r="F42" s="1968" t="s">
        <v>1872</v>
      </c>
      <c r="G42" s="1968" t="s">
        <v>1873</v>
      </c>
      <c r="H42" s="1968" t="s">
        <v>1689</v>
      </c>
      <c r="I42" s="1968" t="s">
        <v>1874</v>
      </c>
      <c r="J42" s="1968" t="s">
        <v>1691</v>
      </c>
      <c r="K42" s="1968" t="s">
        <v>1875</v>
      </c>
      <c r="L42" s="1968">
        <v>3700</v>
      </c>
      <c r="M42" s="1968">
        <v>1605.9</v>
      </c>
      <c r="N42" s="1968">
        <v>107.06</v>
      </c>
      <c r="O42" s="1968">
        <v>446</v>
      </c>
      <c r="P42" s="1968">
        <v>1.65</v>
      </c>
    </row>
    <row r="43" s="1962" customFormat="1" spans="1:16">
      <c r="A43" s="1968" t="s">
        <v>1876</v>
      </c>
      <c r="B43" s="1968" t="s">
        <v>1877</v>
      </c>
      <c r="C43" s="1968">
        <v>21297</v>
      </c>
      <c r="D43" s="1968">
        <v>62016.86</v>
      </c>
      <c r="E43" s="1968" t="s">
        <v>1686</v>
      </c>
      <c r="F43" s="1968" t="s">
        <v>549</v>
      </c>
      <c r="G43" s="1968" t="s">
        <v>1878</v>
      </c>
      <c r="H43" s="1968" t="s">
        <v>1689</v>
      </c>
      <c r="I43" s="1968" t="s">
        <v>1879</v>
      </c>
      <c r="J43" s="1968" t="s">
        <v>1691</v>
      </c>
      <c r="K43" s="1968" t="s">
        <v>1880</v>
      </c>
      <c r="L43" s="1968">
        <v>2560</v>
      </c>
      <c r="M43" s="1968">
        <v>1202.04</v>
      </c>
      <c r="N43" s="1968">
        <v>80.14</v>
      </c>
      <c r="O43" s="1968">
        <v>413</v>
      </c>
      <c r="P43" s="1968">
        <v>4.07</v>
      </c>
    </row>
    <row r="44" s="1962" customFormat="1" spans="1:16">
      <c r="A44" s="1968" t="s">
        <v>1881</v>
      </c>
      <c r="B44" s="1968" t="s">
        <v>1882</v>
      </c>
      <c r="C44" s="1968">
        <v>34837</v>
      </c>
      <c r="D44" s="1968">
        <v>87336.36</v>
      </c>
      <c r="E44" s="1968" t="s">
        <v>1709</v>
      </c>
      <c r="F44" s="1968" t="s">
        <v>1883</v>
      </c>
      <c r="G44" s="1968" t="s">
        <v>1884</v>
      </c>
      <c r="H44" s="1968" t="s">
        <v>1689</v>
      </c>
      <c r="I44" s="1968" t="s">
        <v>1885</v>
      </c>
      <c r="J44" s="1968" t="s">
        <v>1691</v>
      </c>
      <c r="K44" s="1968" t="s">
        <v>1886</v>
      </c>
      <c r="L44" s="1968">
        <v>3450</v>
      </c>
      <c r="M44" s="1968">
        <v>990.32</v>
      </c>
      <c r="N44" s="1968">
        <v>66.02</v>
      </c>
      <c r="O44" s="1968">
        <v>395</v>
      </c>
      <c r="P44" s="1968">
        <v>2.99</v>
      </c>
    </row>
    <row r="45" s="1962" customFormat="1" spans="1:16">
      <c r="A45" s="1968" t="s">
        <v>1887</v>
      </c>
      <c r="B45" s="1968" t="s">
        <v>1888</v>
      </c>
      <c r="C45" s="1968">
        <v>66522</v>
      </c>
      <c r="D45" s="1968">
        <v>200630.35</v>
      </c>
      <c r="E45" s="1968" t="s">
        <v>1686</v>
      </c>
      <c r="F45" s="1968" t="s">
        <v>549</v>
      </c>
      <c r="G45" s="1968" t="s">
        <v>1889</v>
      </c>
      <c r="H45" s="1968" t="s">
        <v>1689</v>
      </c>
      <c r="I45" s="1968" t="s">
        <v>1890</v>
      </c>
      <c r="J45" s="1968" t="s">
        <v>1691</v>
      </c>
      <c r="K45" s="1968" t="s">
        <v>1891</v>
      </c>
      <c r="L45" s="1968">
        <v>6300</v>
      </c>
      <c r="M45" s="1968">
        <v>947.05</v>
      </c>
      <c r="N45" s="1968">
        <v>63.14</v>
      </c>
      <c r="O45" s="1968">
        <v>314</v>
      </c>
      <c r="P45" s="1968">
        <v>1.61</v>
      </c>
    </row>
    <row r="46" s="1962" customFormat="1" spans="1:16">
      <c r="A46" s="1968" t="s">
        <v>1892</v>
      </c>
      <c r="B46" s="1968" t="s">
        <v>1893</v>
      </c>
      <c r="C46" s="1968">
        <v>62264</v>
      </c>
      <c r="D46" s="1968">
        <v>99622.4</v>
      </c>
      <c r="E46" s="1968" t="s">
        <v>1709</v>
      </c>
      <c r="F46" s="1968" t="s">
        <v>1894</v>
      </c>
      <c r="G46" s="1968" t="s">
        <v>1895</v>
      </c>
      <c r="H46" s="1968" t="s">
        <v>1689</v>
      </c>
      <c r="I46" s="1968" t="s">
        <v>1896</v>
      </c>
      <c r="J46" s="1968" t="s">
        <v>1691</v>
      </c>
      <c r="K46" s="1968" t="s">
        <v>1897</v>
      </c>
      <c r="L46" s="1968">
        <v>6300</v>
      </c>
      <c r="M46" s="1968">
        <v>1011.82</v>
      </c>
      <c r="N46" s="1968">
        <v>67.45</v>
      </c>
      <c r="O46" s="1968">
        <v>632</v>
      </c>
      <c r="P46" s="1968">
        <v>6.78</v>
      </c>
    </row>
    <row r="47" s="1962" customFormat="1" spans="1:16">
      <c r="A47" s="1968" t="s">
        <v>1898</v>
      </c>
      <c r="B47" s="1968" t="s">
        <v>1899</v>
      </c>
      <c r="C47" s="1968">
        <v>42695</v>
      </c>
      <c r="D47" s="1968">
        <v>64042.5</v>
      </c>
      <c r="E47" s="1968" t="s">
        <v>1709</v>
      </c>
      <c r="F47" s="1968" t="s">
        <v>1860</v>
      </c>
      <c r="G47" s="1968" t="s">
        <v>1900</v>
      </c>
      <c r="H47" s="1968" t="s">
        <v>1689</v>
      </c>
      <c r="I47" s="1968" t="s">
        <v>1901</v>
      </c>
      <c r="J47" s="1968" t="s">
        <v>1691</v>
      </c>
      <c r="K47" s="1968" t="s">
        <v>1902</v>
      </c>
      <c r="L47" s="1968">
        <v>3530</v>
      </c>
      <c r="M47" s="1968">
        <v>826.79</v>
      </c>
      <c r="N47" s="1968">
        <v>55.12</v>
      </c>
      <c r="O47" s="1968">
        <v>551</v>
      </c>
      <c r="P47" s="1968">
        <v>6.01</v>
      </c>
    </row>
    <row r="48" s="1962" customFormat="1" spans="1:16">
      <c r="A48" s="1968" t="s">
        <v>1903</v>
      </c>
      <c r="B48" s="1968" t="s">
        <v>1904</v>
      </c>
      <c r="C48" s="1968">
        <v>13929</v>
      </c>
      <c r="D48" s="1968">
        <v>16714.8</v>
      </c>
      <c r="E48" s="1968" t="s">
        <v>1686</v>
      </c>
      <c r="F48" s="1968" t="s">
        <v>1905</v>
      </c>
      <c r="G48" s="1968" t="s">
        <v>1906</v>
      </c>
      <c r="H48" s="1968" t="s">
        <v>1689</v>
      </c>
      <c r="I48" s="1968" t="s">
        <v>1907</v>
      </c>
      <c r="J48" s="1968" t="s">
        <v>1691</v>
      </c>
      <c r="K48" s="1968" t="s">
        <v>1908</v>
      </c>
      <c r="L48" s="1968">
        <v>2000</v>
      </c>
      <c r="M48" s="1968">
        <v>1435.85</v>
      </c>
      <c r="N48" s="1968">
        <v>95.72</v>
      </c>
      <c r="O48" s="1968">
        <v>1197</v>
      </c>
      <c r="P48" s="1968">
        <v>17.65</v>
      </c>
    </row>
    <row r="49" s="1962" customFormat="1" spans="1:16">
      <c r="A49" s="1968" t="s">
        <v>1909</v>
      </c>
      <c r="B49" s="1968" t="s">
        <v>1910</v>
      </c>
      <c r="C49" s="1968">
        <v>9600</v>
      </c>
      <c r="D49" s="1968">
        <v>11520</v>
      </c>
      <c r="E49" s="1968" t="s">
        <v>1709</v>
      </c>
      <c r="F49" s="1968" t="s">
        <v>1883</v>
      </c>
      <c r="G49" s="1968" t="s">
        <v>1911</v>
      </c>
      <c r="H49" s="1968" t="s">
        <v>1689</v>
      </c>
      <c r="I49" s="1968" t="s">
        <v>1912</v>
      </c>
      <c r="J49" s="1968" t="s">
        <v>1691</v>
      </c>
      <c r="K49" s="1968" t="s">
        <v>1913</v>
      </c>
      <c r="L49" s="1968">
        <v>620</v>
      </c>
      <c r="M49" s="1968">
        <v>645.83</v>
      </c>
      <c r="N49" s="1968">
        <v>43.06</v>
      </c>
      <c r="O49" s="1968">
        <v>538</v>
      </c>
      <c r="P49" s="1968">
        <v>6.9</v>
      </c>
    </row>
    <row r="50" s="1962" customFormat="1" spans="1:16">
      <c r="A50" s="1968" t="s">
        <v>1914</v>
      </c>
      <c r="B50" s="1968" t="s">
        <v>1915</v>
      </c>
      <c r="C50" s="1968">
        <v>57340</v>
      </c>
      <c r="D50" s="1968">
        <v>111296.94</v>
      </c>
      <c r="E50" s="1968" t="s">
        <v>1686</v>
      </c>
      <c r="F50" s="1968" t="s">
        <v>549</v>
      </c>
      <c r="G50" s="1968" t="s">
        <v>1916</v>
      </c>
      <c r="H50" s="1968" t="s">
        <v>1689</v>
      </c>
      <c r="I50" s="1968" t="s">
        <v>1917</v>
      </c>
      <c r="J50" s="1968" t="s">
        <v>1691</v>
      </c>
      <c r="K50" s="1968" t="s">
        <v>1918</v>
      </c>
      <c r="L50" s="1968">
        <v>9100</v>
      </c>
      <c r="M50" s="1968">
        <v>1587.02</v>
      </c>
      <c r="N50" s="1968">
        <v>105.8</v>
      </c>
      <c r="O50" s="1968">
        <v>818</v>
      </c>
      <c r="P50" s="1968">
        <v>51.67</v>
      </c>
    </row>
    <row r="51" s="1962" customFormat="1" spans="1:16">
      <c r="A51" s="1968" t="s">
        <v>1919</v>
      </c>
      <c r="B51" s="1968" t="s">
        <v>1920</v>
      </c>
      <c r="C51" s="1968">
        <v>54296</v>
      </c>
      <c r="D51" s="1968">
        <v>108592</v>
      </c>
      <c r="E51" s="1968" t="s">
        <v>1709</v>
      </c>
      <c r="F51" s="1968" t="s">
        <v>1860</v>
      </c>
      <c r="G51" s="1968" t="s">
        <v>1921</v>
      </c>
      <c r="H51" s="1968" t="s">
        <v>1689</v>
      </c>
      <c r="I51" s="1968" t="s">
        <v>1922</v>
      </c>
      <c r="J51" s="1968" t="s">
        <v>1691</v>
      </c>
      <c r="K51" s="1968" t="s">
        <v>1923</v>
      </c>
      <c r="L51" s="1968">
        <v>5130</v>
      </c>
      <c r="M51" s="1968">
        <v>944.82</v>
      </c>
      <c r="N51" s="1968">
        <v>62.99</v>
      </c>
      <c r="O51" s="1968">
        <v>472</v>
      </c>
      <c r="P51" s="1968">
        <v>5.12</v>
      </c>
    </row>
    <row r="52" s="1962" customFormat="1" spans="1:16">
      <c r="A52" s="1968" t="s">
        <v>1924</v>
      </c>
      <c r="B52" s="1968" t="s">
        <v>1925</v>
      </c>
      <c r="C52" s="1968">
        <v>72883</v>
      </c>
      <c r="D52" s="1968">
        <v>131189.4</v>
      </c>
      <c r="E52" s="1968" t="s">
        <v>1709</v>
      </c>
      <c r="F52" s="1968" t="s">
        <v>1883</v>
      </c>
      <c r="G52" s="1968" t="s">
        <v>1926</v>
      </c>
      <c r="H52" s="1968" t="s">
        <v>1689</v>
      </c>
      <c r="I52" s="1968" t="s">
        <v>1927</v>
      </c>
      <c r="J52" s="1968" t="s">
        <v>1691</v>
      </c>
      <c r="K52" s="1968" t="s">
        <v>1928</v>
      </c>
      <c r="L52" s="1968">
        <v>5600</v>
      </c>
      <c r="M52" s="1968">
        <v>768.35</v>
      </c>
      <c r="N52" s="1968">
        <v>51.22</v>
      </c>
      <c r="O52" s="1968">
        <v>427</v>
      </c>
      <c r="P52" s="1968">
        <v>3.7</v>
      </c>
    </row>
    <row r="53" s="1962" customFormat="1" spans="1:16">
      <c r="A53" s="1968" t="s">
        <v>1929</v>
      </c>
      <c r="B53" s="1968" t="s">
        <v>1930</v>
      </c>
      <c r="C53" s="1968">
        <v>127400</v>
      </c>
      <c r="D53" s="1968">
        <v>59368.4</v>
      </c>
      <c r="E53" s="1968" t="s">
        <v>1686</v>
      </c>
      <c r="F53" s="1968" t="s">
        <v>549</v>
      </c>
      <c r="G53" s="1968" t="s">
        <v>1931</v>
      </c>
      <c r="H53" s="1968" t="s">
        <v>1689</v>
      </c>
      <c r="I53" s="1968" t="s">
        <v>1890</v>
      </c>
      <c r="J53" s="1968" t="s">
        <v>1691</v>
      </c>
      <c r="K53" s="1968" t="s">
        <v>1875</v>
      </c>
      <c r="L53" s="1968">
        <v>6800</v>
      </c>
      <c r="M53" s="1968">
        <v>533.75</v>
      </c>
      <c r="N53" s="1968">
        <v>35.58</v>
      </c>
      <c r="O53" s="1968">
        <v>1145</v>
      </c>
      <c r="P53" s="1968">
        <v>1.49</v>
      </c>
    </row>
    <row r="54" s="1962" customFormat="1" spans="1:16">
      <c r="A54" s="1968" t="s">
        <v>1932</v>
      </c>
      <c r="B54" s="1968" t="s">
        <v>1933</v>
      </c>
      <c r="C54" s="1968">
        <v>101850</v>
      </c>
      <c r="D54" s="1968">
        <v>152775</v>
      </c>
      <c r="E54" s="1968" t="s">
        <v>1709</v>
      </c>
      <c r="F54" s="1968" t="s">
        <v>1860</v>
      </c>
      <c r="G54" s="1968" t="s">
        <v>1934</v>
      </c>
      <c r="H54" s="1968" t="s">
        <v>1689</v>
      </c>
      <c r="I54" s="1968" t="s">
        <v>1907</v>
      </c>
      <c r="J54" s="1968" t="s">
        <v>1691</v>
      </c>
      <c r="K54" s="1968" t="s">
        <v>1869</v>
      </c>
      <c r="L54" s="1968">
        <v>6100</v>
      </c>
      <c r="M54" s="1968">
        <v>598.92</v>
      </c>
      <c r="N54" s="1968">
        <v>39.93</v>
      </c>
      <c r="O54" s="1968">
        <v>399</v>
      </c>
      <c r="P54" s="1968">
        <v>1.67</v>
      </c>
    </row>
    <row r="55" s="1962" customFormat="1" spans="1:16">
      <c r="A55" s="1968" t="s">
        <v>1935</v>
      </c>
      <c r="B55" s="1968" t="s">
        <v>1936</v>
      </c>
      <c r="C55" s="1968">
        <v>43588</v>
      </c>
      <c r="D55" s="1968">
        <v>108970</v>
      </c>
      <c r="E55" s="1968" t="s">
        <v>1709</v>
      </c>
      <c r="F55" s="1968" t="s">
        <v>1883</v>
      </c>
      <c r="G55" s="1968" t="s">
        <v>1937</v>
      </c>
      <c r="H55" s="1968" t="s">
        <v>1689</v>
      </c>
      <c r="I55" s="1968" t="s">
        <v>1938</v>
      </c>
      <c r="J55" s="1968" t="s">
        <v>1691</v>
      </c>
      <c r="K55" s="1968" t="s">
        <v>1939</v>
      </c>
      <c r="L55" s="1968">
        <v>9900</v>
      </c>
      <c r="M55" s="1968">
        <v>2271.26</v>
      </c>
      <c r="N55" s="1968">
        <v>151.42</v>
      </c>
      <c r="O55" s="1968">
        <v>909</v>
      </c>
      <c r="P55" s="1968">
        <v>3.13</v>
      </c>
    </row>
    <row r="56" s="1962" customFormat="1" spans="1:16">
      <c r="A56" s="1968" t="s">
        <v>1940</v>
      </c>
      <c r="B56" s="1968" t="s">
        <v>1941</v>
      </c>
      <c r="C56" s="1968">
        <v>40032</v>
      </c>
      <c r="D56" s="1968">
        <v>120096</v>
      </c>
      <c r="E56" s="1968" t="s">
        <v>1709</v>
      </c>
      <c r="F56" s="1968" t="s">
        <v>1942</v>
      </c>
      <c r="G56" s="1968" t="s">
        <v>1943</v>
      </c>
      <c r="H56" s="1968" t="s">
        <v>1689</v>
      </c>
      <c r="I56" s="1968" t="s">
        <v>1944</v>
      </c>
      <c r="J56" s="1968" t="s">
        <v>1691</v>
      </c>
      <c r="K56" s="1968" t="s">
        <v>1945</v>
      </c>
      <c r="L56" s="1968">
        <v>10500</v>
      </c>
      <c r="M56" s="1968">
        <v>2622.9</v>
      </c>
      <c r="N56" s="1968">
        <v>174.86</v>
      </c>
      <c r="O56" s="1968">
        <v>874</v>
      </c>
      <c r="P56" s="1968">
        <v>7.14</v>
      </c>
    </row>
    <row r="57" spans="1:1">
      <c r="A57" s="1967" t="s">
        <v>1946</v>
      </c>
    </row>
    <row r="58" s="1963" customFormat="1" ht="15" spans="1:17">
      <c r="A58" s="1968" t="s">
        <v>1668</v>
      </c>
      <c r="B58" s="1968" t="s">
        <v>1669</v>
      </c>
      <c r="C58" s="1968" t="s">
        <v>1670</v>
      </c>
      <c r="D58" s="1968" t="s">
        <v>1671</v>
      </c>
      <c r="E58" s="1968" t="s">
        <v>1672</v>
      </c>
      <c r="F58" s="1968" t="s">
        <v>1673</v>
      </c>
      <c r="G58" s="1968" t="s">
        <v>1674</v>
      </c>
      <c r="H58" s="1968" t="s">
        <v>1675</v>
      </c>
      <c r="I58" s="1968" t="s">
        <v>1676</v>
      </c>
      <c r="J58" s="1968" t="s">
        <v>1677</v>
      </c>
      <c r="K58" s="1968" t="s">
        <v>1678</v>
      </c>
      <c r="L58" s="1968" t="s">
        <v>1679</v>
      </c>
      <c r="M58" s="1968" t="s">
        <v>1680</v>
      </c>
      <c r="N58" s="1968" t="s">
        <v>1681</v>
      </c>
      <c r="O58" s="1968" t="s">
        <v>1682</v>
      </c>
      <c r="P58" s="1968" t="s">
        <v>1683</v>
      </c>
      <c r="Q58" s="1968" t="s">
        <v>1947</v>
      </c>
    </row>
    <row r="59" s="1963" customFormat="1" ht="15" spans="1:17">
      <c r="A59" s="1968" t="s">
        <v>1684</v>
      </c>
      <c r="B59" s="1968" t="s">
        <v>1685</v>
      </c>
      <c r="C59" s="1968">
        <v>15533</v>
      </c>
      <c r="D59" s="1968">
        <v>27959</v>
      </c>
      <c r="E59" s="1968" t="s">
        <v>1686</v>
      </c>
      <c r="F59" s="1968" t="s">
        <v>1687</v>
      </c>
      <c r="G59" s="1968" t="s">
        <v>1688</v>
      </c>
      <c r="H59" s="1968" t="s">
        <v>1689</v>
      </c>
      <c r="I59" s="1968" t="s">
        <v>1690</v>
      </c>
      <c r="J59" s="1968" t="s">
        <v>1691</v>
      </c>
      <c r="K59" s="1968" t="s">
        <v>1692</v>
      </c>
      <c r="L59" s="1968">
        <v>12100</v>
      </c>
      <c r="M59" s="1968">
        <v>7789.86</v>
      </c>
      <c r="N59" s="1968">
        <v>519.32</v>
      </c>
      <c r="O59" s="1968">
        <v>4328</v>
      </c>
      <c r="P59" s="1968">
        <v>49.38</v>
      </c>
      <c r="Q59" s="1968" t="s">
        <v>1948</v>
      </c>
    </row>
    <row r="60" s="1963" customFormat="1" ht="15" spans="1:17">
      <c r="A60" s="1968" t="s">
        <v>1693</v>
      </c>
      <c r="B60" s="1968" t="s">
        <v>1694</v>
      </c>
      <c r="C60" s="1968">
        <v>16789</v>
      </c>
      <c r="D60" s="1968">
        <v>26390.46</v>
      </c>
      <c r="E60" s="1968" t="s">
        <v>1686</v>
      </c>
      <c r="F60" s="1968" t="s">
        <v>1695</v>
      </c>
      <c r="G60" s="1968" t="s">
        <v>1696</v>
      </c>
      <c r="H60" s="1968" t="s">
        <v>1689</v>
      </c>
      <c r="I60" s="1968" t="s">
        <v>1690</v>
      </c>
      <c r="J60" s="1968" t="s">
        <v>1691</v>
      </c>
      <c r="K60" s="1968" t="s">
        <v>1697</v>
      </c>
      <c r="L60" s="1968">
        <v>5200</v>
      </c>
      <c r="M60" s="1968">
        <v>3097.26</v>
      </c>
      <c r="N60" s="1968">
        <v>206.48</v>
      </c>
      <c r="O60" s="1968">
        <v>1970</v>
      </c>
      <c r="P60" s="1968">
        <v>1.96</v>
      </c>
      <c r="Q60" s="1968" t="s">
        <v>1949</v>
      </c>
    </row>
    <row r="61" s="1963" customFormat="1" ht="15" spans="1:17">
      <c r="A61" s="1968" t="s">
        <v>1698</v>
      </c>
      <c r="B61" s="1968" t="s">
        <v>1699</v>
      </c>
      <c r="C61" s="1968">
        <v>15098</v>
      </c>
      <c r="D61" s="1968">
        <v>15314.42</v>
      </c>
      <c r="E61" s="1968" t="s">
        <v>1686</v>
      </c>
      <c r="F61" s="1968" t="s">
        <v>1700</v>
      </c>
      <c r="G61" s="1968" t="s">
        <v>1701</v>
      </c>
      <c r="H61" s="1968" t="s">
        <v>1689</v>
      </c>
      <c r="I61" s="1968" t="s">
        <v>1690</v>
      </c>
      <c r="J61" s="1968" t="s">
        <v>1691</v>
      </c>
      <c r="K61" s="1968" t="s">
        <v>1702</v>
      </c>
      <c r="L61" s="1968">
        <v>14000</v>
      </c>
      <c r="M61" s="1968">
        <v>9272.75</v>
      </c>
      <c r="N61" s="1968">
        <v>618.18</v>
      </c>
      <c r="O61" s="1968">
        <v>9142</v>
      </c>
      <c r="P61" s="1968">
        <v>1.45</v>
      </c>
      <c r="Q61" s="1968" t="s">
        <v>1948</v>
      </c>
    </row>
    <row r="62" s="1963" customFormat="1" ht="15" spans="1:17">
      <c r="A62" s="1968" t="s">
        <v>1703</v>
      </c>
      <c r="B62" s="1968" t="s">
        <v>1704</v>
      </c>
      <c r="C62" s="1968">
        <v>22594</v>
      </c>
      <c r="D62" s="1968">
        <v>90376</v>
      </c>
      <c r="E62" s="1968" t="s">
        <v>1686</v>
      </c>
      <c r="F62" s="1968" t="s">
        <v>1687</v>
      </c>
      <c r="G62" s="1968" t="s">
        <v>1705</v>
      </c>
      <c r="H62" s="1968" t="s">
        <v>1689</v>
      </c>
      <c r="I62" s="1968" t="s">
        <v>1690</v>
      </c>
      <c r="J62" s="1968" t="s">
        <v>1691</v>
      </c>
      <c r="K62" s="1968" t="s">
        <v>1706</v>
      </c>
      <c r="L62" s="1968">
        <v>27200</v>
      </c>
      <c r="M62" s="1968">
        <v>12038.59</v>
      </c>
      <c r="N62" s="1968">
        <v>802.57</v>
      </c>
      <c r="O62" s="1968">
        <v>3010</v>
      </c>
      <c r="P62" s="1968">
        <v>49.45</v>
      </c>
      <c r="Q62" s="1968" t="s">
        <v>1949</v>
      </c>
    </row>
    <row r="63" s="1963" customFormat="1" ht="15" spans="1:17">
      <c r="A63" s="1968" t="s">
        <v>1707</v>
      </c>
      <c r="B63" s="1968" t="s">
        <v>1708</v>
      </c>
      <c r="C63" s="1968">
        <v>108919</v>
      </c>
      <c r="D63" s="1968">
        <v>199808</v>
      </c>
      <c r="E63" s="1968" t="s">
        <v>1709</v>
      </c>
      <c r="F63" s="1968" t="s">
        <v>1710</v>
      </c>
      <c r="G63" s="1968" t="s">
        <v>1711</v>
      </c>
      <c r="H63" s="1968" t="s">
        <v>1689</v>
      </c>
      <c r="I63" s="1968" t="s">
        <v>1712</v>
      </c>
      <c r="J63" s="1968" t="s">
        <v>1691</v>
      </c>
      <c r="K63" s="1968" t="s">
        <v>1692</v>
      </c>
      <c r="L63" s="1968">
        <v>97500</v>
      </c>
      <c r="M63" s="1968">
        <v>8951.6</v>
      </c>
      <c r="N63" s="1968">
        <v>596.77</v>
      </c>
      <c r="O63" s="1968">
        <v>4880</v>
      </c>
      <c r="P63" s="1968">
        <v>28.12</v>
      </c>
      <c r="Q63" s="1968" t="s">
        <v>1948</v>
      </c>
    </row>
    <row r="64" s="1963" customFormat="1" ht="15" spans="1:17">
      <c r="A64" s="1968" t="s">
        <v>1713</v>
      </c>
      <c r="B64" s="1968" t="s">
        <v>1714</v>
      </c>
      <c r="C64" s="1968">
        <v>57816</v>
      </c>
      <c r="D64" s="1968">
        <v>109295</v>
      </c>
      <c r="E64" s="1968" t="s">
        <v>1709</v>
      </c>
      <c r="F64" s="1968" t="s">
        <v>1710</v>
      </c>
      <c r="G64" s="1968" t="s">
        <v>1715</v>
      </c>
      <c r="H64" s="1968" t="s">
        <v>1689</v>
      </c>
      <c r="I64" s="1968" t="s">
        <v>1716</v>
      </c>
      <c r="J64" s="1968" t="s">
        <v>1691</v>
      </c>
      <c r="K64" s="1968" t="s">
        <v>1717</v>
      </c>
      <c r="L64" s="1968">
        <v>57000</v>
      </c>
      <c r="M64" s="1968">
        <v>9858.86</v>
      </c>
      <c r="N64" s="1968">
        <v>657.26</v>
      </c>
      <c r="O64" s="1968">
        <v>5215</v>
      </c>
      <c r="P64" s="1968">
        <v>49.21</v>
      </c>
      <c r="Q64" s="1968" t="s">
        <v>1948</v>
      </c>
    </row>
    <row r="65" s="1963" customFormat="1" ht="15" spans="1:17">
      <c r="A65" s="1968" t="s">
        <v>1718</v>
      </c>
      <c r="B65" s="1968" t="s">
        <v>1719</v>
      </c>
      <c r="C65" s="1968">
        <v>30462</v>
      </c>
      <c r="D65" s="1968">
        <v>48092</v>
      </c>
      <c r="E65" s="1968" t="s">
        <v>1709</v>
      </c>
      <c r="F65" s="1968" t="s">
        <v>1710</v>
      </c>
      <c r="G65" s="1968" t="s">
        <v>1720</v>
      </c>
      <c r="H65" s="1968" t="s">
        <v>1689</v>
      </c>
      <c r="I65" s="1968" t="s">
        <v>1716</v>
      </c>
      <c r="J65" s="1968" t="s">
        <v>1691</v>
      </c>
      <c r="K65" s="1968" t="s">
        <v>1717</v>
      </c>
      <c r="L65" s="1968">
        <v>26900</v>
      </c>
      <c r="M65" s="1968">
        <v>8830.67</v>
      </c>
      <c r="N65" s="1968">
        <v>588.71</v>
      </c>
      <c r="O65" s="1968">
        <v>5593</v>
      </c>
      <c r="P65" s="1968">
        <v>48.62</v>
      </c>
      <c r="Q65" s="1968" t="s">
        <v>1948</v>
      </c>
    </row>
    <row r="66" s="1963" customFormat="1" ht="15" spans="1:17">
      <c r="A66" s="1968" t="s">
        <v>1721</v>
      </c>
      <c r="B66" s="1968" t="s">
        <v>1722</v>
      </c>
      <c r="C66" s="1968">
        <v>5092</v>
      </c>
      <c r="D66" s="1968">
        <v>7638</v>
      </c>
      <c r="E66" s="1968" t="s">
        <v>1709</v>
      </c>
      <c r="F66" s="1968" t="s">
        <v>1723</v>
      </c>
      <c r="G66" s="1968" t="s">
        <v>1724</v>
      </c>
      <c r="H66" s="1968" t="s">
        <v>1689</v>
      </c>
      <c r="I66" s="1968" t="s">
        <v>1725</v>
      </c>
      <c r="J66" s="1968" t="s">
        <v>1691</v>
      </c>
      <c r="K66" s="1968" t="s">
        <v>1726</v>
      </c>
      <c r="L66" s="1968">
        <v>3300</v>
      </c>
      <c r="M66" s="1968">
        <v>6480.75</v>
      </c>
      <c r="N66" s="1968">
        <v>432.05</v>
      </c>
      <c r="O66" s="1968">
        <v>4321</v>
      </c>
      <c r="P66" s="1968">
        <v>6.45</v>
      </c>
      <c r="Q66" s="1968" t="s">
        <v>1949</v>
      </c>
    </row>
    <row r="67" s="1963" customFormat="1" ht="15" spans="1:17">
      <c r="A67" s="1968" t="s">
        <v>1727</v>
      </c>
      <c r="B67" s="1968" t="s">
        <v>1728</v>
      </c>
      <c r="C67" s="1968">
        <v>115868</v>
      </c>
      <c r="D67" s="1968">
        <v>213197.12</v>
      </c>
      <c r="E67" s="1968" t="s">
        <v>1709</v>
      </c>
      <c r="F67" s="1968" t="s">
        <v>1729</v>
      </c>
      <c r="G67" s="1968" t="s">
        <v>1730</v>
      </c>
      <c r="H67" s="1968" t="s">
        <v>1689</v>
      </c>
      <c r="I67" s="1968" t="s">
        <v>1731</v>
      </c>
      <c r="J67" s="1968" t="s">
        <v>1691</v>
      </c>
      <c r="K67" s="1968" t="s">
        <v>1732</v>
      </c>
      <c r="L67" s="1968">
        <v>105800</v>
      </c>
      <c r="M67" s="1968">
        <v>9131.08</v>
      </c>
      <c r="N67" s="1968">
        <v>608.74</v>
      </c>
      <c r="O67" s="1968">
        <v>4963</v>
      </c>
      <c r="P67" s="1968">
        <v>0.38</v>
      </c>
      <c r="Q67" s="1968" t="s">
        <v>1948</v>
      </c>
    </row>
    <row r="68" s="1963" customFormat="1" ht="15" spans="1:17">
      <c r="A68" s="1968" t="s">
        <v>1733</v>
      </c>
      <c r="B68" s="1968" t="s">
        <v>1734</v>
      </c>
      <c r="C68" s="1968">
        <v>15150</v>
      </c>
      <c r="D68" s="1968">
        <v>53025</v>
      </c>
      <c r="E68" s="1968" t="s">
        <v>1709</v>
      </c>
      <c r="F68" s="1968" t="s">
        <v>1729</v>
      </c>
      <c r="G68" s="1968" t="s">
        <v>1735</v>
      </c>
      <c r="H68" s="1968" t="s">
        <v>1689</v>
      </c>
      <c r="I68" s="1968" t="s">
        <v>1736</v>
      </c>
      <c r="J68" s="1968" t="s">
        <v>1691</v>
      </c>
      <c r="K68" s="1968" t="s">
        <v>1737</v>
      </c>
      <c r="L68" s="1968">
        <v>8100</v>
      </c>
      <c r="M68" s="1968">
        <v>5346.53</v>
      </c>
      <c r="N68" s="1968">
        <v>356.44</v>
      </c>
      <c r="O68" s="1968">
        <v>1528</v>
      </c>
      <c r="P68" s="1968">
        <v>3.85</v>
      </c>
      <c r="Q68" s="1968" t="s">
        <v>1949</v>
      </c>
    </row>
    <row r="69" s="1963" customFormat="1" ht="15" spans="1:17">
      <c r="A69" s="1968" t="s">
        <v>1738</v>
      </c>
      <c r="B69" s="1968" t="s">
        <v>1739</v>
      </c>
      <c r="C69" s="1968">
        <v>23467</v>
      </c>
      <c r="D69" s="1968">
        <v>56320.8</v>
      </c>
      <c r="E69" s="1968" t="s">
        <v>1709</v>
      </c>
      <c r="F69" s="1968" t="s">
        <v>1729</v>
      </c>
      <c r="G69" s="1968" t="s">
        <v>1740</v>
      </c>
      <c r="H69" s="1968" t="s">
        <v>1689</v>
      </c>
      <c r="I69" s="1968" t="s">
        <v>1741</v>
      </c>
      <c r="J69" s="1968" t="s">
        <v>1691</v>
      </c>
      <c r="K69" s="1968" t="s">
        <v>1742</v>
      </c>
      <c r="L69" s="1968">
        <v>19300</v>
      </c>
      <c r="M69" s="1968">
        <v>8224.31</v>
      </c>
      <c r="N69" s="1968">
        <v>548.29</v>
      </c>
      <c r="O69" s="1968">
        <v>3427</v>
      </c>
      <c r="P69" s="1968">
        <v>2.12</v>
      </c>
      <c r="Q69" s="1968" t="s">
        <v>1948</v>
      </c>
    </row>
    <row r="70" s="1963" customFormat="1" ht="15" spans="1:17">
      <c r="A70" s="1968" t="s">
        <v>1743</v>
      </c>
      <c r="B70" s="1968" t="s">
        <v>1744</v>
      </c>
      <c r="C70" s="1968">
        <v>129940</v>
      </c>
      <c r="D70" s="1968">
        <v>252083.6</v>
      </c>
      <c r="E70" s="1968" t="s">
        <v>1709</v>
      </c>
      <c r="F70" s="1968" t="s">
        <v>1729</v>
      </c>
      <c r="G70" s="1968" t="s">
        <v>1745</v>
      </c>
      <c r="H70" s="1968" t="s">
        <v>1689</v>
      </c>
      <c r="I70" s="1968" t="s">
        <v>1746</v>
      </c>
      <c r="J70" s="1968" t="s">
        <v>1691</v>
      </c>
      <c r="K70" s="1968" t="s">
        <v>1747</v>
      </c>
      <c r="L70" s="1968">
        <v>46100</v>
      </c>
      <c r="M70" s="1968">
        <v>3547.79</v>
      </c>
      <c r="N70" s="1968">
        <v>236.52</v>
      </c>
      <c r="O70" s="1968">
        <v>1829</v>
      </c>
      <c r="P70" s="1968">
        <v>0.88</v>
      </c>
      <c r="Q70" s="1968" t="s">
        <v>1950</v>
      </c>
    </row>
    <row r="71" s="1963" customFormat="1" ht="15" spans="1:17">
      <c r="A71" s="1968" t="s">
        <v>1748</v>
      </c>
      <c r="B71" s="1968" t="s">
        <v>1749</v>
      </c>
      <c r="C71" s="1968">
        <v>84382</v>
      </c>
      <c r="D71" s="1968">
        <v>175514.6</v>
      </c>
      <c r="E71" s="1968" t="s">
        <v>1709</v>
      </c>
      <c r="F71" s="1968" t="s">
        <v>1729</v>
      </c>
      <c r="G71" s="1968" t="s">
        <v>1750</v>
      </c>
      <c r="H71" s="1968" t="s">
        <v>1689</v>
      </c>
      <c r="I71" s="1968" t="s">
        <v>1751</v>
      </c>
      <c r="J71" s="1968" t="s">
        <v>1691</v>
      </c>
      <c r="K71" s="1968" t="s">
        <v>1752</v>
      </c>
      <c r="L71" s="1968">
        <v>53300</v>
      </c>
      <c r="M71" s="1968">
        <v>6316.51</v>
      </c>
      <c r="N71" s="1968">
        <v>421.1</v>
      </c>
      <c r="O71" s="1968">
        <v>3037</v>
      </c>
      <c r="P71" s="1968">
        <v>0.76</v>
      </c>
      <c r="Q71" s="1968" t="s">
        <v>1949</v>
      </c>
    </row>
    <row r="72" s="1963" customFormat="1" ht="15" spans="1:17">
      <c r="A72" s="1968" t="s">
        <v>1753</v>
      </c>
      <c r="B72" s="1968" t="s">
        <v>1754</v>
      </c>
      <c r="C72" s="1968">
        <v>52302</v>
      </c>
      <c r="D72" s="1968">
        <v>83683.2</v>
      </c>
      <c r="E72" s="1968" t="s">
        <v>1709</v>
      </c>
      <c r="F72" s="1968" t="s">
        <v>1729</v>
      </c>
      <c r="G72" s="1968" t="s">
        <v>1755</v>
      </c>
      <c r="H72" s="1968" t="s">
        <v>1689</v>
      </c>
      <c r="I72" s="1968" t="s">
        <v>1751</v>
      </c>
      <c r="J72" s="1968" t="s">
        <v>1691</v>
      </c>
      <c r="K72" s="1968" t="s">
        <v>1692</v>
      </c>
      <c r="L72" s="1968">
        <v>40500</v>
      </c>
      <c r="M72" s="1968">
        <v>7743.48</v>
      </c>
      <c r="N72" s="1968">
        <v>516.23</v>
      </c>
      <c r="O72" s="1968">
        <v>4840</v>
      </c>
      <c r="P72" s="1968">
        <v>25.39</v>
      </c>
      <c r="Q72" s="1968" t="s">
        <v>1948</v>
      </c>
    </row>
    <row r="73" s="1963" customFormat="1" ht="15" spans="1:17">
      <c r="A73" s="1968" t="s">
        <v>1756</v>
      </c>
      <c r="B73" s="1968" t="s">
        <v>1757</v>
      </c>
      <c r="C73" s="1968">
        <v>19365</v>
      </c>
      <c r="D73" s="1968">
        <v>40666.5</v>
      </c>
      <c r="E73" s="1968" t="s">
        <v>1709</v>
      </c>
      <c r="F73" s="1968" t="s">
        <v>1729</v>
      </c>
      <c r="G73" s="1968" t="s">
        <v>1758</v>
      </c>
      <c r="H73" s="1968" t="s">
        <v>1689</v>
      </c>
      <c r="I73" s="1968" t="s">
        <v>1759</v>
      </c>
      <c r="J73" s="1968" t="s">
        <v>1691</v>
      </c>
      <c r="K73" s="1968" t="s">
        <v>1760</v>
      </c>
      <c r="L73" s="1968">
        <v>39800</v>
      </c>
      <c r="M73" s="1968">
        <v>20552.54</v>
      </c>
      <c r="N73" s="1968">
        <v>1370.17</v>
      </c>
      <c r="O73" s="1968">
        <v>9787</v>
      </c>
      <c r="P73" s="1968">
        <v>5.29</v>
      </c>
      <c r="Q73" s="1968" t="s">
        <v>1949</v>
      </c>
    </row>
    <row r="75" spans="5:8">
      <c r="E75" s="1974" t="s">
        <v>1951</v>
      </c>
      <c r="F75" s="1974" t="s">
        <v>1952</v>
      </c>
      <c r="G75" s="1974" t="s">
        <v>1953</v>
      </c>
      <c r="H75" s="1974" t="s">
        <v>1954</v>
      </c>
    </row>
    <row r="76" spans="5:8">
      <c r="E76" s="1974" t="s">
        <v>1955</v>
      </c>
      <c r="F76" s="1974" t="s">
        <v>1956</v>
      </c>
      <c r="G76" s="1974">
        <v>7354</v>
      </c>
      <c r="H76" s="1974" t="s">
        <v>1957</v>
      </c>
    </row>
    <row r="77" spans="1:8">
      <c r="A77" s="1962" t="s">
        <v>1958</v>
      </c>
      <c r="E77" s="1974" t="s">
        <v>1959</v>
      </c>
      <c r="F77" s="1974" t="s">
        <v>412</v>
      </c>
      <c r="G77" s="1974">
        <v>5934</v>
      </c>
      <c r="H77" s="1974">
        <v>2022</v>
      </c>
    </row>
    <row r="78" spans="5:8">
      <c r="E78" s="1974" t="s">
        <v>1959</v>
      </c>
      <c r="F78" s="1974" t="s">
        <v>1960</v>
      </c>
      <c r="G78" s="1974">
        <v>8500</v>
      </c>
      <c r="H78" s="1974">
        <v>2022</v>
      </c>
    </row>
    <row r="79" spans="5:8">
      <c r="E79" s="1974" t="s">
        <v>1961</v>
      </c>
      <c r="F79" s="1974" t="s">
        <v>1962</v>
      </c>
      <c r="G79" s="1974">
        <v>10000</v>
      </c>
      <c r="H79" s="1974">
        <v>2022</v>
      </c>
    </row>
    <row r="80" spans="5:8">
      <c r="E80" s="1974" t="s">
        <v>1961</v>
      </c>
      <c r="F80" s="1974" t="s">
        <v>412</v>
      </c>
      <c r="G80" s="1974" t="s">
        <v>1963</v>
      </c>
      <c r="H80" s="1974">
        <v>2022</v>
      </c>
    </row>
    <row r="81" spans="5:8">
      <c r="E81" s="1974" t="s">
        <v>1964</v>
      </c>
      <c r="F81" s="1974" t="s">
        <v>1962</v>
      </c>
      <c r="G81" s="1974">
        <v>11000</v>
      </c>
      <c r="H81" s="1974" t="s">
        <v>1965</v>
      </c>
    </row>
    <row r="82" spans="5:8">
      <c r="E82" s="1974" t="s">
        <v>1964</v>
      </c>
      <c r="F82" s="1974" t="s">
        <v>412</v>
      </c>
      <c r="G82" s="1974">
        <v>17000</v>
      </c>
      <c r="H82" s="1974">
        <v>2017</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M42"/>
  <sheetViews>
    <sheetView workbookViewId="0">
      <selection activeCell="P40" sqref="P40"/>
    </sheetView>
  </sheetViews>
  <sheetFormatPr defaultColWidth="8.75454545454545" defaultRowHeight="14"/>
  <cols>
    <col min="12" max="12" width="12.8727272727273"/>
  </cols>
  <sheetData>
    <row r="1" spans="13:13">
      <c r="M1" t="s">
        <v>1966</v>
      </c>
    </row>
    <row r="2" spans="13:13">
      <c r="M2" t="s">
        <v>1967</v>
      </c>
    </row>
    <row r="3" spans="13:13">
      <c r="M3" t="s">
        <v>1968</v>
      </c>
    </row>
    <row r="42" spans="12:12">
      <c r="L42">
        <f>1600/60/30</f>
        <v>0.888888888888889</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1475</v>
      </c>
      <c r="B1" s="975"/>
      <c r="C1" s="1678"/>
      <c r="D1" s="1679" t="s">
        <v>124</v>
      </c>
      <c r="E1" s="1680" t="s">
        <v>1477</v>
      </c>
      <c r="F1" s="1681">
        <f ca="1">J53</f>
        <v>0</v>
      </c>
      <c r="G1" s="1682">
        <f>MATCH(C1,'数据-取费表'!A6:A16,0)+5</f>
        <v>7</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1478</v>
      </c>
      <c r="B2" s="1684" t="e">
        <f ca="1">ROUND(D2/10000,4)</f>
        <v>#DIV/0!</v>
      </c>
      <c r="C2" s="1685" t="s">
        <v>1479</v>
      </c>
      <c r="D2" s="1686" t="e">
        <f ca="1">C40+J29+L46</f>
        <v>#DIV/0!</v>
      </c>
      <c r="E2" s="1687" t="s">
        <v>1969</v>
      </c>
      <c r="F2" s="1688"/>
      <c r="G2" s="1689"/>
      <c r="H2" s="1690"/>
      <c r="I2" s="1690"/>
      <c r="J2" s="1690"/>
      <c r="K2" s="1852"/>
      <c r="L2" s="1690"/>
      <c r="M2" s="1690"/>
    </row>
    <row r="3" ht="18" customHeight="1" spans="1:13">
      <c r="A3" s="1691" t="s">
        <v>1480</v>
      </c>
      <c r="B3" s="1692">
        <f ca="1">IF(ISERROR(D2/F43),0,ROUND(D2/F43,0))</f>
        <v>0</v>
      </c>
      <c r="C3" s="1685" t="s">
        <v>1481</v>
      </c>
      <c r="D3" s="1685"/>
      <c r="E3" s="1687"/>
      <c r="F3" s="1688"/>
      <c r="G3" s="1689"/>
      <c r="H3" s="1693" t="s">
        <v>1482</v>
      </c>
      <c r="I3" s="1853"/>
      <c r="J3" s="1853"/>
      <c r="K3" s="1854"/>
      <c r="L3" s="1853"/>
      <c r="M3" s="1853"/>
    </row>
    <row r="4" ht="18" customHeight="1" spans="1:13">
      <c r="A4" s="1694" t="s">
        <v>1483</v>
      </c>
      <c r="B4" s="1695" t="s">
        <v>1484</v>
      </c>
      <c r="C4" s="1695" t="s">
        <v>1485</v>
      </c>
      <c r="D4" s="1695" t="s">
        <v>1486</v>
      </c>
      <c r="E4" s="1696" t="s">
        <v>1487</v>
      </c>
      <c r="F4" s="1697"/>
      <c r="G4" s="1675"/>
      <c r="H4" s="1694" t="s">
        <v>1483</v>
      </c>
      <c r="I4" s="1695" t="s">
        <v>1484</v>
      </c>
      <c r="J4" s="1695" t="s">
        <v>1485</v>
      </c>
      <c r="K4" s="1695" t="s">
        <v>1486</v>
      </c>
      <c r="L4" s="1696" t="s">
        <v>1487</v>
      </c>
      <c r="M4" s="1697"/>
    </row>
    <row r="5" ht="18" customHeight="1" spans="1:13">
      <c r="A5" s="1698">
        <v>1</v>
      </c>
      <c r="B5" s="1699" t="s">
        <v>1488</v>
      </c>
      <c r="C5" s="1700">
        <f ca="1">C6+C10+C12</f>
        <v>0</v>
      </c>
      <c r="D5" s="1701" t="s">
        <v>1489</v>
      </c>
      <c r="E5" s="1702"/>
      <c r="F5" s="1703"/>
      <c r="G5" s="1675"/>
      <c r="H5" s="1698">
        <v>1</v>
      </c>
      <c r="I5" s="1699" t="s">
        <v>1488</v>
      </c>
      <c r="J5" s="1700">
        <f ca="1">J6+J10+J12</f>
        <v>0</v>
      </c>
      <c r="K5" s="1701" t="s">
        <v>1489</v>
      </c>
      <c r="L5" s="1702"/>
      <c r="M5" s="1703"/>
    </row>
    <row r="6" ht="18" customHeight="1" spans="1:13">
      <c r="A6" s="1704" t="s">
        <v>913</v>
      </c>
      <c r="B6" s="1705" t="s">
        <v>1490</v>
      </c>
      <c r="C6" s="1706">
        <f ca="1">ROUND(F6*F8*F7*(1-F9),0)</f>
        <v>0</v>
      </c>
      <c r="D6" s="1707" t="s">
        <v>1970</v>
      </c>
      <c r="E6" s="1708" t="s">
        <v>1492</v>
      </c>
      <c r="F6" s="1709">
        <f ca="1">INDIRECT("'数据-取费表'!u"&amp;$G$1)</f>
        <v>0</v>
      </c>
      <c r="G6" s="1675"/>
      <c r="H6" s="1704" t="s">
        <v>913</v>
      </c>
      <c r="I6" s="1705" t="s">
        <v>1490</v>
      </c>
      <c r="J6" s="1782">
        <f ca="1">ROUND(M6*M8*M7*(1-M9),0)</f>
        <v>0</v>
      </c>
      <c r="K6" s="1855" t="s">
        <v>1971</v>
      </c>
      <c r="L6" s="1708" t="s">
        <v>1492</v>
      </c>
      <c r="M6" s="1709">
        <f ca="1">INDIRECT("'数据-取费表'!z"&amp;$G$1)</f>
        <v>0</v>
      </c>
    </row>
    <row r="7" ht="18" customHeight="1" spans="1:13">
      <c r="A7" s="1710"/>
      <c r="B7" s="1711"/>
      <c r="C7" s="1712"/>
      <c r="D7" s="1713"/>
      <c r="E7" s="1714" t="s">
        <v>1494</v>
      </c>
      <c r="F7" s="1709">
        <f ca="1">IF(INDIRECT("'数据-取费表'!ah"&amp;$G$1)="",INDIRECT("'数据-取费表'!k"&amp;$G$1),INDIRECT("'数据-取费表'!ah"&amp;$G$1))</f>
        <v>0</v>
      </c>
      <c r="G7" s="1675"/>
      <c r="H7" s="1715"/>
      <c r="I7" s="1711"/>
      <c r="J7" s="1716"/>
      <c r="K7" s="1713"/>
      <c r="L7" s="1708" t="s">
        <v>1494</v>
      </c>
      <c r="M7" s="1709">
        <f ca="1">F7</f>
        <v>0</v>
      </c>
    </row>
    <row r="8" ht="18" customHeight="1" spans="1:13">
      <c r="A8" s="1715"/>
      <c r="B8" s="1711"/>
      <c r="C8" s="1716"/>
      <c r="D8" s="1713"/>
      <c r="E8" s="1708" t="s">
        <v>1495</v>
      </c>
      <c r="F8" s="1709">
        <f ca="1">INDIRECT("'数据-取费表'!ai"&amp;$G$1)</f>
        <v>0</v>
      </c>
      <c r="G8" s="1675"/>
      <c r="H8" s="1715"/>
      <c r="I8" s="1711"/>
      <c r="J8" s="1716"/>
      <c r="K8" s="1713"/>
      <c r="L8" s="1708" t="s">
        <v>1495</v>
      </c>
      <c r="M8" s="1709">
        <f ca="1">INDIRECT("'数据-取费表'!ai"&amp;$G$1)</f>
        <v>0</v>
      </c>
    </row>
    <row r="9" ht="18" customHeight="1" spans="1:13">
      <c r="A9" s="1715"/>
      <c r="B9" s="1717"/>
      <c r="C9" s="1716"/>
      <c r="D9" s="1713"/>
      <c r="E9" s="1708" t="s">
        <v>1496</v>
      </c>
      <c r="F9" s="1718">
        <f ca="1">INDIRECT("'数据-取费表'!w"&amp;$G$1)</f>
        <v>0</v>
      </c>
      <c r="G9" s="1675"/>
      <c r="H9" s="1715"/>
      <c r="I9" s="1717"/>
      <c r="J9" s="1716"/>
      <c r="K9" s="1713"/>
      <c r="L9" s="1721" t="s">
        <v>1496</v>
      </c>
      <c r="M9" s="1726">
        <f ca="1">INDIRECT("'数据-取费表'!ab"&amp;$G$1)</f>
        <v>0</v>
      </c>
    </row>
    <row r="10" ht="18" customHeight="1" spans="1:13">
      <c r="A10" s="1704" t="s">
        <v>917</v>
      </c>
      <c r="B10" s="1719" t="s">
        <v>1497</v>
      </c>
      <c r="C10" s="642">
        <f ca="1">ROUND(IF(F10="押一",C6/12*F11,IF(F10="押二",C6/12*2*F11,IF(F10="押三",C6/12*3*F11,C11*F11))),0)</f>
        <v>0</v>
      </c>
      <c r="D10" s="1720" t="s">
        <v>1498</v>
      </c>
      <c r="E10" s="1721" t="s">
        <v>1499</v>
      </c>
      <c r="F10" s="1722"/>
      <c r="G10" s="1675"/>
      <c r="H10" s="1704" t="s">
        <v>917</v>
      </c>
      <c r="I10" s="1719" t="s">
        <v>1497</v>
      </c>
      <c r="J10" s="1782">
        <f ca="1">ROUND(IF(M10="押一",J6/12*M11,IF(M10="押二",J6/12*2*M11,IF(M10="押三",J6/12*3*M11,J11*M11))),0)</f>
        <v>0</v>
      </c>
      <c r="K10" s="1856" t="s">
        <v>1972</v>
      </c>
      <c r="L10" s="1721" t="s">
        <v>1499</v>
      </c>
      <c r="M10" s="1722"/>
    </row>
    <row r="11" ht="18" customHeight="1" spans="1:13">
      <c r="A11" s="1723"/>
      <c r="B11" s="1724" t="s">
        <v>1973</v>
      </c>
      <c r="C11" s="1725"/>
      <c r="D11" s="1713"/>
      <c r="E11" s="1721" t="s">
        <v>1502</v>
      </c>
      <c r="F11" s="1726">
        <f ca="1">'数据-取费表'!B39</f>
        <v>0.015</v>
      </c>
      <c r="G11" s="1675"/>
      <c r="H11" s="1727"/>
      <c r="I11" s="1724" t="s">
        <v>1974</v>
      </c>
      <c r="J11" s="1725"/>
      <c r="K11" s="1857"/>
      <c r="L11" s="1721" t="s">
        <v>1502</v>
      </c>
      <c r="M11" s="1858">
        <f ca="1">'数据-取费表'!B39</f>
        <v>0.015</v>
      </c>
    </row>
    <row r="12" ht="18" customHeight="1" spans="1:13">
      <c r="A12" s="1728" t="s">
        <v>962</v>
      </c>
      <c r="B12" s="1729" t="s">
        <v>1503</v>
      </c>
      <c r="C12" s="1730"/>
      <c r="D12" s="1731"/>
      <c r="E12" s="1732"/>
      <c r="F12" s="1733"/>
      <c r="G12" s="1675"/>
      <c r="H12" s="1728" t="s">
        <v>962</v>
      </c>
      <c r="I12" s="1729" t="s">
        <v>1503</v>
      </c>
      <c r="J12" s="1730"/>
      <c r="K12" s="1859"/>
      <c r="L12" s="1732"/>
      <c r="M12" s="1860"/>
    </row>
    <row r="13" ht="18" customHeight="1" spans="1:13">
      <c r="A13" s="1734">
        <v>2</v>
      </c>
      <c r="B13" s="1735" t="s">
        <v>1504</v>
      </c>
      <c r="C13" s="1736">
        <f ca="1">ROUND(C29*F13,0)</f>
        <v>0</v>
      </c>
      <c r="D13" s="1737" t="s">
        <v>1505</v>
      </c>
      <c r="E13" s="1737" t="s">
        <v>1506</v>
      </c>
      <c r="F13" s="1738">
        <f ca="1">INDIRECT("'数据-取费表'!y"&amp;$G$1)</f>
        <v>0</v>
      </c>
      <c r="G13" s="1675"/>
      <c r="H13" s="1734">
        <v>2</v>
      </c>
      <c r="I13" s="1735" t="s">
        <v>1504</v>
      </c>
      <c r="J13" s="1861">
        <f ca="1">ROUND(J14*J15,0)</f>
        <v>0</v>
      </c>
      <c r="K13" s="1760" t="s">
        <v>1505</v>
      </c>
      <c r="L13" s="1862"/>
      <c r="M13" s="1863"/>
    </row>
    <row r="14" ht="18" customHeight="1" spans="1:13">
      <c r="A14" s="1739" t="s">
        <v>936</v>
      </c>
      <c r="B14" s="1708" t="s">
        <v>1507</v>
      </c>
      <c r="C14" s="1740">
        <f ca="1">ROUND(INDIRECT("'数据-取费表'!l"&amp;$G$1)*F43+'数据-取费表'!L14*INDIRECT("'数据-取费表'!S"&amp;$G$1),0)</f>
        <v>0</v>
      </c>
      <c r="D14" s="1741" t="s">
        <v>1508</v>
      </c>
      <c r="E14" s="1742"/>
      <c r="F14" s="1743"/>
      <c r="G14" s="1675"/>
      <c r="H14" s="1739" t="s">
        <v>913</v>
      </c>
      <c r="I14" s="1708" t="s">
        <v>1509</v>
      </c>
      <c r="J14" s="643">
        <f ca="1">C29</f>
        <v>0</v>
      </c>
      <c r="K14" s="1864"/>
      <c r="L14" s="1865"/>
      <c r="M14" s="1866"/>
    </row>
    <row r="15" s="1674" customFormat="1" ht="18" customHeight="1" spans="1:37">
      <c r="A15" s="1739" t="s">
        <v>940</v>
      </c>
      <c r="B15" s="1708" t="s">
        <v>1337</v>
      </c>
      <c r="C15" s="643">
        <f ca="1">ROUND(C14*F15,0)</f>
        <v>0</v>
      </c>
      <c r="D15" s="1744" t="s">
        <v>1510</v>
      </c>
      <c r="E15" s="1744" t="s">
        <v>1511</v>
      </c>
      <c r="F15" s="1745">
        <f>'数据-取费表'!B33</f>
        <v>0.06</v>
      </c>
      <c r="G15" s="1746"/>
      <c r="H15" s="1747" t="s">
        <v>917</v>
      </c>
      <c r="I15" s="1732" t="s">
        <v>1506</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943</v>
      </c>
      <c r="B16" s="1708" t="s">
        <v>1340</v>
      </c>
      <c r="C16" s="643">
        <f ca="1">ROUND(INDIRECT("'数据-取费表'!l"&amp;$G$1)*F43*F16,0)</f>
        <v>0</v>
      </c>
      <c r="D16" s="1708" t="s">
        <v>1510</v>
      </c>
      <c r="E16" s="1708" t="s">
        <v>1511</v>
      </c>
      <c r="F16" s="1748">
        <f ca="1">IF(INDIRECT("'数据-取费表'!c"&amp;$G$1)="住宅",'数据-取费表'!B34,0)</f>
        <v>0</v>
      </c>
      <c r="G16" s="1675"/>
      <c r="H16" s="1734" t="s">
        <v>1512</v>
      </c>
      <c r="I16" s="1735" t="s">
        <v>1513</v>
      </c>
      <c r="J16" s="1736">
        <f ca="1">ROUND(J17+J22+J23+J24,0)</f>
        <v>0</v>
      </c>
      <c r="K16" s="1760" t="s">
        <v>1514</v>
      </c>
      <c r="L16" s="1761"/>
      <c r="M16" s="1703"/>
    </row>
    <row r="17" s="1674" customFormat="1" ht="18" customHeight="1" spans="1:37">
      <c r="A17" s="1739" t="s">
        <v>1515</v>
      </c>
      <c r="B17" s="1708" t="s">
        <v>1516</v>
      </c>
      <c r="C17" s="643">
        <f ca="1">ROUND(F17*(F43+INDIRECT("'数据-取费表'!S"&amp;$G$1)),0)</f>
        <v>0</v>
      </c>
      <c r="D17" s="1708" t="s">
        <v>1517</v>
      </c>
      <c r="E17" s="1708" t="s">
        <v>1518</v>
      </c>
      <c r="F17" s="1749">
        <f>'数据-取费表'!B35</f>
        <v>200</v>
      </c>
      <c r="G17" s="1746"/>
      <c r="H17" s="1739" t="s">
        <v>913</v>
      </c>
      <c r="I17" s="1708" t="s">
        <v>1519</v>
      </c>
      <c r="J17" s="1763">
        <f ca="1">ROUND(IF(AND(项目基本情况!B11="自然人",项目基本情况!B10="北京市"),J6*M17/(1+'数据-取费表'!C42),J18+J19+J20),0)</f>
        <v>0</v>
      </c>
      <c r="K17" s="1741" t="s">
        <v>1520</v>
      </c>
      <c r="L17" s="1764" t="s">
        <v>1521</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1522</v>
      </c>
      <c r="B18" s="1708" t="s">
        <v>1346</v>
      </c>
      <c r="C18" s="643">
        <f ca="1">ROUND(C14*F18,0)</f>
        <v>0</v>
      </c>
      <c r="D18" s="1708" t="s">
        <v>1510</v>
      </c>
      <c r="E18" s="1708" t="s">
        <v>1511</v>
      </c>
      <c r="F18" s="1748">
        <f>'数据-取费表'!B36</f>
        <v>0.02</v>
      </c>
      <c r="G18" s="1746"/>
      <c r="H18" s="1739" t="s">
        <v>936</v>
      </c>
      <c r="I18" s="1708" t="s">
        <v>1523</v>
      </c>
      <c r="J18" s="643">
        <f ca="1">ROUND(J6*M18/(1+'数据-取费表'!C42),0)</f>
        <v>0</v>
      </c>
      <c r="K18" s="1764" t="s">
        <v>1524</v>
      </c>
      <c r="L18" s="1708" t="s">
        <v>1511</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913</v>
      </c>
      <c r="B19" s="1708" t="s">
        <v>1525</v>
      </c>
      <c r="C19" s="643">
        <f ca="1">SUM(C14:C18)</f>
        <v>0</v>
      </c>
      <c r="D19" s="1750" t="s">
        <v>1526</v>
      </c>
      <c r="E19" s="645"/>
      <c r="F19" s="1749"/>
      <c r="G19" s="1675"/>
      <c r="H19" s="1739" t="s">
        <v>940</v>
      </c>
      <c r="I19" s="1708" t="s">
        <v>1527</v>
      </c>
      <c r="J19" s="643">
        <f ca="1">IF(K19="按租金收入计税",ROUND(J6*M19/(1+'数据-取费表'!C42),0),ROUND(C29*M19*0.7,0))</f>
        <v>0</v>
      </c>
      <c r="K19" s="1767" t="s">
        <v>1528</v>
      </c>
      <c r="L19" s="1708" t="s">
        <v>1511</v>
      </c>
      <c r="M19" s="1748">
        <f>IF(K19="按租金收入计税",'数据-取费表'!B51,'数据-取费表'!B50)</f>
        <v>0.12</v>
      </c>
    </row>
    <row r="20" s="1674" customFormat="1" ht="18" customHeight="1" spans="1:37">
      <c r="A20" s="1739" t="s">
        <v>917</v>
      </c>
      <c r="B20" s="1708" t="s">
        <v>1529</v>
      </c>
      <c r="C20" s="643">
        <f ca="1">ROUND(C19*F20,0)</f>
        <v>0</v>
      </c>
      <c r="D20" s="1751" t="s">
        <v>1530</v>
      </c>
      <c r="E20" s="1708" t="s">
        <v>1511</v>
      </c>
      <c r="F20" s="1748">
        <f>'数据-取费表'!B37</f>
        <v>0.03</v>
      </c>
      <c r="G20" s="1746"/>
      <c r="H20" s="1739" t="s">
        <v>943</v>
      </c>
      <c r="I20" s="1707" t="s">
        <v>1531</v>
      </c>
      <c r="J20" s="1769">
        <f ca="1">ROUND(M20*M21,0)</f>
        <v>0</v>
      </c>
      <c r="K20" s="1770" t="s">
        <v>1532</v>
      </c>
      <c r="L20" s="1708" t="s">
        <v>1533</v>
      </c>
      <c r="M20" s="1754">
        <f>'数据-取费表'!B52</f>
        <v>8</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962</v>
      </c>
      <c r="B21" s="1708" t="s">
        <v>1534</v>
      </c>
      <c r="C21" s="643" t="s">
        <v>124</v>
      </c>
      <c r="D21" s="1751" t="s">
        <v>1535</v>
      </c>
      <c r="E21" s="1708" t="s">
        <v>1536</v>
      </c>
      <c r="F21" s="1748">
        <f>'数据-取费表'!B38</f>
        <v>0.02</v>
      </c>
      <c r="G21" s="1746"/>
      <c r="H21" s="1752"/>
      <c r="I21" s="1870"/>
      <c r="J21" s="1773"/>
      <c r="K21" s="1774"/>
      <c r="L21" s="1708" t="s">
        <v>1537</v>
      </c>
      <c r="M21" s="1709">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965</v>
      </c>
      <c r="B22" s="1708" t="s">
        <v>1538</v>
      </c>
      <c r="C22" s="643"/>
      <c r="D22" s="1750" t="str">
        <f>IF(F23&lt;=1,"单利计息。","复利计息。")&amp;"建造成本、管理费用、销售费用产生的利息。"</f>
        <v>复利计息。建造成本、管理费用、销售费用产生的利息。</v>
      </c>
      <c r="E22" s="645"/>
      <c r="F22" s="1749"/>
      <c r="G22" s="1675"/>
      <c r="H22" s="1739" t="s">
        <v>917</v>
      </c>
      <c r="I22" s="1708" t="s">
        <v>1539</v>
      </c>
      <c r="J22" s="643">
        <f ca="1">ROUND(J14*M22,0)</f>
        <v>0</v>
      </c>
      <c r="K22" s="1764" t="s">
        <v>1540</v>
      </c>
      <c r="L22" s="1708" t="s">
        <v>1511</v>
      </c>
      <c r="M22" s="1776">
        <f ca="1">INDIRECT("'数据-取费表'!Ak"&amp;$G$1)</f>
        <v>0</v>
      </c>
    </row>
    <row r="23" s="1674" customFormat="1" ht="18" customHeight="1" spans="1:37">
      <c r="A23" s="1739" t="s">
        <v>936</v>
      </c>
      <c r="B23" s="1708" t="s">
        <v>1541</v>
      </c>
      <c r="C23" s="643">
        <f ca="1">IF('数据-取费表'!B22&lt;=1,ROUND(C19*F24*F23/2,0)+ROUND(C20*F24*F23/2,0),ROUND(C19*(POWER((1+F24),F23/2)-1),0)+ROUND(C20*(POWER((1+F24),F23/2)-1),0))</f>
        <v>0</v>
      </c>
      <c r="D23" s="1753" t="str">
        <f>IF(F23&lt;=1,"(建造成本+管理费用)×利率×(建设周期÷2)","(建造成本+管理费用)×((1+利率)^(建设周期÷2)-1)")</f>
        <v>(建造成本+管理费用)×((1+利率)^(建设周期÷2)-1)</v>
      </c>
      <c r="E23" s="1708" t="s">
        <v>1542</v>
      </c>
      <c r="F23" s="1754">
        <f>'数据-取费表'!B20</f>
        <v>2</v>
      </c>
      <c r="G23" s="1746"/>
      <c r="H23" s="1739" t="s">
        <v>962</v>
      </c>
      <c r="I23" s="1708" t="s">
        <v>1543</v>
      </c>
      <c r="J23" s="643">
        <f ca="1">ROUND(J13*M23,0)</f>
        <v>0</v>
      </c>
      <c r="K23" s="1764" t="s">
        <v>1544</v>
      </c>
      <c r="L23" s="1708" t="s">
        <v>1511</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940</v>
      </c>
      <c r="B24" s="1708" t="s">
        <v>1545</v>
      </c>
      <c r="C24" s="643">
        <f ca="1">ROUND(IF('数据-取费表'!B22&lt;=1,F21*F24*F23/2,F21*(POWER((1+F24),F23/2)-1)),4)</f>
        <v>0.0006</v>
      </c>
      <c r="D24" s="1753" t="str">
        <f>IF(F23&lt;=1,"销售费用×利率×(建设周期÷2)","销售费用×((1+利率)^(建设周期÷2)-1)")</f>
        <v>销售费用×((1+利率)^(建设周期÷2)-1)</v>
      </c>
      <c r="E24" s="1708" t="s">
        <v>1546</v>
      </c>
      <c r="F24" s="1755">
        <f ca="1">'数据-取费表'!B40</f>
        <v>0.031</v>
      </c>
      <c r="G24" s="1746"/>
      <c r="H24" s="1747" t="s">
        <v>965</v>
      </c>
      <c r="I24" s="1732" t="s">
        <v>1529</v>
      </c>
      <c r="J24" s="1756">
        <f ca="1">ROUND(J5*M24,0)</f>
        <v>0</v>
      </c>
      <c r="K24" s="1757" t="s">
        <v>1547</v>
      </c>
      <c r="L24" s="1732" t="s">
        <v>1511</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18" customHeight="1" spans="1:13">
      <c r="A25" s="1739" t="s">
        <v>969</v>
      </c>
      <c r="B25" s="1708" t="s">
        <v>1548</v>
      </c>
      <c r="C25" s="643"/>
      <c r="D25" s="1750" t="s">
        <v>1549</v>
      </c>
      <c r="E25" s="645"/>
      <c r="F25" s="1749"/>
      <c r="G25" s="1675"/>
      <c r="H25" s="1734" t="s">
        <v>1550</v>
      </c>
      <c r="I25" s="1778" t="s">
        <v>1551</v>
      </c>
      <c r="J25" s="1736">
        <f ca="1">J5-J16</f>
        <v>0</v>
      </c>
      <c r="K25" s="1779" t="s">
        <v>1552</v>
      </c>
      <c r="L25" s="1780"/>
      <c r="M25" s="1781"/>
    </row>
    <row r="26" ht="18" customHeight="1" spans="1:13">
      <c r="A26" s="1739" t="s">
        <v>936</v>
      </c>
      <c r="B26" s="1708" t="s">
        <v>1553</v>
      </c>
      <c r="C26" s="643">
        <f ca="1">ROUND((C19+C20)*F26,0)</f>
        <v>0</v>
      </c>
      <c r="D26" s="1751" t="s">
        <v>1554</v>
      </c>
      <c r="E26" s="1721" t="s">
        <v>1555</v>
      </c>
      <c r="F26" s="1718">
        <f ca="1">INDIRECT("'数据-取费表'!q"&amp;$G$1)</f>
        <v>0</v>
      </c>
      <c r="G26" s="1675"/>
      <c r="H26" s="1698" t="s">
        <v>1556</v>
      </c>
      <c r="I26" s="1699" t="s">
        <v>1557</v>
      </c>
      <c r="J26" s="1782">
        <f ca="1">IF(J5&lt;&gt;0,ROUND(J25*(1-((1+M28)/(1+M26))^M27)/(M26-M28),0),0)</f>
        <v>0</v>
      </c>
      <c r="K26" s="1770" t="s">
        <v>1558</v>
      </c>
      <c r="L26" s="1708" t="s">
        <v>1559</v>
      </c>
      <c r="M26" s="1718">
        <f ca="1">INDIRECT("'数据-取费表'!I"&amp;$G$1)</f>
        <v>0</v>
      </c>
    </row>
    <row r="27" ht="18" customHeight="1" spans="1:13">
      <c r="A27" s="1739" t="s">
        <v>940</v>
      </c>
      <c r="B27" s="1708" t="s">
        <v>1560</v>
      </c>
      <c r="C27" s="643">
        <f ca="1">ROUND(F21*F26,4)</f>
        <v>0</v>
      </c>
      <c r="D27" s="1751" t="s">
        <v>1561</v>
      </c>
      <c r="E27" s="1744"/>
      <c r="F27" s="1745"/>
      <c r="G27" s="1675"/>
      <c r="H27" s="1715"/>
      <c r="I27" s="1784"/>
      <c r="J27" s="1716"/>
      <c r="K27" s="1785" t="s">
        <v>1562</v>
      </c>
      <c r="L27" s="1708" t="s">
        <v>1563</v>
      </c>
      <c r="M27" s="1786">
        <f ca="1">INDIRECT("'数据-取费表'!ag"&amp;$G$1)</f>
        <v>0</v>
      </c>
    </row>
    <row r="28" s="1674" customFormat="1" ht="18" customHeight="1" spans="1:37">
      <c r="A28" s="1739" t="s">
        <v>970</v>
      </c>
      <c r="B28" s="1708" t="s">
        <v>1564</v>
      </c>
      <c r="C28" s="643">
        <f>ROUND(F28/(1+'数据-取费表'!C42),4)</f>
        <v>0.0533</v>
      </c>
      <c r="D28" s="1751" t="s">
        <v>1565</v>
      </c>
      <c r="E28" s="1708" t="s">
        <v>1511</v>
      </c>
      <c r="F28" s="1748">
        <f>'数据-取费表'!B41</f>
        <v>0.056</v>
      </c>
      <c r="G28" s="1746"/>
      <c r="H28" s="1723"/>
      <c r="I28" s="1788"/>
      <c r="J28" s="1736"/>
      <c r="K28" s="1774"/>
      <c r="L28" s="1708" t="s">
        <v>1566</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1371</v>
      </c>
      <c r="B29" s="1732" t="s">
        <v>1567</v>
      </c>
      <c r="C29" s="1756">
        <f ca="1">ROUND((C19+C20+C23+C26)/(1-F21-C24-C27-C28),0)</f>
        <v>0</v>
      </c>
      <c r="D29" s="1757"/>
      <c r="E29" s="1732"/>
      <c r="F29" s="1758"/>
      <c r="G29" s="1746"/>
      <c r="H29" s="1759" t="s">
        <v>1568</v>
      </c>
      <c r="I29" s="1789" t="s">
        <v>1569</v>
      </c>
      <c r="J29" s="1790">
        <f ca="1">ROUND(J26/(1+F40)^F41,0)</f>
        <v>0</v>
      </c>
      <c r="K29" s="1791" t="s">
        <v>1570</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1512</v>
      </c>
      <c r="B30" s="1735" t="s">
        <v>1513</v>
      </c>
      <c r="C30" s="1736">
        <f ca="1">ROUND(C31+C36+C37+C38,0)</f>
        <v>0</v>
      </c>
      <c r="D30" s="1760" t="s">
        <v>1514</v>
      </c>
      <c r="E30" s="1761"/>
      <c r="F30" s="1703"/>
      <c r="G30" s="1675"/>
      <c r="H30" s="1762"/>
      <c r="I30" s="1871"/>
      <c r="J30" s="1872"/>
      <c r="K30" s="1873"/>
      <c r="L30" s="1874"/>
      <c r="M30" s="1875"/>
    </row>
    <row r="31" ht="18" customHeight="1" spans="1:13">
      <c r="A31" s="1739" t="s">
        <v>913</v>
      </c>
      <c r="B31" s="1708" t="s">
        <v>1519</v>
      </c>
      <c r="C31" s="1763">
        <f ca="1">ROUND(IF(AND(项目基本情况!B11="自然人",项目基本情况!B10="北京市"),C6*F31/(1+'数据-取费表'!C42),C32+C33+C34),0)</f>
        <v>0</v>
      </c>
      <c r="D31" s="1741" t="s">
        <v>1520</v>
      </c>
      <c r="E31" s="1764" t="s">
        <v>1521</v>
      </c>
      <c r="F31" s="1765" t="str">
        <f ca="1">IF(项目基本情况!B11="企业","——",IF(M47="住宅",IF(F6*F7*F8/12/(1+'数据-取费表'!F30)&gt;100000,4%,2.5%),IF(F6*F7*F8/12/(1+'数据-取费表'!F30)&gt;100000,12%,7%)))</f>
        <v>——</v>
      </c>
      <c r="G31" s="1675"/>
      <c r="H31" s="1766" t="s">
        <v>1571</v>
      </c>
      <c r="I31" s="1871"/>
      <c r="J31" s="1872"/>
      <c r="K31" s="1873"/>
      <c r="L31" s="1874"/>
      <c r="M31" s="1875"/>
    </row>
    <row r="32" ht="18" customHeight="1" spans="1:13">
      <c r="A32" s="1739" t="s">
        <v>936</v>
      </c>
      <c r="B32" s="1708" t="s">
        <v>1523</v>
      </c>
      <c r="C32" s="643">
        <f ca="1">IF(项目基本情况!B11="自然人","——",ROUND(C6*F32/(1+'数据-取费表'!C42),0))</f>
        <v>0</v>
      </c>
      <c r="D32" s="1764" t="s">
        <v>1524</v>
      </c>
      <c r="E32" s="1708" t="s">
        <v>1511</v>
      </c>
      <c r="F32" s="1755">
        <f>'数据-取费表'!B41</f>
        <v>0.056</v>
      </c>
      <c r="G32" s="1675"/>
      <c r="H32" s="1762"/>
      <c r="I32" s="1871"/>
      <c r="J32" s="1872"/>
      <c r="K32" s="1873"/>
      <c r="L32" s="1874"/>
      <c r="M32" s="1875"/>
    </row>
    <row r="33" ht="18" customHeight="1" spans="1:13">
      <c r="A33" s="1739" t="s">
        <v>940</v>
      </c>
      <c r="B33" s="1708" t="s">
        <v>1527</v>
      </c>
      <c r="C33" s="643">
        <f ca="1">IF(项目基本情况!B11="自然人","——",IF(D33="按租金收入计税",ROUND(C6*F33/(1+'数据-取费表'!C42),0),IF(D33="按房产原值计税",ROUND(C29*F33*0.7,0),INDIRECT("'数据-取费表'!Aj"&amp;$G$1))))</f>
        <v>0</v>
      </c>
      <c r="D33" s="1767" t="s">
        <v>1528</v>
      </c>
      <c r="E33" s="1708" t="s">
        <v>1511</v>
      </c>
      <c r="F33" s="1748">
        <f>IF(D33="按票据","——",IF(D33="按租金收入计税",'数据-取费表'!B51,'数据-取费表'!B50))</f>
        <v>0.12</v>
      </c>
      <c r="G33" s="1675"/>
      <c r="H33" s="1768"/>
      <c r="I33" s="1871"/>
      <c r="J33" s="1872"/>
      <c r="K33" s="1876"/>
      <c r="L33" s="1768"/>
      <c r="M33" s="1768"/>
    </row>
    <row r="34" ht="18" customHeight="1" spans="1:13">
      <c r="A34" s="1704" t="s">
        <v>943</v>
      </c>
      <c r="B34" s="1707" t="s">
        <v>1531</v>
      </c>
      <c r="C34" s="1769">
        <f ca="1">IF(项目基本情况!B11="自然人","——",ROUND(F34*F35,0))</f>
        <v>0</v>
      </c>
      <c r="D34" s="1770" t="s">
        <v>1532</v>
      </c>
      <c r="E34" s="1708" t="s">
        <v>1533</v>
      </c>
      <c r="F34" s="1754">
        <f>'数据-取费表'!B52</f>
        <v>8</v>
      </c>
      <c r="G34" s="1675"/>
      <c r="H34" s="1762"/>
      <c r="I34" s="1871"/>
      <c r="J34" s="1872"/>
      <c r="K34" s="1877"/>
      <c r="L34" s="1878"/>
      <c r="M34" s="1878"/>
    </row>
    <row r="35" ht="18" customHeight="1" spans="1:13">
      <c r="A35" s="1771"/>
      <c r="B35" s="1772"/>
      <c r="C35" s="1773"/>
      <c r="D35" s="1774"/>
      <c r="E35" s="1708" t="s">
        <v>1537</v>
      </c>
      <c r="F35" s="1709">
        <f ca="1">INDIRECT("'数据-取费表'!r"&amp;$G$1)</f>
        <v>0</v>
      </c>
      <c r="G35" s="1675"/>
      <c r="H35" s="1762"/>
      <c r="I35" s="1871"/>
      <c r="J35" s="1872"/>
      <c r="K35" s="1876"/>
      <c r="L35" s="1768"/>
      <c r="M35" s="1768"/>
    </row>
    <row r="36" ht="18" customHeight="1" spans="1:13">
      <c r="A36" s="1775" t="s">
        <v>917</v>
      </c>
      <c r="B36" s="1708" t="s">
        <v>1539</v>
      </c>
      <c r="C36" s="643">
        <f ca="1">ROUND(C29*F36,0)</f>
        <v>0</v>
      </c>
      <c r="D36" s="1764" t="s">
        <v>1572</v>
      </c>
      <c r="E36" s="1708" t="s">
        <v>1511</v>
      </c>
      <c r="F36" s="1776">
        <f ca="1">INDIRECT("'数据-取费表'!Ak"&amp;$G$1)</f>
        <v>0</v>
      </c>
      <c r="G36" s="1675"/>
      <c r="H36" s="1768"/>
      <c r="I36" s="1871"/>
      <c r="J36" s="1872"/>
      <c r="K36" s="1879"/>
      <c r="L36" s="1768"/>
      <c r="M36" s="1768"/>
    </row>
    <row r="37" ht="18" customHeight="1" spans="1:13">
      <c r="A37" s="1739" t="s">
        <v>962</v>
      </c>
      <c r="B37" s="1708" t="s">
        <v>1543</v>
      </c>
      <c r="C37" s="643">
        <f ca="1">ROUND(C13*F37,0)</f>
        <v>0</v>
      </c>
      <c r="D37" s="1764" t="s">
        <v>1544</v>
      </c>
      <c r="E37" s="1708" t="s">
        <v>1511</v>
      </c>
      <c r="F37" s="1777">
        <f ca="1">INDIRECT("'数据-取费表'!Al"&amp;$G$1)</f>
        <v>0</v>
      </c>
      <c r="G37" s="1675"/>
      <c r="H37" s="1768"/>
      <c r="I37" s="1871"/>
      <c r="J37" s="1872"/>
      <c r="K37" s="1879"/>
      <c r="L37" s="1768"/>
      <c r="M37" s="1768"/>
    </row>
    <row r="38" ht="18" customHeight="1" spans="1:13">
      <c r="A38" s="1747" t="s">
        <v>965</v>
      </c>
      <c r="B38" s="1732" t="s">
        <v>1529</v>
      </c>
      <c r="C38" s="1756">
        <f ca="1">ROUND(C5*F38,0)</f>
        <v>0</v>
      </c>
      <c r="D38" s="1757" t="s">
        <v>1547</v>
      </c>
      <c r="E38" s="1732" t="s">
        <v>1511</v>
      </c>
      <c r="F38" s="1733">
        <f ca="1">INDIRECT("'数据-取费表'!Am"&amp;$G$1)</f>
        <v>0</v>
      </c>
      <c r="G38" s="1675"/>
      <c r="H38" s="1768"/>
      <c r="I38" s="1871"/>
      <c r="J38" s="1872"/>
      <c r="K38" s="1880"/>
      <c r="L38" s="1768"/>
      <c r="M38" s="1768"/>
    </row>
    <row r="39" ht="24.6" customHeight="1" spans="1:13">
      <c r="A39" s="1734" t="s">
        <v>1550</v>
      </c>
      <c r="B39" s="1778" t="s">
        <v>1551</v>
      </c>
      <c r="C39" s="1736">
        <f ca="1">C5-C30</f>
        <v>0</v>
      </c>
      <c r="D39" s="1779" t="s">
        <v>1552</v>
      </c>
      <c r="E39" s="1780"/>
      <c r="F39" s="1781"/>
      <c r="G39" s="1675"/>
      <c r="H39" s="1768"/>
      <c r="I39" s="1871"/>
      <c r="J39" s="1872"/>
      <c r="K39" s="1880"/>
      <c r="L39" s="1768"/>
      <c r="M39" s="1768"/>
    </row>
    <row r="40" ht="18" customHeight="1" spans="1:13">
      <c r="A40" s="1698" t="s">
        <v>1556</v>
      </c>
      <c r="B40" s="1699" t="s">
        <v>1573</v>
      </c>
      <c r="C40" s="1782" t="e">
        <f ca="1">ROUND(C39*(1-((1+F42)/(1+F40))^F41)/(F40-F42),0)</f>
        <v>#DIV/0!</v>
      </c>
      <c r="D40" s="1770" t="s">
        <v>1558</v>
      </c>
      <c r="E40" s="1708" t="s">
        <v>1559</v>
      </c>
      <c r="F40" s="1718">
        <f ca="1">INDIRECT("'数据-取费表'!I"&amp;$G$1)</f>
        <v>0</v>
      </c>
      <c r="G40" s="1675"/>
      <c r="H40" s="1783"/>
      <c r="I40" s="1871"/>
      <c r="J40" s="1872"/>
      <c r="K40" s="1880"/>
      <c r="L40" s="1783"/>
      <c r="M40" s="1783"/>
    </row>
    <row r="41" ht="18" customHeight="1" spans="1:13">
      <c r="A41" s="1715"/>
      <c r="B41" s="1784"/>
      <c r="C41" s="1716"/>
      <c r="D41" s="1785" t="s">
        <v>1562</v>
      </c>
      <c r="E41" s="1708" t="s">
        <v>1563</v>
      </c>
      <c r="F41" s="1786">
        <f ca="1">IF(INDIRECT("'数据-取费表'!af"&amp;$G$1)=0,INDIRECT("'数据-取费表'!ae"&amp;$G$1),INDIRECT("'数据-取费表'!af"&amp;$G$1))</f>
        <v>0</v>
      </c>
      <c r="G41" s="1675"/>
      <c r="H41" s="1787"/>
      <c r="I41" s="1871"/>
      <c r="J41" s="1872"/>
      <c r="K41" s="1879"/>
      <c r="L41" s="1787"/>
      <c r="M41" s="1787"/>
    </row>
    <row r="42" ht="18" customHeight="1" spans="1:13">
      <c r="A42" s="1723"/>
      <c r="B42" s="1788"/>
      <c r="C42" s="1736"/>
      <c r="D42" s="1774"/>
      <c r="E42" s="1708" t="s">
        <v>1566</v>
      </c>
      <c r="F42" s="1718">
        <f ca="1">INDIRECT("'数据-取费表'!v"&amp;$G$1)</f>
        <v>0</v>
      </c>
      <c r="G42" s="1675"/>
      <c r="H42" s="1787"/>
      <c r="I42" s="1871"/>
      <c r="J42" s="1872"/>
      <c r="K42" s="1879"/>
      <c r="L42" s="1787"/>
      <c r="M42" s="1787"/>
    </row>
    <row r="43" ht="18" customHeight="1" spans="1:13">
      <c r="A43" s="1759" t="s">
        <v>1568</v>
      </c>
      <c r="B43" s="1789" t="s">
        <v>1574</v>
      </c>
      <c r="C43" s="1790" t="e">
        <f ca="1">ROUND(C40/F43,0)</f>
        <v>#DIV/0!</v>
      </c>
      <c r="D43" s="1791" t="s">
        <v>1575</v>
      </c>
      <c r="E43" s="1792" t="s">
        <v>1576</v>
      </c>
      <c r="F43" s="1793">
        <f ca="1">INDIRECT("'数据-取费表'!k"&amp;$G$1)</f>
        <v>0</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6" t="s">
        <v>1975</v>
      </c>
      <c r="B45" s="1794"/>
      <c r="C45" s="1797" t="e">
        <f ca="1">ROUND((C68-C40)/10000,4)</f>
        <v>#DIV/0!</v>
      </c>
      <c r="D45" s="1798" t="s">
        <v>1976</v>
      </c>
      <c r="E45" s="1794"/>
      <c r="F45" s="1794"/>
      <c r="O45" s="1882" t="s">
        <v>1577</v>
      </c>
      <c r="P45" s="1783"/>
      <c r="Q45" s="1783"/>
      <c r="R45" s="1783"/>
    </row>
    <row r="46" s="1675" customFormat="1" ht="13.75" spans="1:18">
      <c r="A46" s="1799" t="s">
        <v>1578</v>
      </c>
      <c r="C46" s="1800" t="e">
        <f ca="1">ROUND(C45,0)</f>
        <v>#DIV/0!</v>
      </c>
      <c r="D46" s="1801" t="str">
        <f>C2</f>
        <v>万元</v>
      </c>
      <c r="I46" s="1883" t="s">
        <v>1579</v>
      </c>
      <c r="J46" s="1884"/>
      <c r="K46" s="1885"/>
      <c r="L46" s="1886" t="e">
        <f ca="1">IF(M47="住宅",0,IF(L48&gt;J51,L60,J60))</f>
        <v>#DIV/0!</v>
      </c>
      <c r="O46" s="1887" t="s">
        <v>1580</v>
      </c>
      <c r="P46" s="1888" t="s">
        <v>1581</v>
      </c>
      <c r="Q46" s="1935" t="s">
        <v>1582</v>
      </c>
      <c r="R46" s="1935" t="s">
        <v>1583</v>
      </c>
    </row>
    <row r="47" s="1675" customFormat="1" ht="13.75" spans="1:18">
      <c r="A47" s="1802" t="s">
        <v>1483</v>
      </c>
      <c r="B47" s="1803" t="s">
        <v>1484</v>
      </c>
      <c r="C47" s="1803" t="s">
        <v>1485</v>
      </c>
      <c r="D47" s="1803" t="s">
        <v>1486</v>
      </c>
      <c r="E47" s="1804" t="s">
        <v>1487</v>
      </c>
      <c r="F47" s="636"/>
      <c r="G47" s="1805"/>
      <c r="I47" s="1889" t="s">
        <v>1584</v>
      </c>
      <c r="J47" s="1890"/>
      <c r="K47" s="1891" t="s">
        <v>1586</v>
      </c>
      <c r="L47" s="1892">
        <f ca="1">INDIRECT("'数据-取费表'!d"&amp;$G$1)</f>
        <v>0</v>
      </c>
      <c r="M47" s="1893" t="str">
        <f>IF(ISNUMBER(FIND("住宅",C1)),"住宅","非住宅")</f>
        <v>非住宅</v>
      </c>
      <c r="O47" s="1894" t="s">
        <v>1019</v>
      </c>
      <c r="P47" s="1895" t="s">
        <v>1587</v>
      </c>
      <c r="Q47" s="1936" t="e">
        <f ca="1">C40+J29</f>
        <v>#DIV/0!</v>
      </c>
      <c r="R47" s="1936" t="s">
        <v>1588</v>
      </c>
    </row>
    <row r="48" s="1675" customFormat="1" ht="42.75" spans="1:18">
      <c r="A48" s="1806" t="s">
        <v>1589</v>
      </c>
      <c r="B48" s="1699" t="s">
        <v>1488</v>
      </c>
      <c r="C48" s="644">
        <f ca="1">C49+C53+C55</f>
        <v>0</v>
      </c>
      <c r="D48" s="1807"/>
      <c r="E48" s="1808"/>
      <c r="F48" s="1809"/>
      <c r="G48" s="1805"/>
      <c r="H48" s="1810"/>
      <c r="I48" s="1896" t="s">
        <v>1590</v>
      </c>
      <c r="J48" s="1897"/>
      <c r="K48" s="1898" t="s">
        <v>1592</v>
      </c>
      <c r="L48" s="1899">
        <f ca="1">INDIRECT("'数据-取费表'!f"&amp;$G$1)</f>
        <v>0</v>
      </c>
      <c r="O48" s="1894" t="s">
        <v>1022</v>
      </c>
      <c r="P48" s="1895" t="s">
        <v>1593</v>
      </c>
      <c r="Q48" s="1936" t="e">
        <f ca="1">J60</f>
        <v>#DIV/0!</v>
      </c>
      <c r="R48" s="1936" t="s">
        <v>1594</v>
      </c>
    </row>
    <row r="49" s="1675" customFormat="1" ht="13.75" spans="1:18">
      <c r="A49" s="1811" t="s">
        <v>1595</v>
      </c>
      <c r="B49" s="1812" t="s">
        <v>1596</v>
      </c>
      <c r="C49" s="1813">
        <f ca="1">ROUND(F49*F51*F50*(1-F52),0)</f>
        <v>0</v>
      </c>
      <c r="D49" s="1814" t="s">
        <v>1977</v>
      </c>
      <c r="E49" s="1815" t="s">
        <v>1597</v>
      </c>
      <c r="F49" s="1816"/>
      <c r="G49" s="1817"/>
      <c r="H49" s="1810"/>
      <c r="I49" s="1896" t="s">
        <v>1598</v>
      </c>
      <c r="J49" s="1900"/>
      <c r="K49" s="1898" t="s">
        <v>1599</v>
      </c>
      <c r="L49" s="1901"/>
      <c r="O49" s="1902" t="s">
        <v>1600</v>
      </c>
      <c r="P49" s="1895" t="s">
        <v>1601</v>
      </c>
      <c r="Q49" s="1936">
        <f ca="1">C29</f>
        <v>0</v>
      </c>
      <c r="R49" s="1936" t="s">
        <v>1588</v>
      </c>
    </row>
    <row r="50" s="1675" customFormat="1" ht="13.75" spans="1:18">
      <c r="A50" s="1818"/>
      <c r="B50" s="1819"/>
      <c r="C50" s="1820"/>
      <c r="D50" s="1821"/>
      <c r="E50" s="1822" t="s">
        <v>1494</v>
      </c>
      <c r="F50" s="1823">
        <f ca="1">F7</f>
        <v>0</v>
      </c>
      <c r="H50" s="1810"/>
      <c r="I50" s="1896" t="s">
        <v>1602</v>
      </c>
      <c r="J50" s="1903">
        <f>SUMPRODUCT((I63:I65=J47)*(J62:L62=J48)*(J63:L65))</f>
        <v>0</v>
      </c>
      <c r="K50" s="1898" t="s">
        <v>1603</v>
      </c>
      <c r="L50" s="1901"/>
      <c r="M50" s="1904"/>
      <c r="O50" s="1902" t="s">
        <v>1604</v>
      </c>
      <c r="P50" s="1895" t="s">
        <v>1605</v>
      </c>
      <c r="Q50" s="1937" t="e">
        <f ca="1">J58</f>
        <v>#DIV/0!</v>
      </c>
      <c r="R50" s="1936"/>
    </row>
    <row r="51" s="1675" customFormat="1" ht="13.75" spans="1:18">
      <c r="A51" s="1824"/>
      <c r="B51" s="1819"/>
      <c r="C51" s="1820"/>
      <c r="D51" s="1821"/>
      <c r="E51" s="1825" t="s">
        <v>1495</v>
      </c>
      <c r="F51" s="1709">
        <f ca="1">F8</f>
        <v>0</v>
      </c>
      <c r="I51" s="1905" t="s">
        <v>1606</v>
      </c>
      <c r="J51" s="1906">
        <f>IF(J49="",J50,J49+J50-YEAR('数据-取费表'!B2))</f>
        <v>0</v>
      </c>
      <c r="K51" s="1907" t="s">
        <v>1607</v>
      </c>
      <c r="L51" s="1908">
        <f ca="1">ROUND(-PV(INDIRECT("'数据-取费表'!h"&amp;$G$1),J51,(C39-C13*C76),0),0)</f>
        <v>0</v>
      </c>
      <c r="M51" s="1909"/>
      <c r="O51" s="1902" t="s">
        <v>1608</v>
      </c>
      <c r="P51" s="1895" t="s">
        <v>1609</v>
      </c>
      <c r="Q51" s="1937">
        <f>J52</f>
        <v>0</v>
      </c>
      <c r="R51" s="1936"/>
    </row>
    <row r="52" s="1675" customFormat="1" ht="13.75" spans="1:18">
      <c r="A52" s="1824"/>
      <c r="B52" s="1819"/>
      <c r="C52" s="1820"/>
      <c r="D52" s="1821"/>
      <c r="E52" s="1825" t="s">
        <v>1496</v>
      </c>
      <c r="F52" s="1826"/>
      <c r="I52" s="1910" t="s">
        <v>1610</v>
      </c>
      <c r="J52" s="1911"/>
      <c r="K52" s="1910" t="s">
        <v>1611</v>
      </c>
      <c r="L52" s="1911"/>
      <c r="O52" s="1902" t="s">
        <v>1612</v>
      </c>
      <c r="P52" s="1895" t="s">
        <v>1613</v>
      </c>
      <c r="Q52" s="1936">
        <f ca="1">J53</f>
        <v>0</v>
      </c>
      <c r="R52" s="1936" t="s">
        <v>1614</v>
      </c>
    </row>
    <row r="53" s="1675" customFormat="1" ht="30.75" customHeight="1" spans="1:18">
      <c r="A53" s="1827" t="s">
        <v>1615</v>
      </c>
      <c r="B53" s="1751" t="s">
        <v>1497</v>
      </c>
      <c r="C53" s="642">
        <f ca="1">ROUND(IF(F53="押一",C49/12*F11,IF(F53="押二",C49/12*2*F11,IF(F53="押三",C49/12*3*F11,C54*F11))),0)</f>
        <v>0</v>
      </c>
      <c r="D53" s="1720" t="s">
        <v>1978</v>
      </c>
      <c r="E53" s="1721" t="s">
        <v>1499</v>
      </c>
      <c r="F53" s="1722"/>
      <c r="I53" s="1912" t="s">
        <v>1616</v>
      </c>
      <c r="J53" s="1913">
        <f ca="1">IF(M47="住宅",IF(D1="——",MAX(J51,L48),MAX(J51,L48-'数据-取费表'!B24)),IF(D1="——",MIN(J51,L48),MIN(J51,L48-'数据-取费表'!B24)))</f>
        <v>0</v>
      </c>
      <c r="K53" s="1914" t="s">
        <v>1617</v>
      </c>
      <c r="L53" s="1915"/>
      <c r="O53" s="1894" t="s">
        <v>1339</v>
      </c>
      <c r="P53" s="1895" t="s">
        <v>1618</v>
      </c>
      <c r="Q53" s="1936" t="e">
        <f ca="1">Q47+Q48</f>
        <v>#DIV/0!</v>
      </c>
      <c r="R53" s="1936" t="s">
        <v>1619</v>
      </c>
    </row>
    <row r="54" s="1675" customFormat="1" ht="13.75" spans="1:18">
      <c r="A54" s="1811"/>
      <c r="B54" s="1828" t="s">
        <v>1974</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7"/>
      <c r="O54" s="1882" t="s">
        <v>1620</v>
      </c>
      <c r="P54" s="1918"/>
      <c r="Q54" s="1918"/>
      <c r="R54" s="1918"/>
    </row>
    <row r="55" s="1675" customFormat="1" ht="13.75" spans="1:18">
      <c r="A55" s="1728" t="s">
        <v>962</v>
      </c>
      <c r="B55" s="1729" t="s">
        <v>1503</v>
      </c>
      <c r="C55" s="1730"/>
      <c r="D55" s="1720"/>
      <c r="E55" s="1829"/>
      <c r="F55" s="1830"/>
      <c r="I55" s="1919" t="s">
        <v>1621</v>
      </c>
      <c r="J55" s="1920" t="e">
        <f ca="1">ROUND(IF(J47="钢混",J57/J50,1-(1-2%)*(J50-J57)/J50),3)</f>
        <v>#DIV/0!</v>
      </c>
      <c r="K55" s="1921" t="s">
        <v>1622</v>
      </c>
      <c r="L55" s="1922"/>
      <c r="O55" s="1887" t="s">
        <v>1580</v>
      </c>
      <c r="P55" s="1888" t="s">
        <v>1581</v>
      </c>
      <c r="Q55" s="1935" t="s">
        <v>1582</v>
      </c>
      <c r="R55" s="1935" t="s">
        <v>1583</v>
      </c>
    </row>
    <row r="56" s="1675" customFormat="1" ht="36" customHeight="1" spans="1:18">
      <c r="A56" s="1831">
        <v>2</v>
      </c>
      <c r="B56" s="1832" t="s">
        <v>1504</v>
      </c>
      <c r="C56" s="429">
        <f ca="1">C13</f>
        <v>0</v>
      </c>
      <c r="D56" s="1833"/>
      <c r="E56" s="1834"/>
      <c r="F56" s="1830"/>
      <c r="I56" s="1923" t="s">
        <v>1623</v>
      </c>
      <c r="J56" s="1924"/>
      <c r="K56" s="1896" t="s">
        <v>1625</v>
      </c>
      <c r="L56" s="1899">
        <f ca="1">IF(L48&lt;J51,"——",L48-J51)</f>
        <v>0</v>
      </c>
      <c r="O56" s="1894" t="s">
        <v>1019</v>
      </c>
      <c r="P56" s="1895" t="s">
        <v>1587</v>
      </c>
      <c r="Q56" s="1936" t="e">
        <f ca="1">C40+J29</f>
        <v>#DIV/0!</v>
      </c>
      <c r="R56" s="1936" t="s">
        <v>1588</v>
      </c>
    </row>
    <row r="57" s="1675" customFormat="1" ht="26.75" spans="1:18">
      <c r="A57" s="1835"/>
      <c r="B57" s="1836" t="s">
        <v>1567</v>
      </c>
      <c r="C57" s="439">
        <f ca="1">C29</f>
        <v>0</v>
      </c>
      <c r="D57" s="1837"/>
      <c r="E57" s="1838"/>
      <c r="F57" s="1839"/>
      <c r="I57" s="1925" t="s">
        <v>1626</v>
      </c>
      <c r="J57" s="1926">
        <f ca="1">IF(OR(M47="住宅",J51&lt;L48,J56="是"),"——",J51-L48)</f>
        <v>0</v>
      </c>
      <c r="K57" s="1896" t="s">
        <v>1979</v>
      </c>
      <c r="L57" s="1899">
        <f ca="1">IF(L48&lt;J51,"——",IF(L55="比较法",L49,IF(L55="基准地价",L50,L51)))</f>
        <v>0</v>
      </c>
      <c r="O57" s="1894" t="s">
        <v>1022</v>
      </c>
      <c r="P57" s="1895" t="s">
        <v>1628</v>
      </c>
      <c r="Q57" s="1936" t="e">
        <f ca="1">L60</f>
        <v>#DIV/0!</v>
      </c>
      <c r="R57" s="1936" t="s">
        <v>1629</v>
      </c>
    </row>
    <row r="58" s="1675" customFormat="1" ht="26.75" spans="1:18">
      <c r="A58" s="1840" t="s">
        <v>1512</v>
      </c>
      <c r="B58" s="1832" t="s">
        <v>1513</v>
      </c>
      <c r="C58" s="642">
        <f ca="1">ROUND(C59+C64+C65+C66,0)</f>
        <v>0</v>
      </c>
      <c r="D58" s="1841" t="s">
        <v>1514</v>
      </c>
      <c r="E58" s="1842"/>
      <c r="F58" s="1809"/>
      <c r="I58" s="1925" t="s">
        <v>1630</v>
      </c>
      <c r="J58" s="1927" t="e">
        <f ca="1">IF(J55&lt;0.4,0.4,J55)</f>
        <v>#DIV/0!</v>
      </c>
      <c r="K58" s="1907" t="s">
        <v>1980</v>
      </c>
      <c r="L58" s="1899" t="e">
        <f ca="1">ROUND(POWER(1+L52,L47-L48)*(POWER(1+L52,L48)-1)/(POWER(1+L52,L47)-1),4)</f>
        <v>#DIV/0!</v>
      </c>
      <c r="O58" s="1902" t="s">
        <v>1600</v>
      </c>
      <c r="P58" s="1895" t="s">
        <v>1632</v>
      </c>
      <c r="Q58" s="1936">
        <f>IF(L55="比较法",L49,IF(L55="基准地价",L50,0))</f>
        <v>0</v>
      </c>
      <c r="R58" s="1936" t="s">
        <v>1588</v>
      </c>
    </row>
    <row r="59" s="1675" customFormat="1" ht="26.75" spans="1:18">
      <c r="A59" s="1739" t="s">
        <v>913</v>
      </c>
      <c r="B59" s="1836" t="s">
        <v>1519</v>
      </c>
      <c r="C59" s="1763">
        <f ca="1">ROUND(IF(AND(项目基本情况!B11="自然人",项目基本情况!B10="北京市"),C49*F59/(1+'数据-取费表'!C42),C60+C61+C62),0)</f>
        <v>0</v>
      </c>
      <c r="D59" s="1843" t="s">
        <v>1520</v>
      </c>
      <c r="E59" s="1844" t="s">
        <v>1521</v>
      </c>
      <c r="F59" s="1765" t="str">
        <f ca="1">IF(项目基本情况!B11="企业","——",IF('数据-取费表'!B10="住宅",IF(F49*F50*F51/12/(1+'数据-取费表'!F30)&gt;100000,4%,2.5%),IF(F49*F50*F51/12/(1+'数据-取费表'!F30)&gt;100000,12%,7%)))</f>
        <v>——</v>
      </c>
      <c r="I59" s="1925" t="s">
        <v>1633</v>
      </c>
      <c r="J59" s="1926" t="e">
        <f ca="1">IF(OR(M47="住宅",J51&lt;L48,J56="是"),"——",ROUND(C29*J58,0))</f>
        <v>#DIV/0!</v>
      </c>
      <c r="K59" s="18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9"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02" t="s">
        <v>1604</v>
      </c>
      <c r="P59" s="1895" t="s">
        <v>1634</v>
      </c>
      <c r="Q59" s="1937">
        <f>L52</f>
        <v>0</v>
      </c>
      <c r="R59" s="1936"/>
    </row>
    <row r="60" s="1675" customFormat="1" ht="16.75" spans="1:18">
      <c r="A60" s="1739" t="s">
        <v>936</v>
      </c>
      <c r="B60" s="1836" t="s">
        <v>1523</v>
      </c>
      <c r="C60" s="643">
        <f ca="1">IF(项目基本情况!B11="自然人","——",ROUND(C48*F60/(1+'数据-取费表'!C42),0))</f>
        <v>0</v>
      </c>
      <c r="D60" s="1844" t="s">
        <v>1524</v>
      </c>
      <c r="E60" s="1836" t="s">
        <v>1511</v>
      </c>
      <c r="F60" s="1755">
        <f t="shared" ref="F60:F66" si="0">F32</f>
        <v>0.056</v>
      </c>
      <c r="I60" s="1928" t="s">
        <v>1635</v>
      </c>
      <c r="J60" s="1929" t="e">
        <f ca="1">IF(OR(M47="住宅",J51&lt;L48,J56="是"),"0",ROUND(J59/(1+J52)^J53,0))</f>
        <v>#DIV/0!</v>
      </c>
      <c r="K60" s="1930" t="s">
        <v>1636</v>
      </c>
      <c r="L60" s="1929" t="e">
        <f ca="1">IF(OR(M47="住宅",L48&lt;J51),0,ROUND(L57*(L58/L59-1),0))</f>
        <v>#DIV/0!</v>
      </c>
      <c r="O60" s="1902" t="s">
        <v>1608</v>
      </c>
      <c r="P60" s="1895" t="s">
        <v>1637</v>
      </c>
      <c r="Q60" s="1936" t="e">
        <f ca="1">L58</f>
        <v>#DIV/0!</v>
      </c>
      <c r="R60" s="1936" t="s">
        <v>1638</v>
      </c>
    </row>
    <row r="61" s="1675" customFormat="1" ht="13.75" spans="1:18">
      <c r="A61" s="1739" t="s">
        <v>940</v>
      </c>
      <c r="B61" s="1836" t="s">
        <v>1527</v>
      </c>
      <c r="C61" s="643">
        <f ca="1">IF(项目基本情况!B11="自然人","——",IF(D61="按租金收入计税",ROUND(C49*F61/(1+'数据-取费表'!C42),0),IF(D61="按房产原值计税",ROUND(C57*F61*0.7,0),INDIRECT("'数据-取费表'!Aj"&amp;$G$1))))</f>
        <v>0</v>
      </c>
      <c r="D61" s="1767" t="s">
        <v>1528</v>
      </c>
      <c r="E61" s="1836" t="s">
        <v>1511</v>
      </c>
      <c r="F61" s="1748">
        <f t="shared" si="0"/>
        <v>0.12</v>
      </c>
      <c r="I61" s="1783"/>
      <c r="J61" s="1783"/>
      <c r="K61" s="1783"/>
      <c r="L61" s="1783"/>
      <c r="O61" s="1902" t="s">
        <v>1612</v>
      </c>
      <c r="P61" s="1895" t="str">
        <f>K59</f>
        <v>建筑物剩余耐用年限下的土地年期修正系数Kn</v>
      </c>
      <c r="Q61" s="1936" t="e">
        <f ca="1">L59</f>
        <v>#DIV/0!</v>
      </c>
      <c r="R61" s="1936" t="s">
        <v>1639</v>
      </c>
    </row>
    <row r="62" s="1675" customFormat="1" ht="13.75" spans="1:18">
      <c r="A62" s="1739" t="s">
        <v>943</v>
      </c>
      <c r="B62" s="1845" t="s">
        <v>1531</v>
      </c>
      <c r="C62" s="1769">
        <f ca="1">IF(项目基本情况!B11="自然人","——",ROUND(F62*F63,0))</f>
        <v>0</v>
      </c>
      <c r="D62" s="1846" t="s">
        <v>1532</v>
      </c>
      <c r="E62" s="1836" t="s">
        <v>1533</v>
      </c>
      <c r="F62" s="1754">
        <f t="shared" si="0"/>
        <v>8</v>
      </c>
      <c r="I62" s="1931" t="s">
        <v>1640</v>
      </c>
      <c r="J62" s="1932" t="s">
        <v>1641</v>
      </c>
      <c r="K62" s="1932" t="s">
        <v>1642</v>
      </c>
      <c r="L62" s="1932" t="s">
        <v>1643</v>
      </c>
      <c r="M62" s="1933" t="s">
        <v>1644</v>
      </c>
      <c r="O62" s="1894" t="s">
        <v>1339</v>
      </c>
      <c r="P62" s="1895" t="s">
        <v>1618</v>
      </c>
      <c r="Q62" s="1936" t="e">
        <f ca="1">Q56+Q57</f>
        <v>#DIV/0!</v>
      </c>
      <c r="R62" s="1936" t="s">
        <v>1619</v>
      </c>
    </row>
    <row r="63" s="1675" customFormat="1" ht="13.75" spans="1:18">
      <c r="A63" s="1752"/>
      <c r="B63" s="1847"/>
      <c r="C63" s="1773"/>
      <c r="D63" s="1848"/>
      <c r="E63" s="1836" t="s">
        <v>1537</v>
      </c>
      <c r="F63" s="1709">
        <f ca="1" t="shared" si="0"/>
        <v>0</v>
      </c>
      <c r="I63" s="1931" t="s">
        <v>1645</v>
      </c>
      <c r="J63" s="1932">
        <v>70</v>
      </c>
      <c r="K63" s="1932">
        <v>50</v>
      </c>
      <c r="L63" s="1932">
        <v>80</v>
      </c>
      <c r="M63" s="1934">
        <v>0.02</v>
      </c>
      <c r="O63" s="1882" t="s">
        <v>1646</v>
      </c>
      <c r="P63" s="1918"/>
      <c r="Q63" s="1918"/>
      <c r="R63" s="1918"/>
    </row>
    <row r="64" s="1675" customFormat="1" ht="13.75" spans="1:18">
      <c r="A64" s="1739" t="s">
        <v>917</v>
      </c>
      <c r="B64" s="1836" t="s">
        <v>1539</v>
      </c>
      <c r="C64" s="643">
        <f ca="1">ROUND(C57*F64,0)</f>
        <v>0</v>
      </c>
      <c r="D64" s="1844" t="s">
        <v>1572</v>
      </c>
      <c r="E64" s="1836" t="s">
        <v>1511</v>
      </c>
      <c r="F64" s="1776">
        <f ca="1" t="shared" si="0"/>
        <v>0</v>
      </c>
      <c r="I64" s="1931" t="s">
        <v>1647</v>
      </c>
      <c r="J64" s="1932">
        <v>50</v>
      </c>
      <c r="K64" s="1932">
        <v>35</v>
      </c>
      <c r="L64" s="1932">
        <v>60</v>
      </c>
      <c r="M64" s="1933">
        <v>0</v>
      </c>
      <c r="O64" s="1887" t="s">
        <v>1580</v>
      </c>
      <c r="P64" s="1888" t="s">
        <v>1581</v>
      </c>
      <c r="Q64" s="1935" t="s">
        <v>1582</v>
      </c>
      <c r="R64" s="1935" t="s">
        <v>1583</v>
      </c>
    </row>
    <row r="65" s="1675" customFormat="1" ht="13.75" spans="1:18">
      <c r="A65" s="1739" t="s">
        <v>962</v>
      </c>
      <c r="B65" s="1836" t="s">
        <v>1543</v>
      </c>
      <c r="C65" s="643">
        <f ca="1">ROUND(C56*F65,0)</f>
        <v>0</v>
      </c>
      <c r="D65" s="1844" t="s">
        <v>1544</v>
      </c>
      <c r="E65" s="1836" t="s">
        <v>1511</v>
      </c>
      <c r="F65" s="1777">
        <f ca="1" t="shared" si="0"/>
        <v>0</v>
      </c>
      <c r="I65" s="1931" t="s">
        <v>1648</v>
      </c>
      <c r="J65" s="1932">
        <v>40</v>
      </c>
      <c r="K65" s="1932">
        <v>30</v>
      </c>
      <c r="L65" s="1932">
        <v>50</v>
      </c>
      <c r="M65" s="1934">
        <v>0.02</v>
      </c>
      <c r="O65" s="1894" t="s">
        <v>1019</v>
      </c>
      <c r="P65" s="1895" t="s">
        <v>1587</v>
      </c>
      <c r="Q65" s="1936" t="e">
        <f ca="1">C40+J29</f>
        <v>#DIV/0!</v>
      </c>
      <c r="R65" s="1936" t="s">
        <v>1588</v>
      </c>
    </row>
    <row r="66" s="1675" customFormat="1" ht="16.75" spans="1:18">
      <c r="A66" s="1739" t="s">
        <v>965</v>
      </c>
      <c r="B66" s="1836" t="s">
        <v>1529</v>
      </c>
      <c r="C66" s="643">
        <f ca="1">ROUND(C48*F66,0)</f>
        <v>0</v>
      </c>
      <c r="D66" s="1844" t="s">
        <v>1547</v>
      </c>
      <c r="E66" s="1836" t="s">
        <v>1511</v>
      </c>
      <c r="F66" s="1718">
        <f ca="1" t="shared" si="0"/>
        <v>0</v>
      </c>
      <c r="O66" s="1894" t="s">
        <v>1022</v>
      </c>
      <c r="P66" s="1895" t="s">
        <v>1628</v>
      </c>
      <c r="Q66" s="1936" t="e">
        <f ca="1">L60</f>
        <v>#DIV/0!</v>
      </c>
      <c r="R66" s="1936" t="s">
        <v>1629</v>
      </c>
    </row>
    <row r="67" s="1675" customFormat="1" ht="26.75" spans="1:18">
      <c r="A67" s="1831" t="s">
        <v>1550</v>
      </c>
      <c r="B67" s="1938" t="s">
        <v>1551</v>
      </c>
      <c r="C67" s="642">
        <f ca="1">C48-C58</f>
        <v>0</v>
      </c>
      <c r="D67" s="1843" t="s">
        <v>1552</v>
      </c>
      <c r="E67" s="1939"/>
      <c r="F67" s="1940"/>
      <c r="O67" s="1902" t="s">
        <v>1600</v>
      </c>
      <c r="P67" s="1895" t="s">
        <v>1632</v>
      </c>
      <c r="Q67" s="1961">
        <f ca="1">L51</f>
        <v>0</v>
      </c>
      <c r="R67" s="1936" t="s">
        <v>1649</v>
      </c>
    </row>
    <row r="68" s="1675" customFormat="1" ht="16.75" spans="1:18">
      <c r="A68" s="1941" t="s">
        <v>1556</v>
      </c>
      <c r="B68" s="1942" t="s">
        <v>1573</v>
      </c>
      <c r="C68" s="1782" t="e">
        <f ca="1">ROUND(C67*(1-((1+F70)/(1+F68))^F69)/(F68-F70),0)</f>
        <v>#DIV/0!</v>
      </c>
      <c r="D68" s="1846" t="s">
        <v>1558</v>
      </c>
      <c r="E68" s="1836" t="s">
        <v>1559</v>
      </c>
      <c r="F68" s="1718">
        <f ca="1">F40</f>
        <v>0</v>
      </c>
      <c r="O68" s="1902" t="s">
        <v>1604</v>
      </c>
      <c r="P68" s="1960" t="s">
        <v>1650</v>
      </c>
      <c r="Q68" s="1936">
        <f ca="1">ROUND(Q69-Q70*Q71,0)</f>
        <v>0</v>
      </c>
      <c r="R68" s="1936" t="s">
        <v>1651</v>
      </c>
    </row>
    <row r="69" s="1675" customFormat="1" ht="13.75" spans="1:18">
      <c r="A69" s="1943"/>
      <c r="B69" s="1944"/>
      <c r="C69" s="1716"/>
      <c r="D69" s="1945" t="s">
        <v>1562</v>
      </c>
      <c r="E69" s="1836" t="s">
        <v>1563</v>
      </c>
      <c r="F69" s="1786">
        <f ca="1">F41</f>
        <v>0</v>
      </c>
      <c r="O69" s="1902" t="s">
        <v>1652</v>
      </c>
      <c r="P69" s="1960" t="s">
        <v>1653</v>
      </c>
      <c r="Q69" s="1936">
        <f ca="1">C39</f>
        <v>0</v>
      </c>
      <c r="R69" s="1936" t="s">
        <v>1588</v>
      </c>
    </row>
    <row r="70" s="1675" customFormat="1" ht="13.75" spans="1:18">
      <c r="A70" s="1946"/>
      <c r="B70" s="1947"/>
      <c r="C70" s="1736"/>
      <c r="D70" s="1848"/>
      <c r="E70" s="1836" t="s">
        <v>1566</v>
      </c>
      <c r="F70" s="1826"/>
      <c r="O70" s="1902" t="s">
        <v>1654</v>
      </c>
      <c r="P70" s="1960" t="s">
        <v>1655</v>
      </c>
      <c r="Q70" s="1936">
        <f ca="1">C13</f>
        <v>0</v>
      </c>
      <c r="R70" s="1936" t="s">
        <v>1588</v>
      </c>
    </row>
    <row r="71" s="1675" customFormat="1" ht="13.75" spans="1:18">
      <c r="A71" s="1948" t="s">
        <v>1568</v>
      </c>
      <c r="B71" s="1949" t="s">
        <v>1574</v>
      </c>
      <c r="C71" s="1790" t="e">
        <f ca="1">ROUND(C68/F71,0)</f>
        <v>#DIV/0!</v>
      </c>
      <c r="D71" s="1950" t="s">
        <v>1575</v>
      </c>
      <c r="E71" s="1951" t="s">
        <v>1576</v>
      </c>
      <c r="F71" s="1793">
        <f ca="1">F43</f>
        <v>0</v>
      </c>
      <c r="O71" s="1902" t="s">
        <v>1656</v>
      </c>
      <c r="P71" s="1960" t="s">
        <v>1657</v>
      </c>
      <c r="Q71" s="1937">
        <f ca="1">C76</f>
        <v>0</v>
      </c>
      <c r="R71" s="1936"/>
    </row>
    <row r="72" s="1675" customFormat="1" ht="13.75" spans="2:18">
      <c r="B72" s="678"/>
      <c r="C72" s="678"/>
      <c r="O72" s="1902" t="s">
        <v>1608</v>
      </c>
      <c r="P72" s="1895" t="s">
        <v>1634</v>
      </c>
      <c r="Q72" s="1937">
        <f>L52</f>
        <v>0</v>
      </c>
      <c r="R72" s="1936"/>
    </row>
    <row r="73" ht="16.75" spans="1:18">
      <c r="A73" s="1675"/>
      <c r="B73" s="678"/>
      <c r="C73" s="678"/>
      <c r="D73" s="1675"/>
      <c r="E73" s="1675"/>
      <c r="F73" s="1675"/>
      <c r="O73" s="1902" t="s">
        <v>1612</v>
      </c>
      <c r="P73" s="1895" t="s">
        <v>1637</v>
      </c>
      <c r="Q73" s="1936" t="e">
        <f ca="1">L58</f>
        <v>#DIV/0!</v>
      </c>
      <c r="R73" s="1936" t="s">
        <v>1638</v>
      </c>
    </row>
    <row r="74" ht="13.75" spans="1:18">
      <c r="A74" s="1675"/>
      <c r="B74" s="474" t="s">
        <v>1658</v>
      </c>
      <c r="C74" s="1952"/>
      <c r="D74" s="1675"/>
      <c r="E74" s="1675"/>
      <c r="F74" s="1675"/>
      <c r="O74" s="1902" t="s">
        <v>1659</v>
      </c>
      <c r="P74" s="1895" t="str">
        <f>K59</f>
        <v>建筑物剩余耐用年限下的土地年期修正系数Kn</v>
      </c>
      <c r="Q74" s="1936" t="e">
        <f ca="1">L59</f>
        <v>#DIV/0!</v>
      </c>
      <c r="R74" s="1936" t="s">
        <v>1639</v>
      </c>
    </row>
    <row r="75" ht="13.75" spans="1:18">
      <c r="A75" s="1675"/>
      <c r="B75" s="1953" t="s">
        <v>1660</v>
      </c>
      <c r="C75" s="1954">
        <f ca="1">ROUND(C13*C76,0)</f>
        <v>0</v>
      </c>
      <c r="D75" s="1675"/>
      <c r="E75" s="1675"/>
      <c r="F75" s="1675"/>
      <c r="K75" s="1881"/>
      <c r="L75" s="1675"/>
      <c r="O75" s="1894" t="s">
        <v>1339</v>
      </c>
      <c r="P75" s="1895" t="s">
        <v>1618</v>
      </c>
      <c r="Q75" s="1936" t="e">
        <f ca="1">Q65+Q66</f>
        <v>#DIV/0!</v>
      </c>
      <c r="R75" s="1936" t="s">
        <v>1619</v>
      </c>
    </row>
    <row r="76" ht="13" spans="2:12">
      <c r="B76" s="1955" t="s">
        <v>1661</v>
      </c>
      <c r="C76" s="1956">
        <f ca="1">INDIRECT("'数据-取费表'!j"&amp;$G$1)</f>
        <v>0</v>
      </c>
      <c r="I76" s="1675"/>
      <c r="J76" s="1675"/>
      <c r="K76" s="1881"/>
      <c r="L76" s="1675"/>
    </row>
    <row r="77" ht="13" spans="2:12">
      <c r="B77" s="1957" t="s">
        <v>1662</v>
      </c>
      <c r="C77" s="1958"/>
      <c r="I77" s="1675"/>
      <c r="J77" s="1675"/>
      <c r="K77" s="1881"/>
      <c r="L77" s="1675"/>
    </row>
    <row r="78" ht="13" spans="2:3">
      <c r="B78" s="472" t="s">
        <v>1663</v>
      </c>
      <c r="C78" s="1959"/>
    </row>
    <row r="79" ht="13" spans="2:3">
      <c r="B79" s="1953" t="s">
        <v>1664</v>
      </c>
      <c r="C79" s="475" t="e">
        <f ca="1">1-C80</f>
        <v>#DIV/0!</v>
      </c>
    </row>
    <row r="80" ht="13" spans="2:3">
      <c r="B80" s="1953" t="s">
        <v>1665</v>
      </c>
      <c r="C80" s="475" t="e">
        <f ca="1">ROUND(C75/C39,3)</f>
        <v>#DIV/0!</v>
      </c>
    </row>
    <row r="81" ht="13" spans="2:3">
      <c r="B81" s="472" t="s">
        <v>1666</v>
      </c>
      <c r="C81" s="439"/>
    </row>
    <row r="82" ht="13" spans="2:3">
      <c r="B82" s="474" t="s">
        <v>1099</v>
      </c>
      <c r="C82" s="476" t="e">
        <f ca="1">1-C83</f>
        <v>#DIV/0!</v>
      </c>
    </row>
    <row r="83" ht="13" spans="2:3">
      <c r="B83" s="474" t="s">
        <v>1100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484" customWidth="1"/>
    <col min="2" max="2" width="8.87272727272727" style="1484"/>
    <col min="3" max="5" width="12.8727272727273" style="1484" customWidth="1"/>
    <col min="6" max="6" width="47.5" style="1484" customWidth="1"/>
    <col min="7" max="7" width="13" style="1485" customWidth="1"/>
    <col min="8" max="8" width="8.87272727272727" style="1486"/>
    <col min="9" max="9" width="8.87272727272727" style="1487"/>
    <col min="10" max="10" width="5.75454545454545" style="1488" customWidth="1"/>
    <col min="11" max="11" width="11.7545454545455" style="1488" customWidth="1"/>
    <col min="12" max="13" width="10.7545454545455" style="1488" customWidth="1"/>
    <col min="14" max="14" width="10" style="1488" customWidth="1"/>
    <col min="15" max="16" width="10.5" style="1488" customWidth="1"/>
    <col min="17" max="17" width="10" style="1488" customWidth="1"/>
    <col min="18" max="18" width="10.1272727272727" style="1488" customWidth="1"/>
    <col min="19" max="19" width="10" style="1488" customWidth="1"/>
    <col min="20" max="20" width="26.1272727272727" style="1488" customWidth="1"/>
    <col min="21" max="21" width="8.87272727272727" style="1488"/>
    <col min="22" max="22" width="8.87272727272727" style="1487"/>
    <col min="23" max="256" width="8.87272727272727" style="1484"/>
    <col min="257" max="257" width="9.5" style="1484" customWidth="1"/>
    <col min="258" max="258" width="8.87272727272727" style="1484"/>
    <col min="259" max="261" width="12.8727272727273" style="1484" customWidth="1"/>
    <col min="262" max="262" width="47.5" style="1484" customWidth="1"/>
    <col min="263" max="263" width="13" style="1484" customWidth="1"/>
    <col min="264" max="265" width="8.87272727272727" style="1484"/>
    <col min="266" max="266" width="5.75454545454545" style="1484" customWidth="1"/>
    <col min="267" max="267" width="11.7545454545455" style="1484" customWidth="1"/>
    <col min="268" max="269" width="10.7545454545455" style="1484" customWidth="1"/>
    <col min="270" max="270" width="10" style="1484" customWidth="1"/>
    <col min="271" max="272" width="10.5" style="1484" customWidth="1"/>
    <col min="273" max="273" width="10" style="1484" customWidth="1"/>
    <col min="274" max="274" width="10.1272727272727" style="1484" customWidth="1"/>
    <col min="275" max="275" width="10" style="1484" customWidth="1"/>
    <col min="276" max="276" width="26.1272727272727" style="1484" customWidth="1"/>
    <col min="277" max="512" width="8.87272727272727" style="1484"/>
    <col min="513" max="513" width="9.5" style="1484" customWidth="1"/>
    <col min="514" max="514" width="8.87272727272727" style="1484"/>
    <col min="515" max="517" width="12.8727272727273" style="1484" customWidth="1"/>
    <col min="518" max="518" width="47.5" style="1484" customWidth="1"/>
    <col min="519" max="519" width="13" style="1484" customWidth="1"/>
    <col min="520" max="521" width="8.87272727272727" style="1484"/>
    <col min="522" max="522" width="5.75454545454545" style="1484" customWidth="1"/>
    <col min="523" max="523" width="11.7545454545455" style="1484" customWidth="1"/>
    <col min="524" max="525" width="10.7545454545455" style="1484" customWidth="1"/>
    <col min="526" max="526" width="10" style="1484" customWidth="1"/>
    <col min="527" max="528" width="10.5" style="1484" customWidth="1"/>
    <col min="529" max="529" width="10" style="1484" customWidth="1"/>
    <col min="530" max="530" width="10.1272727272727" style="1484" customWidth="1"/>
    <col min="531" max="531" width="10" style="1484" customWidth="1"/>
    <col min="532" max="532" width="26.1272727272727" style="1484" customWidth="1"/>
    <col min="533" max="768" width="8.87272727272727" style="1484"/>
    <col min="769" max="769" width="9.5" style="1484" customWidth="1"/>
    <col min="770" max="770" width="8.87272727272727" style="1484"/>
    <col min="771" max="773" width="12.8727272727273" style="1484" customWidth="1"/>
    <col min="774" max="774" width="47.5" style="1484" customWidth="1"/>
    <col min="775" max="775" width="13" style="1484" customWidth="1"/>
    <col min="776" max="777" width="8.87272727272727" style="1484"/>
    <col min="778" max="778" width="5.75454545454545" style="1484" customWidth="1"/>
    <col min="779" max="779" width="11.7545454545455" style="1484" customWidth="1"/>
    <col min="780" max="781" width="10.7545454545455" style="1484" customWidth="1"/>
    <col min="782" max="782" width="10" style="1484" customWidth="1"/>
    <col min="783" max="784" width="10.5" style="1484" customWidth="1"/>
    <col min="785" max="785" width="10" style="1484" customWidth="1"/>
    <col min="786" max="786" width="10.1272727272727" style="1484" customWidth="1"/>
    <col min="787" max="787" width="10" style="1484" customWidth="1"/>
    <col min="788" max="788" width="26.1272727272727" style="1484" customWidth="1"/>
    <col min="789" max="1024" width="8.87272727272727" style="1484"/>
    <col min="1025" max="1025" width="9.5" style="1484" customWidth="1"/>
    <col min="1026" max="1026" width="8.87272727272727" style="1484"/>
    <col min="1027" max="1029" width="12.8727272727273" style="1484" customWidth="1"/>
    <col min="1030" max="1030" width="47.5" style="1484" customWidth="1"/>
    <col min="1031" max="1031" width="13" style="1484" customWidth="1"/>
    <col min="1032" max="1033" width="8.87272727272727" style="1484"/>
    <col min="1034" max="1034" width="5.75454545454545" style="1484" customWidth="1"/>
    <col min="1035" max="1035" width="11.7545454545455" style="1484" customWidth="1"/>
    <col min="1036" max="1037" width="10.7545454545455" style="1484" customWidth="1"/>
    <col min="1038" max="1038" width="10" style="1484" customWidth="1"/>
    <col min="1039" max="1040" width="10.5" style="1484" customWidth="1"/>
    <col min="1041" max="1041" width="10" style="1484" customWidth="1"/>
    <col min="1042" max="1042" width="10.1272727272727" style="1484" customWidth="1"/>
    <col min="1043" max="1043" width="10" style="1484" customWidth="1"/>
    <col min="1044" max="1044" width="26.1272727272727" style="1484" customWidth="1"/>
    <col min="1045" max="1280" width="8.87272727272727" style="1484"/>
    <col min="1281" max="1281" width="9.5" style="1484" customWidth="1"/>
    <col min="1282" max="1282" width="8.87272727272727" style="1484"/>
    <col min="1283" max="1285" width="12.8727272727273" style="1484" customWidth="1"/>
    <col min="1286" max="1286" width="47.5" style="1484" customWidth="1"/>
    <col min="1287" max="1287" width="13" style="1484" customWidth="1"/>
    <col min="1288" max="1289" width="8.87272727272727" style="1484"/>
    <col min="1290" max="1290" width="5.75454545454545" style="1484" customWidth="1"/>
    <col min="1291" max="1291" width="11.7545454545455" style="1484" customWidth="1"/>
    <col min="1292" max="1293" width="10.7545454545455" style="1484" customWidth="1"/>
    <col min="1294" max="1294" width="10" style="1484" customWidth="1"/>
    <col min="1295" max="1296" width="10.5" style="1484" customWidth="1"/>
    <col min="1297" max="1297" width="10" style="1484" customWidth="1"/>
    <col min="1298" max="1298" width="10.1272727272727" style="1484" customWidth="1"/>
    <col min="1299" max="1299" width="10" style="1484" customWidth="1"/>
    <col min="1300" max="1300" width="26.1272727272727" style="1484" customWidth="1"/>
    <col min="1301" max="1536" width="8.87272727272727" style="1484"/>
    <col min="1537" max="1537" width="9.5" style="1484" customWidth="1"/>
    <col min="1538" max="1538" width="8.87272727272727" style="1484"/>
    <col min="1539" max="1541" width="12.8727272727273" style="1484" customWidth="1"/>
    <col min="1542" max="1542" width="47.5" style="1484" customWidth="1"/>
    <col min="1543" max="1543" width="13" style="1484" customWidth="1"/>
    <col min="1544" max="1545" width="8.87272727272727" style="1484"/>
    <col min="1546" max="1546" width="5.75454545454545" style="1484" customWidth="1"/>
    <col min="1547" max="1547" width="11.7545454545455" style="1484" customWidth="1"/>
    <col min="1548" max="1549" width="10.7545454545455" style="1484" customWidth="1"/>
    <col min="1550" max="1550" width="10" style="1484" customWidth="1"/>
    <col min="1551" max="1552" width="10.5" style="1484" customWidth="1"/>
    <col min="1553" max="1553" width="10" style="1484" customWidth="1"/>
    <col min="1554" max="1554" width="10.1272727272727" style="1484" customWidth="1"/>
    <col min="1555" max="1555" width="10" style="1484" customWidth="1"/>
    <col min="1556" max="1556" width="26.1272727272727" style="1484" customWidth="1"/>
    <col min="1557" max="1792" width="8.87272727272727" style="1484"/>
    <col min="1793" max="1793" width="9.5" style="1484" customWidth="1"/>
    <col min="1794" max="1794" width="8.87272727272727" style="1484"/>
    <col min="1795" max="1797" width="12.8727272727273" style="1484" customWidth="1"/>
    <col min="1798" max="1798" width="47.5" style="1484" customWidth="1"/>
    <col min="1799" max="1799" width="13" style="1484" customWidth="1"/>
    <col min="1800" max="1801" width="8.87272727272727" style="1484"/>
    <col min="1802" max="1802" width="5.75454545454545" style="1484" customWidth="1"/>
    <col min="1803" max="1803" width="11.7545454545455" style="1484" customWidth="1"/>
    <col min="1804" max="1805" width="10.7545454545455" style="1484" customWidth="1"/>
    <col min="1806" max="1806" width="10" style="1484" customWidth="1"/>
    <col min="1807" max="1808" width="10.5" style="1484" customWidth="1"/>
    <col min="1809" max="1809" width="10" style="1484" customWidth="1"/>
    <col min="1810" max="1810" width="10.1272727272727" style="1484" customWidth="1"/>
    <col min="1811" max="1811" width="10" style="1484" customWidth="1"/>
    <col min="1812" max="1812" width="26.1272727272727" style="1484" customWidth="1"/>
    <col min="1813" max="2048" width="8.87272727272727" style="1484"/>
    <col min="2049" max="2049" width="9.5" style="1484" customWidth="1"/>
    <col min="2050" max="2050" width="8.87272727272727" style="1484"/>
    <col min="2051" max="2053" width="12.8727272727273" style="1484" customWidth="1"/>
    <col min="2054" max="2054" width="47.5" style="1484" customWidth="1"/>
    <col min="2055" max="2055" width="13" style="1484" customWidth="1"/>
    <col min="2056" max="2057" width="8.87272727272727" style="1484"/>
    <col min="2058" max="2058" width="5.75454545454545" style="1484" customWidth="1"/>
    <col min="2059" max="2059" width="11.7545454545455" style="1484" customWidth="1"/>
    <col min="2060" max="2061" width="10.7545454545455" style="1484" customWidth="1"/>
    <col min="2062" max="2062" width="10" style="1484" customWidth="1"/>
    <col min="2063" max="2064" width="10.5" style="1484" customWidth="1"/>
    <col min="2065" max="2065" width="10" style="1484" customWidth="1"/>
    <col min="2066" max="2066" width="10.1272727272727" style="1484" customWidth="1"/>
    <col min="2067" max="2067" width="10" style="1484" customWidth="1"/>
    <col min="2068" max="2068" width="26.1272727272727" style="1484" customWidth="1"/>
    <col min="2069" max="2304" width="8.87272727272727" style="1484"/>
    <col min="2305" max="2305" width="9.5" style="1484" customWidth="1"/>
    <col min="2306" max="2306" width="8.87272727272727" style="1484"/>
    <col min="2307" max="2309" width="12.8727272727273" style="1484" customWidth="1"/>
    <col min="2310" max="2310" width="47.5" style="1484" customWidth="1"/>
    <col min="2311" max="2311" width="13" style="1484" customWidth="1"/>
    <col min="2312" max="2313" width="8.87272727272727" style="1484"/>
    <col min="2314" max="2314" width="5.75454545454545" style="1484" customWidth="1"/>
    <col min="2315" max="2315" width="11.7545454545455" style="1484" customWidth="1"/>
    <col min="2316" max="2317" width="10.7545454545455" style="1484" customWidth="1"/>
    <col min="2318" max="2318" width="10" style="1484" customWidth="1"/>
    <col min="2319" max="2320" width="10.5" style="1484" customWidth="1"/>
    <col min="2321" max="2321" width="10" style="1484" customWidth="1"/>
    <col min="2322" max="2322" width="10.1272727272727" style="1484" customWidth="1"/>
    <col min="2323" max="2323" width="10" style="1484" customWidth="1"/>
    <col min="2324" max="2324" width="26.1272727272727" style="1484" customWidth="1"/>
    <col min="2325" max="2560" width="8.87272727272727" style="1484"/>
    <col min="2561" max="2561" width="9.5" style="1484" customWidth="1"/>
    <col min="2562" max="2562" width="8.87272727272727" style="1484"/>
    <col min="2563" max="2565" width="12.8727272727273" style="1484" customWidth="1"/>
    <col min="2566" max="2566" width="47.5" style="1484" customWidth="1"/>
    <col min="2567" max="2567" width="13" style="1484" customWidth="1"/>
    <col min="2568" max="2569" width="8.87272727272727" style="1484"/>
    <col min="2570" max="2570" width="5.75454545454545" style="1484" customWidth="1"/>
    <col min="2571" max="2571" width="11.7545454545455" style="1484" customWidth="1"/>
    <col min="2572" max="2573" width="10.7545454545455" style="1484" customWidth="1"/>
    <col min="2574" max="2574" width="10" style="1484" customWidth="1"/>
    <col min="2575" max="2576" width="10.5" style="1484" customWidth="1"/>
    <col min="2577" max="2577" width="10" style="1484" customWidth="1"/>
    <col min="2578" max="2578" width="10.1272727272727" style="1484" customWidth="1"/>
    <col min="2579" max="2579" width="10" style="1484" customWidth="1"/>
    <col min="2580" max="2580" width="26.1272727272727" style="1484" customWidth="1"/>
    <col min="2581" max="2816" width="8.87272727272727" style="1484"/>
    <col min="2817" max="2817" width="9.5" style="1484" customWidth="1"/>
    <col min="2818" max="2818" width="8.87272727272727" style="1484"/>
    <col min="2819" max="2821" width="12.8727272727273" style="1484" customWidth="1"/>
    <col min="2822" max="2822" width="47.5" style="1484" customWidth="1"/>
    <col min="2823" max="2823" width="13" style="1484" customWidth="1"/>
    <col min="2824" max="2825" width="8.87272727272727" style="1484"/>
    <col min="2826" max="2826" width="5.75454545454545" style="1484" customWidth="1"/>
    <col min="2827" max="2827" width="11.7545454545455" style="1484" customWidth="1"/>
    <col min="2828" max="2829" width="10.7545454545455" style="1484" customWidth="1"/>
    <col min="2830" max="2830" width="10" style="1484" customWidth="1"/>
    <col min="2831" max="2832" width="10.5" style="1484" customWidth="1"/>
    <col min="2833" max="2833" width="10" style="1484" customWidth="1"/>
    <col min="2834" max="2834" width="10.1272727272727" style="1484" customWidth="1"/>
    <col min="2835" max="2835" width="10" style="1484" customWidth="1"/>
    <col min="2836" max="2836" width="26.1272727272727" style="1484" customWidth="1"/>
    <col min="2837" max="3072" width="8.87272727272727" style="1484"/>
    <col min="3073" max="3073" width="9.5" style="1484" customWidth="1"/>
    <col min="3074" max="3074" width="8.87272727272727" style="1484"/>
    <col min="3075" max="3077" width="12.8727272727273" style="1484" customWidth="1"/>
    <col min="3078" max="3078" width="47.5" style="1484" customWidth="1"/>
    <col min="3079" max="3079" width="13" style="1484" customWidth="1"/>
    <col min="3080" max="3081" width="8.87272727272727" style="1484"/>
    <col min="3082" max="3082" width="5.75454545454545" style="1484" customWidth="1"/>
    <col min="3083" max="3083" width="11.7545454545455" style="1484" customWidth="1"/>
    <col min="3084" max="3085" width="10.7545454545455" style="1484" customWidth="1"/>
    <col min="3086" max="3086" width="10" style="1484" customWidth="1"/>
    <col min="3087" max="3088" width="10.5" style="1484" customWidth="1"/>
    <col min="3089" max="3089" width="10" style="1484" customWidth="1"/>
    <col min="3090" max="3090" width="10.1272727272727" style="1484" customWidth="1"/>
    <col min="3091" max="3091" width="10" style="1484" customWidth="1"/>
    <col min="3092" max="3092" width="26.1272727272727" style="1484" customWidth="1"/>
    <col min="3093" max="3328" width="8.87272727272727" style="1484"/>
    <col min="3329" max="3329" width="9.5" style="1484" customWidth="1"/>
    <col min="3330" max="3330" width="8.87272727272727" style="1484"/>
    <col min="3331" max="3333" width="12.8727272727273" style="1484" customWidth="1"/>
    <col min="3334" max="3334" width="47.5" style="1484" customWidth="1"/>
    <col min="3335" max="3335" width="13" style="1484" customWidth="1"/>
    <col min="3336" max="3337" width="8.87272727272727" style="1484"/>
    <col min="3338" max="3338" width="5.75454545454545" style="1484" customWidth="1"/>
    <col min="3339" max="3339" width="11.7545454545455" style="1484" customWidth="1"/>
    <col min="3340" max="3341" width="10.7545454545455" style="1484" customWidth="1"/>
    <col min="3342" max="3342" width="10" style="1484" customWidth="1"/>
    <col min="3343" max="3344" width="10.5" style="1484" customWidth="1"/>
    <col min="3345" max="3345" width="10" style="1484" customWidth="1"/>
    <col min="3346" max="3346" width="10.1272727272727" style="1484" customWidth="1"/>
    <col min="3347" max="3347" width="10" style="1484" customWidth="1"/>
    <col min="3348" max="3348" width="26.1272727272727" style="1484" customWidth="1"/>
    <col min="3349" max="3584" width="8.87272727272727" style="1484"/>
    <col min="3585" max="3585" width="9.5" style="1484" customWidth="1"/>
    <col min="3586" max="3586" width="8.87272727272727" style="1484"/>
    <col min="3587" max="3589" width="12.8727272727273" style="1484" customWidth="1"/>
    <col min="3590" max="3590" width="47.5" style="1484" customWidth="1"/>
    <col min="3591" max="3591" width="13" style="1484" customWidth="1"/>
    <col min="3592" max="3593" width="8.87272727272727" style="1484"/>
    <col min="3594" max="3594" width="5.75454545454545" style="1484" customWidth="1"/>
    <col min="3595" max="3595" width="11.7545454545455" style="1484" customWidth="1"/>
    <col min="3596" max="3597" width="10.7545454545455" style="1484" customWidth="1"/>
    <col min="3598" max="3598" width="10" style="1484" customWidth="1"/>
    <col min="3599" max="3600" width="10.5" style="1484" customWidth="1"/>
    <col min="3601" max="3601" width="10" style="1484" customWidth="1"/>
    <col min="3602" max="3602" width="10.1272727272727" style="1484" customWidth="1"/>
    <col min="3603" max="3603" width="10" style="1484" customWidth="1"/>
    <col min="3604" max="3604" width="26.1272727272727" style="1484" customWidth="1"/>
    <col min="3605" max="3840" width="8.87272727272727" style="1484"/>
    <col min="3841" max="3841" width="9.5" style="1484" customWidth="1"/>
    <col min="3842" max="3842" width="8.87272727272727" style="1484"/>
    <col min="3843" max="3845" width="12.8727272727273" style="1484" customWidth="1"/>
    <col min="3846" max="3846" width="47.5" style="1484" customWidth="1"/>
    <col min="3847" max="3847" width="13" style="1484" customWidth="1"/>
    <col min="3848" max="3849" width="8.87272727272727" style="1484"/>
    <col min="3850" max="3850" width="5.75454545454545" style="1484" customWidth="1"/>
    <col min="3851" max="3851" width="11.7545454545455" style="1484" customWidth="1"/>
    <col min="3852" max="3853" width="10.7545454545455" style="1484" customWidth="1"/>
    <col min="3854" max="3854" width="10" style="1484" customWidth="1"/>
    <col min="3855" max="3856" width="10.5" style="1484" customWidth="1"/>
    <col min="3857" max="3857" width="10" style="1484" customWidth="1"/>
    <col min="3858" max="3858" width="10.1272727272727" style="1484" customWidth="1"/>
    <col min="3859" max="3859" width="10" style="1484" customWidth="1"/>
    <col min="3860" max="3860" width="26.1272727272727" style="1484" customWidth="1"/>
    <col min="3861" max="4096" width="8.87272727272727" style="1484"/>
    <col min="4097" max="4097" width="9.5" style="1484" customWidth="1"/>
    <col min="4098" max="4098" width="8.87272727272727" style="1484"/>
    <col min="4099" max="4101" width="12.8727272727273" style="1484" customWidth="1"/>
    <col min="4102" max="4102" width="47.5" style="1484" customWidth="1"/>
    <col min="4103" max="4103" width="13" style="1484" customWidth="1"/>
    <col min="4104" max="4105" width="8.87272727272727" style="1484"/>
    <col min="4106" max="4106" width="5.75454545454545" style="1484" customWidth="1"/>
    <col min="4107" max="4107" width="11.7545454545455" style="1484" customWidth="1"/>
    <col min="4108" max="4109" width="10.7545454545455" style="1484" customWidth="1"/>
    <col min="4110" max="4110" width="10" style="1484" customWidth="1"/>
    <col min="4111" max="4112" width="10.5" style="1484" customWidth="1"/>
    <col min="4113" max="4113" width="10" style="1484" customWidth="1"/>
    <col min="4114" max="4114" width="10.1272727272727" style="1484" customWidth="1"/>
    <col min="4115" max="4115" width="10" style="1484" customWidth="1"/>
    <col min="4116" max="4116" width="26.1272727272727" style="1484" customWidth="1"/>
    <col min="4117" max="4352" width="8.87272727272727" style="1484"/>
    <col min="4353" max="4353" width="9.5" style="1484" customWidth="1"/>
    <col min="4354" max="4354" width="8.87272727272727" style="1484"/>
    <col min="4355" max="4357" width="12.8727272727273" style="1484" customWidth="1"/>
    <col min="4358" max="4358" width="47.5" style="1484" customWidth="1"/>
    <col min="4359" max="4359" width="13" style="1484" customWidth="1"/>
    <col min="4360" max="4361" width="8.87272727272727" style="1484"/>
    <col min="4362" max="4362" width="5.75454545454545" style="1484" customWidth="1"/>
    <col min="4363" max="4363" width="11.7545454545455" style="1484" customWidth="1"/>
    <col min="4364" max="4365" width="10.7545454545455" style="1484" customWidth="1"/>
    <col min="4366" max="4366" width="10" style="1484" customWidth="1"/>
    <col min="4367" max="4368" width="10.5" style="1484" customWidth="1"/>
    <col min="4369" max="4369" width="10" style="1484" customWidth="1"/>
    <col min="4370" max="4370" width="10.1272727272727" style="1484" customWidth="1"/>
    <col min="4371" max="4371" width="10" style="1484" customWidth="1"/>
    <col min="4372" max="4372" width="26.1272727272727" style="1484" customWidth="1"/>
    <col min="4373" max="4608" width="8.87272727272727" style="1484"/>
    <col min="4609" max="4609" width="9.5" style="1484" customWidth="1"/>
    <col min="4610" max="4610" width="8.87272727272727" style="1484"/>
    <col min="4611" max="4613" width="12.8727272727273" style="1484" customWidth="1"/>
    <col min="4614" max="4614" width="47.5" style="1484" customWidth="1"/>
    <col min="4615" max="4615" width="13" style="1484" customWidth="1"/>
    <col min="4616" max="4617" width="8.87272727272727" style="1484"/>
    <col min="4618" max="4618" width="5.75454545454545" style="1484" customWidth="1"/>
    <col min="4619" max="4619" width="11.7545454545455" style="1484" customWidth="1"/>
    <col min="4620" max="4621" width="10.7545454545455" style="1484" customWidth="1"/>
    <col min="4622" max="4622" width="10" style="1484" customWidth="1"/>
    <col min="4623" max="4624" width="10.5" style="1484" customWidth="1"/>
    <col min="4625" max="4625" width="10" style="1484" customWidth="1"/>
    <col min="4626" max="4626" width="10.1272727272727" style="1484" customWidth="1"/>
    <col min="4627" max="4627" width="10" style="1484" customWidth="1"/>
    <col min="4628" max="4628" width="26.1272727272727" style="1484" customWidth="1"/>
    <col min="4629" max="4864" width="8.87272727272727" style="1484"/>
    <col min="4865" max="4865" width="9.5" style="1484" customWidth="1"/>
    <col min="4866" max="4866" width="8.87272727272727" style="1484"/>
    <col min="4867" max="4869" width="12.8727272727273" style="1484" customWidth="1"/>
    <col min="4870" max="4870" width="47.5" style="1484" customWidth="1"/>
    <col min="4871" max="4871" width="13" style="1484" customWidth="1"/>
    <col min="4872" max="4873" width="8.87272727272727" style="1484"/>
    <col min="4874" max="4874" width="5.75454545454545" style="1484" customWidth="1"/>
    <col min="4875" max="4875" width="11.7545454545455" style="1484" customWidth="1"/>
    <col min="4876" max="4877" width="10.7545454545455" style="1484" customWidth="1"/>
    <col min="4878" max="4878" width="10" style="1484" customWidth="1"/>
    <col min="4879" max="4880" width="10.5" style="1484" customWidth="1"/>
    <col min="4881" max="4881" width="10" style="1484" customWidth="1"/>
    <col min="4882" max="4882" width="10.1272727272727" style="1484" customWidth="1"/>
    <col min="4883" max="4883" width="10" style="1484" customWidth="1"/>
    <col min="4884" max="4884" width="26.1272727272727" style="1484" customWidth="1"/>
    <col min="4885" max="5120" width="8.87272727272727" style="1484"/>
    <col min="5121" max="5121" width="9.5" style="1484" customWidth="1"/>
    <col min="5122" max="5122" width="8.87272727272727" style="1484"/>
    <col min="5123" max="5125" width="12.8727272727273" style="1484" customWidth="1"/>
    <col min="5126" max="5126" width="47.5" style="1484" customWidth="1"/>
    <col min="5127" max="5127" width="13" style="1484" customWidth="1"/>
    <col min="5128" max="5129" width="8.87272727272727" style="1484"/>
    <col min="5130" max="5130" width="5.75454545454545" style="1484" customWidth="1"/>
    <col min="5131" max="5131" width="11.7545454545455" style="1484" customWidth="1"/>
    <col min="5132" max="5133" width="10.7545454545455" style="1484" customWidth="1"/>
    <col min="5134" max="5134" width="10" style="1484" customWidth="1"/>
    <col min="5135" max="5136" width="10.5" style="1484" customWidth="1"/>
    <col min="5137" max="5137" width="10" style="1484" customWidth="1"/>
    <col min="5138" max="5138" width="10.1272727272727" style="1484" customWidth="1"/>
    <col min="5139" max="5139" width="10" style="1484" customWidth="1"/>
    <col min="5140" max="5140" width="26.1272727272727" style="1484" customWidth="1"/>
    <col min="5141" max="5376" width="8.87272727272727" style="1484"/>
    <col min="5377" max="5377" width="9.5" style="1484" customWidth="1"/>
    <col min="5378" max="5378" width="8.87272727272727" style="1484"/>
    <col min="5379" max="5381" width="12.8727272727273" style="1484" customWidth="1"/>
    <col min="5382" max="5382" width="47.5" style="1484" customWidth="1"/>
    <col min="5383" max="5383" width="13" style="1484" customWidth="1"/>
    <col min="5384" max="5385" width="8.87272727272727" style="1484"/>
    <col min="5386" max="5386" width="5.75454545454545" style="1484" customWidth="1"/>
    <col min="5387" max="5387" width="11.7545454545455" style="1484" customWidth="1"/>
    <col min="5388" max="5389" width="10.7545454545455" style="1484" customWidth="1"/>
    <col min="5390" max="5390" width="10" style="1484" customWidth="1"/>
    <col min="5391" max="5392" width="10.5" style="1484" customWidth="1"/>
    <col min="5393" max="5393" width="10" style="1484" customWidth="1"/>
    <col min="5394" max="5394" width="10.1272727272727" style="1484" customWidth="1"/>
    <col min="5395" max="5395" width="10" style="1484" customWidth="1"/>
    <col min="5396" max="5396" width="26.1272727272727" style="1484" customWidth="1"/>
    <col min="5397" max="5632" width="8.87272727272727" style="1484"/>
    <col min="5633" max="5633" width="9.5" style="1484" customWidth="1"/>
    <col min="5634" max="5634" width="8.87272727272727" style="1484"/>
    <col min="5635" max="5637" width="12.8727272727273" style="1484" customWidth="1"/>
    <col min="5638" max="5638" width="47.5" style="1484" customWidth="1"/>
    <col min="5639" max="5639" width="13" style="1484" customWidth="1"/>
    <col min="5640" max="5641" width="8.87272727272727" style="1484"/>
    <col min="5642" max="5642" width="5.75454545454545" style="1484" customWidth="1"/>
    <col min="5643" max="5643" width="11.7545454545455" style="1484" customWidth="1"/>
    <col min="5644" max="5645" width="10.7545454545455" style="1484" customWidth="1"/>
    <col min="5646" max="5646" width="10" style="1484" customWidth="1"/>
    <col min="5647" max="5648" width="10.5" style="1484" customWidth="1"/>
    <col min="5649" max="5649" width="10" style="1484" customWidth="1"/>
    <col min="5650" max="5650" width="10.1272727272727" style="1484" customWidth="1"/>
    <col min="5651" max="5651" width="10" style="1484" customWidth="1"/>
    <col min="5652" max="5652" width="26.1272727272727" style="1484" customWidth="1"/>
    <col min="5653" max="5888" width="8.87272727272727" style="1484"/>
    <col min="5889" max="5889" width="9.5" style="1484" customWidth="1"/>
    <col min="5890" max="5890" width="8.87272727272727" style="1484"/>
    <col min="5891" max="5893" width="12.8727272727273" style="1484" customWidth="1"/>
    <col min="5894" max="5894" width="47.5" style="1484" customWidth="1"/>
    <col min="5895" max="5895" width="13" style="1484" customWidth="1"/>
    <col min="5896" max="5897" width="8.87272727272727" style="1484"/>
    <col min="5898" max="5898" width="5.75454545454545" style="1484" customWidth="1"/>
    <col min="5899" max="5899" width="11.7545454545455" style="1484" customWidth="1"/>
    <col min="5900" max="5901" width="10.7545454545455" style="1484" customWidth="1"/>
    <col min="5902" max="5902" width="10" style="1484" customWidth="1"/>
    <col min="5903" max="5904" width="10.5" style="1484" customWidth="1"/>
    <col min="5905" max="5905" width="10" style="1484" customWidth="1"/>
    <col min="5906" max="5906" width="10.1272727272727" style="1484" customWidth="1"/>
    <col min="5907" max="5907" width="10" style="1484" customWidth="1"/>
    <col min="5908" max="5908" width="26.1272727272727" style="1484" customWidth="1"/>
    <col min="5909" max="6144" width="8.87272727272727" style="1484"/>
    <col min="6145" max="6145" width="9.5" style="1484" customWidth="1"/>
    <col min="6146" max="6146" width="8.87272727272727" style="1484"/>
    <col min="6147" max="6149" width="12.8727272727273" style="1484" customWidth="1"/>
    <col min="6150" max="6150" width="47.5" style="1484" customWidth="1"/>
    <col min="6151" max="6151" width="13" style="1484" customWidth="1"/>
    <col min="6152" max="6153" width="8.87272727272727" style="1484"/>
    <col min="6154" max="6154" width="5.75454545454545" style="1484" customWidth="1"/>
    <col min="6155" max="6155" width="11.7545454545455" style="1484" customWidth="1"/>
    <col min="6156" max="6157" width="10.7545454545455" style="1484" customWidth="1"/>
    <col min="6158" max="6158" width="10" style="1484" customWidth="1"/>
    <col min="6159" max="6160" width="10.5" style="1484" customWidth="1"/>
    <col min="6161" max="6161" width="10" style="1484" customWidth="1"/>
    <col min="6162" max="6162" width="10.1272727272727" style="1484" customWidth="1"/>
    <col min="6163" max="6163" width="10" style="1484" customWidth="1"/>
    <col min="6164" max="6164" width="26.1272727272727" style="1484" customWidth="1"/>
    <col min="6165" max="6400" width="8.87272727272727" style="1484"/>
    <col min="6401" max="6401" width="9.5" style="1484" customWidth="1"/>
    <col min="6402" max="6402" width="8.87272727272727" style="1484"/>
    <col min="6403" max="6405" width="12.8727272727273" style="1484" customWidth="1"/>
    <col min="6406" max="6406" width="47.5" style="1484" customWidth="1"/>
    <col min="6407" max="6407" width="13" style="1484" customWidth="1"/>
    <col min="6408" max="6409" width="8.87272727272727" style="1484"/>
    <col min="6410" max="6410" width="5.75454545454545" style="1484" customWidth="1"/>
    <col min="6411" max="6411" width="11.7545454545455" style="1484" customWidth="1"/>
    <col min="6412" max="6413" width="10.7545454545455" style="1484" customWidth="1"/>
    <col min="6414" max="6414" width="10" style="1484" customWidth="1"/>
    <col min="6415" max="6416" width="10.5" style="1484" customWidth="1"/>
    <col min="6417" max="6417" width="10" style="1484" customWidth="1"/>
    <col min="6418" max="6418" width="10.1272727272727" style="1484" customWidth="1"/>
    <col min="6419" max="6419" width="10" style="1484" customWidth="1"/>
    <col min="6420" max="6420" width="26.1272727272727" style="1484" customWidth="1"/>
    <col min="6421" max="6656" width="8.87272727272727" style="1484"/>
    <col min="6657" max="6657" width="9.5" style="1484" customWidth="1"/>
    <col min="6658" max="6658" width="8.87272727272727" style="1484"/>
    <col min="6659" max="6661" width="12.8727272727273" style="1484" customWidth="1"/>
    <col min="6662" max="6662" width="47.5" style="1484" customWidth="1"/>
    <col min="6663" max="6663" width="13" style="1484" customWidth="1"/>
    <col min="6664" max="6665" width="8.87272727272727" style="1484"/>
    <col min="6666" max="6666" width="5.75454545454545" style="1484" customWidth="1"/>
    <col min="6667" max="6667" width="11.7545454545455" style="1484" customWidth="1"/>
    <col min="6668" max="6669" width="10.7545454545455" style="1484" customWidth="1"/>
    <col min="6670" max="6670" width="10" style="1484" customWidth="1"/>
    <col min="6671" max="6672" width="10.5" style="1484" customWidth="1"/>
    <col min="6673" max="6673" width="10" style="1484" customWidth="1"/>
    <col min="6674" max="6674" width="10.1272727272727" style="1484" customWidth="1"/>
    <col min="6675" max="6675" width="10" style="1484" customWidth="1"/>
    <col min="6676" max="6676" width="26.1272727272727" style="1484" customWidth="1"/>
    <col min="6677" max="6912" width="8.87272727272727" style="1484"/>
    <col min="6913" max="6913" width="9.5" style="1484" customWidth="1"/>
    <col min="6914" max="6914" width="8.87272727272727" style="1484"/>
    <col min="6915" max="6917" width="12.8727272727273" style="1484" customWidth="1"/>
    <col min="6918" max="6918" width="47.5" style="1484" customWidth="1"/>
    <col min="6919" max="6919" width="13" style="1484" customWidth="1"/>
    <col min="6920" max="6921" width="8.87272727272727" style="1484"/>
    <col min="6922" max="6922" width="5.75454545454545" style="1484" customWidth="1"/>
    <col min="6923" max="6923" width="11.7545454545455" style="1484" customWidth="1"/>
    <col min="6924" max="6925" width="10.7545454545455" style="1484" customWidth="1"/>
    <col min="6926" max="6926" width="10" style="1484" customWidth="1"/>
    <col min="6927" max="6928" width="10.5" style="1484" customWidth="1"/>
    <col min="6929" max="6929" width="10" style="1484" customWidth="1"/>
    <col min="6930" max="6930" width="10.1272727272727" style="1484" customWidth="1"/>
    <col min="6931" max="6931" width="10" style="1484" customWidth="1"/>
    <col min="6932" max="6932" width="26.1272727272727" style="1484" customWidth="1"/>
    <col min="6933" max="7168" width="8.87272727272727" style="1484"/>
    <col min="7169" max="7169" width="9.5" style="1484" customWidth="1"/>
    <col min="7170" max="7170" width="8.87272727272727" style="1484"/>
    <col min="7171" max="7173" width="12.8727272727273" style="1484" customWidth="1"/>
    <col min="7174" max="7174" width="47.5" style="1484" customWidth="1"/>
    <col min="7175" max="7175" width="13" style="1484" customWidth="1"/>
    <col min="7176" max="7177" width="8.87272727272727" style="1484"/>
    <col min="7178" max="7178" width="5.75454545454545" style="1484" customWidth="1"/>
    <col min="7179" max="7179" width="11.7545454545455" style="1484" customWidth="1"/>
    <col min="7180" max="7181" width="10.7545454545455" style="1484" customWidth="1"/>
    <col min="7182" max="7182" width="10" style="1484" customWidth="1"/>
    <col min="7183" max="7184" width="10.5" style="1484" customWidth="1"/>
    <col min="7185" max="7185" width="10" style="1484" customWidth="1"/>
    <col min="7186" max="7186" width="10.1272727272727" style="1484" customWidth="1"/>
    <col min="7187" max="7187" width="10" style="1484" customWidth="1"/>
    <col min="7188" max="7188" width="26.1272727272727" style="1484" customWidth="1"/>
    <col min="7189" max="7424" width="8.87272727272727" style="1484"/>
    <col min="7425" max="7425" width="9.5" style="1484" customWidth="1"/>
    <col min="7426" max="7426" width="8.87272727272727" style="1484"/>
    <col min="7427" max="7429" width="12.8727272727273" style="1484" customWidth="1"/>
    <col min="7430" max="7430" width="47.5" style="1484" customWidth="1"/>
    <col min="7431" max="7431" width="13" style="1484" customWidth="1"/>
    <col min="7432" max="7433" width="8.87272727272727" style="1484"/>
    <col min="7434" max="7434" width="5.75454545454545" style="1484" customWidth="1"/>
    <col min="7435" max="7435" width="11.7545454545455" style="1484" customWidth="1"/>
    <col min="7436" max="7437" width="10.7545454545455" style="1484" customWidth="1"/>
    <col min="7438" max="7438" width="10" style="1484" customWidth="1"/>
    <col min="7439" max="7440" width="10.5" style="1484" customWidth="1"/>
    <col min="7441" max="7441" width="10" style="1484" customWidth="1"/>
    <col min="7442" max="7442" width="10.1272727272727" style="1484" customWidth="1"/>
    <col min="7443" max="7443" width="10" style="1484" customWidth="1"/>
    <col min="7444" max="7444" width="26.1272727272727" style="1484" customWidth="1"/>
    <col min="7445" max="7680" width="8.87272727272727" style="1484"/>
    <col min="7681" max="7681" width="9.5" style="1484" customWidth="1"/>
    <col min="7682" max="7682" width="8.87272727272727" style="1484"/>
    <col min="7683" max="7685" width="12.8727272727273" style="1484" customWidth="1"/>
    <col min="7686" max="7686" width="47.5" style="1484" customWidth="1"/>
    <col min="7687" max="7687" width="13" style="1484" customWidth="1"/>
    <col min="7688" max="7689" width="8.87272727272727" style="1484"/>
    <col min="7690" max="7690" width="5.75454545454545" style="1484" customWidth="1"/>
    <col min="7691" max="7691" width="11.7545454545455" style="1484" customWidth="1"/>
    <col min="7692" max="7693" width="10.7545454545455" style="1484" customWidth="1"/>
    <col min="7694" max="7694" width="10" style="1484" customWidth="1"/>
    <col min="7695" max="7696" width="10.5" style="1484" customWidth="1"/>
    <col min="7697" max="7697" width="10" style="1484" customWidth="1"/>
    <col min="7698" max="7698" width="10.1272727272727" style="1484" customWidth="1"/>
    <col min="7699" max="7699" width="10" style="1484" customWidth="1"/>
    <col min="7700" max="7700" width="26.1272727272727" style="1484" customWidth="1"/>
    <col min="7701" max="7936" width="8.87272727272727" style="1484"/>
    <col min="7937" max="7937" width="9.5" style="1484" customWidth="1"/>
    <col min="7938" max="7938" width="8.87272727272727" style="1484"/>
    <col min="7939" max="7941" width="12.8727272727273" style="1484" customWidth="1"/>
    <col min="7942" max="7942" width="47.5" style="1484" customWidth="1"/>
    <col min="7943" max="7943" width="13" style="1484" customWidth="1"/>
    <col min="7944" max="7945" width="8.87272727272727" style="1484"/>
    <col min="7946" max="7946" width="5.75454545454545" style="1484" customWidth="1"/>
    <col min="7947" max="7947" width="11.7545454545455" style="1484" customWidth="1"/>
    <col min="7948" max="7949" width="10.7545454545455" style="1484" customWidth="1"/>
    <col min="7950" max="7950" width="10" style="1484" customWidth="1"/>
    <col min="7951" max="7952" width="10.5" style="1484" customWidth="1"/>
    <col min="7953" max="7953" width="10" style="1484" customWidth="1"/>
    <col min="7954" max="7954" width="10.1272727272727" style="1484" customWidth="1"/>
    <col min="7955" max="7955" width="10" style="1484" customWidth="1"/>
    <col min="7956" max="7956" width="26.1272727272727" style="1484" customWidth="1"/>
    <col min="7957" max="8192" width="8.87272727272727" style="1484"/>
    <col min="8193" max="8193" width="9.5" style="1484" customWidth="1"/>
    <col min="8194" max="8194" width="8.87272727272727" style="1484"/>
    <col min="8195" max="8197" width="12.8727272727273" style="1484" customWidth="1"/>
    <col min="8198" max="8198" width="47.5" style="1484" customWidth="1"/>
    <col min="8199" max="8199" width="13" style="1484" customWidth="1"/>
    <col min="8200" max="8201" width="8.87272727272727" style="1484"/>
    <col min="8202" max="8202" width="5.75454545454545" style="1484" customWidth="1"/>
    <col min="8203" max="8203" width="11.7545454545455" style="1484" customWidth="1"/>
    <col min="8204" max="8205" width="10.7545454545455" style="1484" customWidth="1"/>
    <col min="8206" max="8206" width="10" style="1484" customWidth="1"/>
    <col min="8207" max="8208" width="10.5" style="1484" customWidth="1"/>
    <col min="8209" max="8209" width="10" style="1484" customWidth="1"/>
    <col min="8210" max="8210" width="10.1272727272727" style="1484" customWidth="1"/>
    <col min="8211" max="8211" width="10" style="1484" customWidth="1"/>
    <col min="8212" max="8212" width="26.1272727272727" style="1484" customWidth="1"/>
    <col min="8213" max="8448" width="8.87272727272727" style="1484"/>
    <col min="8449" max="8449" width="9.5" style="1484" customWidth="1"/>
    <col min="8450" max="8450" width="8.87272727272727" style="1484"/>
    <col min="8451" max="8453" width="12.8727272727273" style="1484" customWidth="1"/>
    <col min="8454" max="8454" width="47.5" style="1484" customWidth="1"/>
    <col min="8455" max="8455" width="13" style="1484" customWidth="1"/>
    <col min="8456" max="8457" width="8.87272727272727" style="1484"/>
    <col min="8458" max="8458" width="5.75454545454545" style="1484" customWidth="1"/>
    <col min="8459" max="8459" width="11.7545454545455" style="1484" customWidth="1"/>
    <col min="8460" max="8461" width="10.7545454545455" style="1484" customWidth="1"/>
    <col min="8462" max="8462" width="10" style="1484" customWidth="1"/>
    <col min="8463" max="8464" width="10.5" style="1484" customWidth="1"/>
    <col min="8465" max="8465" width="10" style="1484" customWidth="1"/>
    <col min="8466" max="8466" width="10.1272727272727" style="1484" customWidth="1"/>
    <col min="8467" max="8467" width="10" style="1484" customWidth="1"/>
    <col min="8468" max="8468" width="26.1272727272727" style="1484" customWidth="1"/>
    <col min="8469" max="8704" width="8.87272727272727" style="1484"/>
    <col min="8705" max="8705" width="9.5" style="1484" customWidth="1"/>
    <col min="8706" max="8706" width="8.87272727272727" style="1484"/>
    <col min="8707" max="8709" width="12.8727272727273" style="1484" customWidth="1"/>
    <col min="8710" max="8710" width="47.5" style="1484" customWidth="1"/>
    <col min="8711" max="8711" width="13" style="1484" customWidth="1"/>
    <col min="8712" max="8713" width="8.87272727272727" style="1484"/>
    <col min="8714" max="8714" width="5.75454545454545" style="1484" customWidth="1"/>
    <col min="8715" max="8715" width="11.7545454545455" style="1484" customWidth="1"/>
    <col min="8716" max="8717" width="10.7545454545455" style="1484" customWidth="1"/>
    <col min="8718" max="8718" width="10" style="1484" customWidth="1"/>
    <col min="8719" max="8720" width="10.5" style="1484" customWidth="1"/>
    <col min="8721" max="8721" width="10" style="1484" customWidth="1"/>
    <col min="8722" max="8722" width="10.1272727272727" style="1484" customWidth="1"/>
    <col min="8723" max="8723" width="10" style="1484" customWidth="1"/>
    <col min="8724" max="8724" width="26.1272727272727" style="1484" customWidth="1"/>
    <col min="8725" max="8960" width="8.87272727272727" style="1484"/>
    <col min="8961" max="8961" width="9.5" style="1484" customWidth="1"/>
    <col min="8962" max="8962" width="8.87272727272727" style="1484"/>
    <col min="8963" max="8965" width="12.8727272727273" style="1484" customWidth="1"/>
    <col min="8966" max="8966" width="47.5" style="1484" customWidth="1"/>
    <col min="8967" max="8967" width="13" style="1484" customWidth="1"/>
    <col min="8968" max="8969" width="8.87272727272727" style="1484"/>
    <col min="8970" max="8970" width="5.75454545454545" style="1484" customWidth="1"/>
    <col min="8971" max="8971" width="11.7545454545455" style="1484" customWidth="1"/>
    <col min="8972" max="8973" width="10.7545454545455" style="1484" customWidth="1"/>
    <col min="8974" max="8974" width="10" style="1484" customWidth="1"/>
    <col min="8975" max="8976" width="10.5" style="1484" customWidth="1"/>
    <col min="8977" max="8977" width="10" style="1484" customWidth="1"/>
    <col min="8978" max="8978" width="10.1272727272727" style="1484" customWidth="1"/>
    <col min="8979" max="8979" width="10" style="1484" customWidth="1"/>
    <col min="8980" max="8980" width="26.1272727272727" style="1484" customWidth="1"/>
    <col min="8981" max="9216" width="8.87272727272727" style="1484"/>
    <col min="9217" max="9217" width="9.5" style="1484" customWidth="1"/>
    <col min="9218" max="9218" width="8.87272727272727" style="1484"/>
    <col min="9219" max="9221" width="12.8727272727273" style="1484" customWidth="1"/>
    <col min="9222" max="9222" width="47.5" style="1484" customWidth="1"/>
    <col min="9223" max="9223" width="13" style="1484" customWidth="1"/>
    <col min="9224" max="9225" width="8.87272727272727" style="1484"/>
    <col min="9226" max="9226" width="5.75454545454545" style="1484" customWidth="1"/>
    <col min="9227" max="9227" width="11.7545454545455" style="1484" customWidth="1"/>
    <col min="9228" max="9229" width="10.7545454545455" style="1484" customWidth="1"/>
    <col min="9230" max="9230" width="10" style="1484" customWidth="1"/>
    <col min="9231" max="9232" width="10.5" style="1484" customWidth="1"/>
    <col min="9233" max="9233" width="10" style="1484" customWidth="1"/>
    <col min="9234" max="9234" width="10.1272727272727" style="1484" customWidth="1"/>
    <col min="9235" max="9235" width="10" style="1484" customWidth="1"/>
    <col min="9236" max="9236" width="26.1272727272727" style="1484" customWidth="1"/>
    <col min="9237" max="9472" width="8.87272727272727" style="1484"/>
    <col min="9473" max="9473" width="9.5" style="1484" customWidth="1"/>
    <col min="9474" max="9474" width="8.87272727272727" style="1484"/>
    <col min="9475" max="9477" width="12.8727272727273" style="1484" customWidth="1"/>
    <col min="9478" max="9478" width="47.5" style="1484" customWidth="1"/>
    <col min="9479" max="9479" width="13" style="1484" customWidth="1"/>
    <col min="9480" max="9481" width="8.87272727272727" style="1484"/>
    <col min="9482" max="9482" width="5.75454545454545" style="1484" customWidth="1"/>
    <col min="9483" max="9483" width="11.7545454545455" style="1484" customWidth="1"/>
    <col min="9484" max="9485" width="10.7545454545455" style="1484" customWidth="1"/>
    <col min="9486" max="9486" width="10" style="1484" customWidth="1"/>
    <col min="9487" max="9488" width="10.5" style="1484" customWidth="1"/>
    <col min="9489" max="9489" width="10" style="1484" customWidth="1"/>
    <col min="9490" max="9490" width="10.1272727272727" style="1484" customWidth="1"/>
    <col min="9491" max="9491" width="10" style="1484" customWidth="1"/>
    <col min="9492" max="9492" width="26.1272727272727" style="1484" customWidth="1"/>
    <col min="9493" max="9728" width="8.87272727272727" style="1484"/>
    <col min="9729" max="9729" width="9.5" style="1484" customWidth="1"/>
    <col min="9730" max="9730" width="8.87272727272727" style="1484"/>
    <col min="9731" max="9733" width="12.8727272727273" style="1484" customWidth="1"/>
    <col min="9734" max="9734" width="47.5" style="1484" customWidth="1"/>
    <col min="9735" max="9735" width="13" style="1484" customWidth="1"/>
    <col min="9736" max="9737" width="8.87272727272727" style="1484"/>
    <col min="9738" max="9738" width="5.75454545454545" style="1484" customWidth="1"/>
    <col min="9739" max="9739" width="11.7545454545455" style="1484" customWidth="1"/>
    <col min="9740" max="9741" width="10.7545454545455" style="1484" customWidth="1"/>
    <col min="9742" max="9742" width="10" style="1484" customWidth="1"/>
    <col min="9743" max="9744" width="10.5" style="1484" customWidth="1"/>
    <col min="9745" max="9745" width="10" style="1484" customWidth="1"/>
    <col min="9746" max="9746" width="10.1272727272727" style="1484" customWidth="1"/>
    <col min="9747" max="9747" width="10" style="1484" customWidth="1"/>
    <col min="9748" max="9748" width="26.1272727272727" style="1484" customWidth="1"/>
    <col min="9749" max="9984" width="8.87272727272727" style="1484"/>
    <col min="9985" max="9985" width="9.5" style="1484" customWidth="1"/>
    <col min="9986" max="9986" width="8.87272727272727" style="1484"/>
    <col min="9987" max="9989" width="12.8727272727273" style="1484" customWidth="1"/>
    <col min="9990" max="9990" width="47.5" style="1484" customWidth="1"/>
    <col min="9991" max="9991" width="13" style="1484" customWidth="1"/>
    <col min="9992" max="9993" width="8.87272727272727" style="1484"/>
    <col min="9994" max="9994" width="5.75454545454545" style="1484" customWidth="1"/>
    <col min="9995" max="9995" width="11.7545454545455" style="1484" customWidth="1"/>
    <col min="9996" max="9997" width="10.7545454545455" style="1484" customWidth="1"/>
    <col min="9998" max="9998" width="10" style="1484" customWidth="1"/>
    <col min="9999" max="10000" width="10.5" style="1484" customWidth="1"/>
    <col min="10001" max="10001" width="10" style="1484" customWidth="1"/>
    <col min="10002" max="10002" width="10.1272727272727" style="1484" customWidth="1"/>
    <col min="10003" max="10003" width="10" style="1484" customWidth="1"/>
    <col min="10004" max="10004" width="26.1272727272727" style="1484" customWidth="1"/>
    <col min="10005" max="10240" width="8.87272727272727" style="1484"/>
    <col min="10241" max="10241" width="9.5" style="1484" customWidth="1"/>
    <col min="10242" max="10242" width="8.87272727272727" style="1484"/>
    <col min="10243" max="10245" width="12.8727272727273" style="1484" customWidth="1"/>
    <col min="10246" max="10246" width="47.5" style="1484" customWidth="1"/>
    <col min="10247" max="10247" width="13" style="1484" customWidth="1"/>
    <col min="10248" max="10249" width="8.87272727272727" style="1484"/>
    <col min="10250" max="10250" width="5.75454545454545" style="1484" customWidth="1"/>
    <col min="10251" max="10251" width="11.7545454545455" style="1484" customWidth="1"/>
    <col min="10252" max="10253" width="10.7545454545455" style="1484" customWidth="1"/>
    <col min="10254" max="10254" width="10" style="1484" customWidth="1"/>
    <col min="10255" max="10256" width="10.5" style="1484" customWidth="1"/>
    <col min="10257" max="10257" width="10" style="1484" customWidth="1"/>
    <col min="10258" max="10258" width="10.1272727272727" style="1484" customWidth="1"/>
    <col min="10259" max="10259" width="10" style="1484" customWidth="1"/>
    <col min="10260" max="10260" width="26.1272727272727" style="1484" customWidth="1"/>
    <col min="10261" max="10496" width="8.87272727272727" style="1484"/>
    <col min="10497" max="10497" width="9.5" style="1484" customWidth="1"/>
    <col min="10498" max="10498" width="8.87272727272727" style="1484"/>
    <col min="10499" max="10501" width="12.8727272727273" style="1484" customWidth="1"/>
    <col min="10502" max="10502" width="47.5" style="1484" customWidth="1"/>
    <col min="10503" max="10503" width="13" style="1484" customWidth="1"/>
    <col min="10504" max="10505" width="8.87272727272727" style="1484"/>
    <col min="10506" max="10506" width="5.75454545454545" style="1484" customWidth="1"/>
    <col min="10507" max="10507" width="11.7545454545455" style="1484" customWidth="1"/>
    <col min="10508" max="10509" width="10.7545454545455" style="1484" customWidth="1"/>
    <col min="10510" max="10510" width="10" style="1484" customWidth="1"/>
    <col min="10511" max="10512" width="10.5" style="1484" customWidth="1"/>
    <col min="10513" max="10513" width="10" style="1484" customWidth="1"/>
    <col min="10514" max="10514" width="10.1272727272727" style="1484" customWidth="1"/>
    <col min="10515" max="10515" width="10" style="1484" customWidth="1"/>
    <col min="10516" max="10516" width="26.1272727272727" style="1484" customWidth="1"/>
    <col min="10517" max="10752" width="8.87272727272727" style="1484"/>
    <col min="10753" max="10753" width="9.5" style="1484" customWidth="1"/>
    <col min="10754" max="10754" width="8.87272727272727" style="1484"/>
    <col min="10755" max="10757" width="12.8727272727273" style="1484" customWidth="1"/>
    <col min="10758" max="10758" width="47.5" style="1484" customWidth="1"/>
    <col min="10759" max="10759" width="13" style="1484" customWidth="1"/>
    <col min="10760" max="10761" width="8.87272727272727" style="1484"/>
    <col min="10762" max="10762" width="5.75454545454545" style="1484" customWidth="1"/>
    <col min="10763" max="10763" width="11.7545454545455" style="1484" customWidth="1"/>
    <col min="10764" max="10765" width="10.7545454545455" style="1484" customWidth="1"/>
    <col min="10766" max="10766" width="10" style="1484" customWidth="1"/>
    <col min="10767" max="10768" width="10.5" style="1484" customWidth="1"/>
    <col min="10769" max="10769" width="10" style="1484" customWidth="1"/>
    <col min="10770" max="10770" width="10.1272727272727" style="1484" customWidth="1"/>
    <col min="10771" max="10771" width="10" style="1484" customWidth="1"/>
    <col min="10772" max="10772" width="26.1272727272727" style="1484" customWidth="1"/>
    <col min="10773" max="11008" width="8.87272727272727" style="1484"/>
    <col min="11009" max="11009" width="9.5" style="1484" customWidth="1"/>
    <col min="11010" max="11010" width="8.87272727272727" style="1484"/>
    <col min="11011" max="11013" width="12.8727272727273" style="1484" customWidth="1"/>
    <col min="11014" max="11014" width="47.5" style="1484" customWidth="1"/>
    <col min="11015" max="11015" width="13" style="1484" customWidth="1"/>
    <col min="11016" max="11017" width="8.87272727272727" style="1484"/>
    <col min="11018" max="11018" width="5.75454545454545" style="1484" customWidth="1"/>
    <col min="11019" max="11019" width="11.7545454545455" style="1484" customWidth="1"/>
    <col min="11020" max="11021" width="10.7545454545455" style="1484" customWidth="1"/>
    <col min="11022" max="11022" width="10" style="1484" customWidth="1"/>
    <col min="11023" max="11024" width="10.5" style="1484" customWidth="1"/>
    <col min="11025" max="11025" width="10" style="1484" customWidth="1"/>
    <col min="11026" max="11026" width="10.1272727272727" style="1484" customWidth="1"/>
    <col min="11027" max="11027" width="10" style="1484" customWidth="1"/>
    <col min="11028" max="11028" width="26.1272727272727" style="1484" customWidth="1"/>
    <col min="11029" max="11264" width="8.87272727272727" style="1484"/>
    <col min="11265" max="11265" width="9.5" style="1484" customWidth="1"/>
    <col min="11266" max="11266" width="8.87272727272727" style="1484"/>
    <col min="11267" max="11269" width="12.8727272727273" style="1484" customWidth="1"/>
    <col min="11270" max="11270" width="47.5" style="1484" customWidth="1"/>
    <col min="11271" max="11271" width="13" style="1484" customWidth="1"/>
    <col min="11272" max="11273" width="8.87272727272727" style="1484"/>
    <col min="11274" max="11274" width="5.75454545454545" style="1484" customWidth="1"/>
    <col min="11275" max="11275" width="11.7545454545455" style="1484" customWidth="1"/>
    <col min="11276" max="11277" width="10.7545454545455" style="1484" customWidth="1"/>
    <col min="11278" max="11278" width="10" style="1484" customWidth="1"/>
    <col min="11279" max="11280" width="10.5" style="1484" customWidth="1"/>
    <col min="11281" max="11281" width="10" style="1484" customWidth="1"/>
    <col min="11282" max="11282" width="10.1272727272727" style="1484" customWidth="1"/>
    <col min="11283" max="11283" width="10" style="1484" customWidth="1"/>
    <col min="11284" max="11284" width="26.1272727272727" style="1484" customWidth="1"/>
    <col min="11285" max="11520" width="8.87272727272727" style="1484"/>
    <col min="11521" max="11521" width="9.5" style="1484" customWidth="1"/>
    <col min="11522" max="11522" width="8.87272727272727" style="1484"/>
    <col min="11523" max="11525" width="12.8727272727273" style="1484" customWidth="1"/>
    <col min="11526" max="11526" width="47.5" style="1484" customWidth="1"/>
    <col min="11527" max="11527" width="13" style="1484" customWidth="1"/>
    <col min="11528" max="11529" width="8.87272727272727" style="1484"/>
    <col min="11530" max="11530" width="5.75454545454545" style="1484" customWidth="1"/>
    <col min="11531" max="11531" width="11.7545454545455" style="1484" customWidth="1"/>
    <col min="11532" max="11533" width="10.7545454545455" style="1484" customWidth="1"/>
    <col min="11534" max="11534" width="10" style="1484" customWidth="1"/>
    <col min="11535" max="11536" width="10.5" style="1484" customWidth="1"/>
    <col min="11537" max="11537" width="10" style="1484" customWidth="1"/>
    <col min="11538" max="11538" width="10.1272727272727" style="1484" customWidth="1"/>
    <col min="11539" max="11539" width="10" style="1484" customWidth="1"/>
    <col min="11540" max="11540" width="26.1272727272727" style="1484" customWidth="1"/>
    <col min="11541" max="11776" width="8.87272727272727" style="1484"/>
    <col min="11777" max="11777" width="9.5" style="1484" customWidth="1"/>
    <col min="11778" max="11778" width="8.87272727272727" style="1484"/>
    <col min="11779" max="11781" width="12.8727272727273" style="1484" customWidth="1"/>
    <col min="11782" max="11782" width="47.5" style="1484" customWidth="1"/>
    <col min="11783" max="11783" width="13" style="1484" customWidth="1"/>
    <col min="11784" max="11785" width="8.87272727272727" style="1484"/>
    <col min="11786" max="11786" width="5.75454545454545" style="1484" customWidth="1"/>
    <col min="11787" max="11787" width="11.7545454545455" style="1484" customWidth="1"/>
    <col min="11788" max="11789" width="10.7545454545455" style="1484" customWidth="1"/>
    <col min="11790" max="11790" width="10" style="1484" customWidth="1"/>
    <col min="11791" max="11792" width="10.5" style="1484" customWidth="1"/>
    <col min="11793" max="11793" width="10" style="1484" customWidth="1"/>
    <col min="11794" max="11794" width="10.1272727272727" style="1484" customWidth="1"/>
    <col min="11795" max="11795" width="10" style="1484" customWidth="1"/>
    <col min="11796" max="11796" width="26.1272727272727" style="1484" customWidth="1"/>
    <col min="11797" max="12032" width="8.87272727272727" style="1484"/>
    <col min="12033" max="12033" width="9.5" style="1484" customWidth="1"/>
    <col min="12034" max="12034" width="8.87272727272727" style="1484"/>
    <col min="12035" max="12037" width="12.8727272727273" style="1484" customWidth="1"/>
    <col min="12038" max="12038" width="47.5" style="1484" customWidth="1"/>
    <col min="12039" max="12039" width="13" style="1484" customWidth="1"/>
    <col min="12040" max="12041" width="8.87272727272727" style="1484"/>
    <col min="12042" max="12042" width="5.75454545454545" style="1484" customWidth="1"/>
    <col min="12043" max="12043" width="11.7545454545455" style="1484" customWidth="1"/>
    <col min="12044" max="12045" width="10.7545454545455" style="1484" customWidth="1"/>
    <col min="12046" max="12046" width="10" style="1484" customWidth="1"/>
    <col min="12047" max="12048" width="10.5" style="1484" customWidth="1"/>
    <col min="12049" max="12049" width="10" style="1484" customWidth="1"/>
    <col min="12050" max="12050" width="10.1272727272727" style="1484" customWidth="1"/>
    <col min="12051" max="12051" width="10" style="1484" customWidth="1"/>
    <col min="12052" max="12052" width="26.1272727272727" style="1484" customWidth="1"/>
    <col min="12053" max="12288" width="8.87272727272727" style="1484"/>
    <col min="12289" max="12289" width="9.5" style="1484" customWidth="1"/>
    <col min="12290" max="12290" width="8.87272727272727" style="1484"/>
    <col min="12291" max="12293" width="12.8727272727273" style="1484" customWidth="1"/>
    <col min="12294" max="12294" width="47.5" style="1484" customWidth="1"/>
    <col min="12295" max="12295" width="13" style="1484" customWidth="1"/>
    <col min="12296" max="12297" width="8.87272727272727" style="1484"/>
    <col min="12298" max="12298" width="5.75454545454545" style="1484" customWidth="1"/>
    <col min="12299" max="12299" width="11.7545454545455" style="1484" customWidth="1"/>
    <col min="12300" max="12301" width="10.7545454545455" style="1484" customWidth="1"/>
    <col min="12302" max="12302" width="10" style="1484" customWidth="1"/>
    <col min="12303" max="12304" width="10.5" style="1484" customWidth="1"/>
    <col min="12305" max="12305" width="10" style="1484" customWidth="1"/>
    <col min="12306" max="12306" width="10.1272727272727" style="1484" customWidth="1"/>
    <col min="12307" max="12307" width="10" style="1484" customWidth="1"/>
    <col min="12308" max="12308" width="26.1272727272727" style="1484" customWidth="1"/>
    <col min="12309" max="12544" width="8.87272727272727" style="1484"/>
    <col min="12545" max="12545" width="9.5" style="1484" customWidth="1"/>
    <col min="12546" max="12546" width="8.87272727272727" style="1484"/>
    <col min="12547" max="12549" width="12.8727272727273" style="1484" customWidth="1"/>
    <col min="12550" max="12550" width="47.5" style="1484" customWidth="1"/>
    <col min="12551" max="12551" width="13" style="1484" customWidth="1"/>
    <col min="12552" max="12553" width="8.87272727272727" style="1484"/>
    <col min="12554" max="12554" width="5.75454545454545" style="1484" customWidth="1"/>
    <col min="12555" max="12555" width="11.7545454545455" style="1484" customWidth="1"/>
    <col min="12556" max="12557" width="10.7545454545455" style="1484" customWidth="1"/>
    <col min="12558" max="12558" width="10" style="1484" customWidth="1"/>
    <col min="12559" max="12560" width="10.5" style="1484" customWidth="1"/>
    <col min="12561" max="12561" width="10" style="1484" customWidth="1"/>
    <col min="12562" max="12562" width="10.1272727272727" style="1484" customWidth="1"/>
    <col min="12563" max="12563" width="10" style="1484" customWidth="1"/>
    <col min="12564" max="12564" width="26.1272727272727" style="1484" customWidth="1"/>
    <col min="12565" max="12800" width="8.87272727272727" style="1484"/>
    <col min="12801" max="12801" width="9.5" style="1484" customWidth="1"/>
    <col min="12802" max="12802" width="8.87272727272727" style="1484"/>
    <col min="12803" max="12805" width="12.8727272727273" style="1484" customWidth="1"/>
    <col min="12806" max="12806" width="47.5" style="1484" customWidth="1"/>
    <col min="12807" max="12807" width="13" style="1484" customWidth="1"/>
    <col min="12808" max="12809" width="8.87272727272727" style="1484"/>
    <col min="12810" max="12810" width="5.75454545454545" style="1484" customWidth="1"/>
    <col min="12811" max="12811" width="11.7545454545455" style="1484" customWidth="1"/>
    <col min="12812" max="12813" width="10.7545454545455" style="1484" customWidth="1"/>
    <col min="12814" max="12814" width="10" style="1484" customWidth="1"/>
    <col min="12815" max="12816" width="10.5" style="1484" customWidth="1"/>
    <col min="12817" max="12817" width="10" style="1484" customWidth="1"/>
    <col min="12818" max="12818" width="10.1272727272727" style="1484" customWidth="1"/>
    <col min="12819" max="12819" width="10" style="1484" customWidth="1"/>
    <col min="12820" max="12820" width="26.1272727272727" style="1484" customWidth="1"/>
    <col min="12821" max="13056" width="8.87272727272727" style="1484"/>
    <col min="13057" max="13057" width="9.5" style="1484" customWidth="1"/>
    <col min="13058" max="13058" width="8.87272727272727" style="1484"/>
    <col min="13059" max="13061" width="12.8727272727273" style="1484" customWidth="1"/>
    <col min="13062" max="13062" width="47.5" style="1484" customWidth="1"/>
    <col min="13063" max="13063" width="13" style="1484" customWidth="1"/>
    <col min="13064" max="13065" width="8.87272727272727" style="1484"/>
    <col min="13066" max="13066" width="5.75454545454545" style="1484" customWidth="1"/>
    <col min="13067" max="13067" width="11.7545454545455" style="1484" customWidth="1"/>
    <col min="13068" max="13069" width="10.7545454545455" style="1484" customWidth="1"/>
    <col min="13070" max="13070" width="10" style="1484" customWidth="1"/>
    <col min="13071" max="13072" width="10.5" style="1484" customWidth="1"/>
    <col min="13073" max="13073" width="10" style="1484" customWidth="1"/>
    <col min="13074" max="13074" width="10.1272727272727" style="1484" customWidth="1"/>
    <col min="13075" max="13075" width="10" style="1484" customWidth="1"/>
    <col min="13076" max="13076" width="26.1272727272727" style="1484" customWidth="1"/>
    <col min="13077" max="13312" width="8.87272727272727" style="1484"/>
    <col min="13313" max="13313" width="9.5" style="1484" customWidth="1"/>
    <col min="13314" max="13314" width="8.87272727272727" style="1484"/>
    <col min="13315" max="13317" width="12.8727272727273" style="1484" customWidth="1"/>
    <col min="13318" max="13318" width="47.5" style="1484" customWidth="1"/>
    <col min="13319" max="13319" width="13" style="1484" customWidth="1"/>
    <col min="13320" max="13321" width="8.87272727272727" style="1484"/>
    <col min="13322" max="13322" width="5.75454545454545" style="1484" customWidth="1"/>
    <col min="13323" max="13323" width="11.7545454545455" style="1484" customWidth="1"/>
    <col min="13324" max="13325" width="10.7545454545455" style="1484" customWidth="1"/>
    <col min="13326" max="13326" width="10" style="1484" customWidth="1"/>
    <col min="13327" max="13328" width="10.5" style="1484" customWidth="1"/>
    <col min="13329" max="13329" width="10" style="1484" customWidth="1"/>
    <col min="13330" max="13330" width="10.1272727272727" style="1484" customWidth="1"/>
    <col min="13331" max="13331" width="10" style="1484" customWidth="1"/>
    <col min="13332" max="13332" width="26.1272727272727" style="1484" customWidth="1"/>
    <col min="13333" max="13568" width="8.87272727272727" style="1484"/>
    <col min="13569" max="13569" width="9.5" style="1484" customWidth="1"/>
    <col min="13570" max="13570" width="8.87272727272727" style="1484"/>
    <col min="13571" max="13573" width="12.8727272727273" style="1484" customWidth="1"/>
    <col min="13574" max="13574" width="47.5" style="1484" customWidth="1"/>
    <col min="13575" max="13575" width="13" style="1484" customWidth="1"/>
    <col min="13576" max="13577" width="8.87272727272727" style="1484"/>
    <col min="13578" max="13578" width="5.75454545454545" style="1484" customWidth="1"/>
    <col min="13579" max="13579" width="11.7545454545455" style="1484" customWidth="1"/>
    <col min="13580" max="13581" width="10.7545454545455" style="1484" customWidth="1"/>
    <col min="13582" max="13582" width="10" style="1484" customWidth="1"/>
    <col min="13583" max="13584" width="10.5" style="1484" customWidth="1"/>
    <col min="13585" max="13585" width="10" style="1484" customWidth="1"/>
    <col min="13586" max="13586" width="10.1272727272727" style="1484" customWidth="1"/>
    <col min="13587" max="13587" width="10" style="1484" customWidth="1"/>
    <col min="13588" max="13588" width="26.1272727272727" style="1484" customWidth="1"/>
    <col min="13589" max="13824" width="8.87272727272727" style="1484"/>
    <col min="13825" max="13825" width="9.5" style="1484" customWidth="1"/>
    <col min="13826" max="13826" width="8.87272727272727" style="1484"/>
    <col min="13827" max="13829" width="12.8727272727273" style="1484" customWidth="1"/>
    <col min="13830" max="13830" width="47.5" style="1484" customWidth="1"/>
    <col min="13831" max="13831" width="13" style="1484" customWidth="1"/>
    <col min="13832" max="13833" width="8.87272727272727" style="1484"/>
    <col min="13834" max="13834" width="5.75454545454545" style="1484" customWidth="1"/>
    <col min="13835" max="13835" width="11.7545454545455" style="1484" customWidth="1"/>
    <col min="13836" max="13837" width="10.7545454545455" style="1484" customWidth="1"/>
    <col min="13838" max="13838" width="10" style="1484" customWidth="1"/>
    <col min="13839" max="13840" width="10.5" style="1484" customWidth="1"/>
    <col min="13841" max="13841" width="10" style="1484" customWidth="1"/>
    <col min="13842" max="13842" width="10.1272727272727" style="1484" customWidth="1"/>
    <col min="13843" max="13843" width="10" style="1484" customWidth="1"/>
    <col min="13844" max="13844" width="26.1272727272727" style="1484" customWidth="1"/>
    <col min="13845" max="14080" width="8.87272727272727" style="1484"/>
    <col min="14081" max="14081" width="9.5" style="1484" customWidth="1"/>
    <col min="14082" max="14082" width="8.87272727272727" style="1484"/>
    <col min="14083" max="14085" width="12.8727272727273" style="1484" customWidth="1"/>
    <col min="14086" max="14086" width="47.5" style="1484" customWidth="1"/>
    <col min="14087" max="14087" width="13" style="1484" customWidth="1"/>
    <col min="14088" max="14089" width="8.87272727272727" style="1484"/>
    <col min="14090" max="14090" width="5.75454545454545" style="1484" customWidth="1"/>
    <col min="14091" max="14091" width="11.7545454545455" style="1484" customWidth="1"/>
    <col min="14092" max="14093" width="10.7545454545455" style="1484" customWidth="1"/>
    <col min="14094" max="14094" width="10" style="1484" customWidth="1"/>
    <col min="14095" max="14096" width="10.5" style="1484" customWidth="1"/>
    <col min="14097" max="14097" width="10" style="1484" customWidth="1"/>
    <col min="14098" max="14098" width="10.1272727272727" style="1484" customWidth="1"/>
    <col min="14099" max="14099" width="10" style="1484" customWidth="1"/>
    <col min="14100" max="14100" width="26.1272727272727" style="1484" customWidth="1"/>
    <col min="14101" max="14336" width="8.87272727272727" style="1484"/>
    <col min="14337" max="14337" width="9.5" style="1484" customWidth="1"/>
    <col min="14338" max="14338" width="8.87272727272727" style="1484"/>
    <col min="14339" max="14341" width="12.8727272727273" style="1484" customWidth="1"/>
    <col min="14342" max="14342" width="47.5" style="1484" customWidth="1"/>
    <col min="14343" max="14343" width="13" style="1484" customWidth="1"/>
    <col min="14344" max="14345" width="8.87272727272727" style="1484"/>
    <col min="14346" max="14346" width="5.75454545454545" style="1484" customWidth="1"/>
    <col min="14347" max="14347" width="11.7545454545455" style="1484" customWidth="1"/>
    <col min="14348" max="14349" width="10.7545454545455" style="1484" customWidth="1"/>
    <col min="14350" max="14350" width="10" style="1484" customWidth="1"/>
    <col min="14351" max="14352" width="10.5" style="1484" customWidth="1"/>
    <col min="14353" max="14353" width="10" style="1484" customWidth="1"/>
    <col min="14354" max="14354" width="10.1272727272727" style="1484" customWidth="1"/>
    <col min="14355" max="14355" width="10" style="1484" customWidth="1"/>
    <col min="14356" max="14356" width="26.1272727272727" style="1484" customWidth="1"/>
    <col min="14357" max="14592" width="8.87272727272727" style="1484"/>
    <col min="14593" max="14593" width="9.5" style="1484" customWidth="1"/>
    <col min="14594" max="14594" width="8.87272727272727" style="1484"/>
    <col min="14595" max="14597" width="12.8727272727273" style="1484" customWidth="1"/>
    <col min="14598" max="14598" width="47.5" style="1484" customWidth="1"/>
    <col min="14599" max="14599" width="13" style="1484" customWidth="1"/>
    <col min="14600" max="14601" width="8.87272727272727" style="1484"/>
    <col min="14602" max="14602" width="5.75454545454545" style="1484" customWidth="1"/>
    <col min="14603" max="14603" width="11.7545454545455" style="1484" customWidth="1"/>
    <col min="14604" max="14605" width="10.7545454545455" style="1484" customWidth="1"/>
    <col min="14606" max="14606" width="10" style="1484" customWidth="1"/>
    <col min="14607" max="14608" width="10.5" style="1484" customWidth="1"/>
    <col min="14609" max="14609" width="10" style="1484" customWidth="1"/>
    <col min="14610" max="14610" width="10.1272727272727" style="1484" customWidth="1"/>
    <col min="14611" max="14611" width="10" style="1484" customWidth="1"/>
    <col min="14612" max="14612" width="26.1272727272727" style="1484" customWidth="1"/>
    <col min="14613" max="14848" width="8.87272727272727" style="1484"/>
    <col min="14849" max="14849" width="9.5" style="1484" customWidth="1"/>
    <col min="14850" max="14850" width="8.87272727272727" style="1484"/>
    <col min="14851" max="14853" width="12.8727272727273" style="1484" customWidth="1"/>
    <col min="14854" max="14854" width="47.5" style="1484" customWidth="1"/>
    <col min="14855" max="14855" width="13" style="1484" customWidth="1"/>
    <col min="14856" max="14857" width="8.87272727272727" style="1484"/>
    <col min="14858" max="14858" width="5.75454545454545" style="1484" customWidth="1"/>
    <col min="14859" max="14859" width="11.7545454545455" style="1484" customWidth="1"/>
    <col min="14860" max="14861" width="10.7545454545455" style="1484" customWidth="1"/>
    <col min="14862" max="14862" width="10" style="1484" customWidth="1"/>
    <col min="14863" max="14864" width="10.5" style="1484" customWidth="1"/>
    <col min="14865" max="14865" width="10" style="1484" customWidth="1"/>
    <col min="14866" max="14866" width="10.1272727272727" style="1484" customWidth="1"/>
    <col min="14867" max="14867" width="10" style="1484" customWidth="1"/>
    <col min="14868" max="14868" width="26.1272727272727" style="1484" customWidth="1"/>
    <col min="14869" max="15104" width="8.87272727272727" style="1484"/>
    <col min="15105" max="15105" width="9.5" style="1484" customWidth="1"/>
    <col min="15106" max="15106" width="8.87272727272727" style="1484"/>
    <col min="15107" max="15109" width="12.8727272727273" style="1484" customWidth="1"/>
    <col min="15110" max="15110" width="47.5" style="1484" customWidth="1"/>
    <col min="15111" max="15111" width="13" style="1484" customWidth="1"/>
    <col min="15112" max="15113" width="8.87272727272727" style="1484"/>
    <col min="15114" max="15114" width="5.75454545454545" style="1484" customWidth="1"/>
    <col min="15115" max="15115" width="11.7545454545455" style="1484" customWidth="1"/>
    <col min="15116" max="15117" width="10.7545454545455" style="1484" customWidth="1"/>
    <col min="15118" max="15118" width="10" style="1484" customWidth="1"/>
    <col min="15119" max="15120" width="10.5" style="1484" customWidth="1"/>
    <col min="15121" max="15121" width="10" style="1484" customWidth="1"/>
    <col min="15122" max="15122" width="10.1272727272727" style="1484" customWidth="1"/>
    <col min="15123" max="15123" width="10" style="1484" customWidth="1"/>
    <col min="15124" max="15124" width="26.1272727272727" style="1484" customWidth="1"/>
    <col min="15125" max="15360" width="8.87272727272727" style="1484"/>
    <col min="15361" max="15361" width="9.5" style="1484" customWidth="1"/>
    <col min="15362" max="15362" width="8.87272727272727" style="1484"/>
    <col min="15363" max="15365" width="12.8727272727273" style="1484" customWidth="1"/>
    <col min="15366" max="15366" width="47.5" style="1484" customWidth="1"/>
    <col min="15367" max="15367" width="13" style="1484" customWidth="1"/>
    <col min="15368" max="15369" width="8.87272727272727" style="1484"/>
    <col min="15370" max="15370" width="5.75454545454545" style="1484" customWidth="1"/>
    <col min="15371" max="15371" width="11.7545454545455" style="1484" customWidth="1"/>
    <col min="15372" max="15373" width="10.7545454545455" style="1484" customWidth="1"/>
    <col min="15374" max="15374" width="10" style="1484" customWidth="1"/>
    <col min="15375" max="15376" width="10.5" style="1484" customWidth="1"/>
    <col min="15377" max="15377" width="10" style="1484" customWidth="1"/>
    <col min="15378" max="15378" width="10.1272727272727" style="1484" customWidth="1"/>
    <col min="15379" max="15379" width="10" style="1484" customWidth="1"/>
    <col min="15380" max="15380" width="26.1272727272727" style="1484" customWidth="1"/>
    <col min="15381" max="15616" width="8.87272727272727" style="1484"/>
    <col min="15617" max="15617" width="9.5" style="1484" customWidth="1"/>
    <col min="15618" max="15618" width="8.87272727272727" style="1484"/>
    <col min="15619" max="15621" width="12.8727272727273" style="1484" customWidth="1"/>
    <col min="15622" max="15622" width="47.5" style="1484" customWidth="1"/>
    <col min="15623" max="15623" width="13" style="1484" customWidth="1"/>
    <col min="15624" max="15625" width="8.87272727272727" style="1484"/>
    <col min="15626" max="15626" width="5.75454545454545" style="1484" customWidth="1"/>
    <col min="15627" max="15627" width="11.7545454545455" style="1484" customWidth="1"/>
    <col min="15628" max="15629" width="10.7545454545455" style="1484" customWidth="1"/>
    <col min="15630" max="15630" width="10" style="1484" customWidth="1"/>
    <col min="15631" max="15632" width="10.5" style="1484" customWidth="1"/>
    <col min="15633" max="15633" width="10" style="1484" customWidth="1"/>
    <col min="15634" max="15634" width="10.1272727272727" style="1484" customWidth="1"/>
    <col min="15635" max="15635" width="10" style="1484" customWidth="1"/>
    <col min="15636" max="15636" width="26.1272727272727" style="1484" customWidth="1"/>
    <col min="15637" max="15872" width="8.87272727272727" style="1484"/>
    <col min="15873" max="15873" width="9.5" style="1484" customWidth="1"/>
    <col min="15874" max="15874" width="8.87272727272727" style="1484"/>
    <col min="15875" max="15877" width="12.8727272727273" style="1484" customWidth="1"/>
    <col min="15878" max="15878" width="47.5" style="1484" customWidth="1"/>
    <col min="15879" max="15879" width="13" style="1484" customWidth="1"/>
    <col min="15880" max="15881" width="8.87272727272727" style="1484"/>
    <col min="15882" max="15882" width="5.75454545454545" style="1484" customWidth="1"/>
    <col min="15883" max="15883" width="11.7545454545455" style="1484" customWidth="1"/>
    <col min="15884" max="15885" width="10.7545454545455" style="1484" customWidth="1"/>
    <col min="15886" max="15886" width="10" style="1484" customWidth="1"/>
    <col min="15887" max="15888" width="10.5" style="1484" customWidth="1"/>
    <col min="15889" max="15889" width="10" style="1484" customWidth="1"/>
    <col min="15890" max="15890" width="10.1272727272727" style="1484" customWidth="1"/>
    <col min="15891" max="15891" width="10" style="1484" customWidth="1"/>
    <col min="15892" max="15892" width="26.1272727272727" style="1484" customWidth="1"/>
    <col min="15893" max="16128" width="8.87272727272727" style="1484"/>
    <col min="16129" max="16129" width="9.5" style="1484" customWidth="1"/>
    <col min="16130" max="16130" width="8.87272727272727" style="1484"/>
    <col min="16131" max="16133" width="12.8727272727273" style="1484" customWidth="1"/>
    <col min="16134" max="16134" width="47.5" style="1484" customWidth="1"/>
    <col min="16135" max="16135" width="13" style="1484" customWidth="1"/>
    <col min="16136" max="16137" width="8.87272727272727" style="1484"/>
    <col min="16138" max="16138" width="5.75454545454545" style="1484" customWidth="1"/>
    <col min="16139" max="16139" width="11.7545454545455" style="1484" customWidth="1"/>
    <col min="16140" max="16141" width="10.7545454545455" style="1484" customWidth="1"/>
    <col min="16142" max="16142" width="10" style="1484" customWidth="1"/>
    <col min="16143" max="16144" width="10.5" style="1484" customWidth="1"/>
    <col min="16145" max="16145" width="10" style="1484" customWidth="1"/>
    <col min="16146" max="16146" width="10.1272727272727" style="1484" customWidth="1"/>
    <col min="16147" max="16147" width="10" style="1484" customWidth="1"/>
    <col min="16148" max="16148" width="26.1272727272727" style="1484" customWidth="1"/>
    <col min="16149" max="16384" width="8.87272727272727" style="1484"/>
  </cols>
  <sheetData>
    <row r="1" ht="21" customHeight="1" spans="1:21">
      <c r="A1" s="1489" t="s">
        <v>1981</v>
      </c>
      <c r="B1" s="1490"/>
      <c r="C1" s="1491"/>
      <c r="D1" s="1491"/>
      <c r="E1" s="1492"/>
      <c r="F1" s="1493"/>
      <c r="G1" s="1494"/>
      <c r="J1" s="1601" t="s">
        <v>1982</v>
      </c>
      <c r="K1" s="1602"/>
      <c r="L1" s="1602"/>
      <c r="M1" s="1602"/>
      <c r="N1" s="1602"/>
      <c r="O1" s="1602"/>
      <c r="P1" s="1602"/>
      <c r="Q1" s="1602"/>
      <c r="R1" s="1650"/>
      <c r="S1" s="1651"/>
      <c r="T1" s="1651"/>
      <c r="U1" s="1651"/>
    </row>
    <row r="2" s="1482" customFormat="1" customHeight="1" spans="1:22">
      <c r="A2" s="1495" t="s">
        <v>1478</v>
      </c>
      <c r="B2" s="1496" t="e">
        <f>IF(D2="——",C40,C40+E2)</f>
        <v>#DIV/0!</v>
      </c>
      <c r="C2" s="1491" t="s">
        <v>1479</v>
      </c>
      <c r="D2" s="1497" t="s">
        <v>1983</v>
      </c>
      <c r="E2" s="1498"/>
      <c r="F2" s="1499"/>
      <c r="G2" s="1500"/>
      <c r="H2" s="1501"/>
      <c r="I2" s="1603"/>
      <c r="J2" s="1604" t="s">
        <v>1984</v>
      </c>
      <c r="K2" s="1605"/>
      <c r="L2" s="1606" t="s">
        <v>1985</v>
      </c>
      <c r="M2" s="1606" t="s">
        <v>1986</v>
      </c>
      <c r="N2" s="1606" t="s">
        <v>1987</v>
      </c>
      <c r="O2" s="1606" t="s">
        <v>1988</v>
      </c>
      <c r="P2" s="1606" t="s">
        <v>1989</v>
      </c>
      <c r="Q2" s="1652" t="s">
        <v>1990</v>
      </c>
      <c r="R2" s="1653" t="s">
        <v>1991</v>
      </c>
      <c r="S2" s="1651"/>
      <c r="T2" s="1651"/>
      <c r="U2" s="1651"/>
      <c r="V2" s="1603"/>
    </row>
    <row r="3" s="1482" customFormat="1" customHeight="1" spans="1:22">
      <c r="A3" s="1502" t="s">
        <v>1480</v>
      </c>
      <c r="B3" s="1503" t="e">
        <f>ROUND(B2*10000/B4,0)</f>
        <v>#DIV/0!</v>
      </c>
      <c r="C3" s="1491" t="s">
        <v>1481</v>
      </c>
      <c r="D3" s="1491"/>
      <c r="E3" s="1504"/>
      <c r="F3" s="1499"/>
      <c r="G3" s="1500"/>
      <c r="H3" s="1501"/>
      <c r="I3" s="1603"/>
      <c r="J3" s="1607" t="s">
        <v>1992</v>
      </c>
      <c r="K3" s="1608"/>
      <c r="L3" s="1609"/>
      <c r="M3" s="1609"/>
      <c r="N3" s="1609"/>
      <c r="O3" s="1609"/>
      <c r="P3" s="1609"/>
      <c r="Q3" s="1654"/>
      <c r="R3" s="1655">
        <f>SUM(L3:Q3)</f>
        <v>0</v>
      </c>
      <c r="S3" s="1651"/>
      <c r="T3" s="1651"/>
      <c r="U3" s="1651"/>
      <c r="V3" s="1603"/>
    </row>
    <row r="4" s="1482" customFormat="1" customHeight="1" spans="1:22">
      <c r="A4" s="1505" t="s">
        <v>1993</v>
      </c>
      <c r="B4" s="1506"/>
      <c r="C4" s="1491"/>
      <c r="D4" s="1491"/>
      <c r="E4" s="1504"/>
      <c r="F4" s="1499"/>
      <c r="G4" s="1500"/>
      <c r="H4" s="1501"/>
      <c r="I4" s="1603"/>
      <c r="J4" s="1607" t="s">
        <v>1994</v>
      </c>
      <c r="K4" s="1608"/>
      <c r="L4" s="1610"/>
      <c r="M4" s="1610"/>
      <c r="N4" s="1610"/>
      <c r="O4" s="1610"/>
      <c r="P4" s="1610"/>
      <c r="Q4" s="1656"/>
      <c r="R4" s="1657">
        <f>SUM(L4:Q4)</f>
        <v>0</v>
      </c>
      <c r="S4" s="1651"/>
      <c r="T4" s="1651"/>
      <c r="U4" s="1651"/>
      <c r="V4" s="1603"/>
    </row>
    <row r="5" s="1482" customFormat="1" customHeight="1" spans="1:22">
      <c r="A5" s="1507" t="s">
        <v>1995</v>
      </c>
      <c r="B5" s="1508"/>
      <c r="C5" s="1491"/>
      <c r="D5" s="1509"/>
      <c r="E5" s="1499"/>
      <c r="F5" s="1499"/>
      <c r="G5" s="1500"/>
      <c r="H5" s="1501"/>
      <c r="I5" s="1603"/>
      <c r="J5" s="1611" t="s">
        <v>1996</v>
      </c>
      <c r="K5" s="1612"/>
      <c r="L5" s="1612"/>
      <c r="M5" s="1613"/>
      <c r="N5" s="1613"/>
      <c r="O5" s="1613"/>
      <c r="P5" s="1613"/>
      <c r="Q5" s="1613"/>
      <c r="R5" s="1653">
        <f>SUM(R14,R19,R24,R25,R27,R28)</f>
        <v>0</v>
      </c>
      <c r="S5" s="1651"/>
      <c r="T5" s="1651" t="s">
        <v>1997</v>
      </c>
      <c r="U5" s="1651" t="e">
        <f>ROUND(R5*10000/365/R3,1)</f>
        <v>#DIV/0!</v>
      </c>
      <c r="V5" s="1603"/>
    </row>
    <row r="6" s="1482" customFormat="1" customHeight="1" spans="1:22">
      <c r="A6" s="1510" t="s">
        <v>1998</v>
      </c>
      <c r="B6" s="1511"/>
      <c r="C6" s="1512"/>
      <c r="D6" s="1513"/>
      <c r="E6" s="1514"/>
      <c r="F6" s="1515"/>
      <c r="G6" s="1516"/>
      <c r="H6" s="1501"/>
      <c r="I6" s="1603"/>
      <c r="J6" s="1614">
        <v>1</v>
      </c>
      <c r="K6" s="1615" t="s">
        <v>1999</v>
      </c>
      <c r="L6" s="1616" t="s">
        <v>2000</v>
      </c>
      <c r="M6" s="1617" t="s">
        <v>2001</v>
      </c>
      <c r="N6" s="1617" t="s">
        <v>2002</v>
      </c>
      <c r="O6" s="1617" t="s">
        <v>2003</v>
      </c>
      <c r="P6" s="1617" t="s">
        <v>2004</v>
      </c>
      <c r="Q6" s="1617" t="s">
        <v>2005</v>
      </c>
      <c r="R6" s="1655" t="s">
        <v>2006</v>
      </c>
      <c r="S6" s="1651"/>
      <c r="T6" s="1651" t="s">
        <v>2007</v>
      </c>
      <c r="U6" s="1651"/>
      <c r="V6" s="1603"/>
    </row>
    <row r="7" s="1482" customFormat="1" customHeight="1" spans="1:22">
      <c r="A7" s="1517" t="s">
        <v>2008</v>
      </c>
      <c r="B7" s="1518"/>
      <c r="C7" s="1519"/>
      <c r="D7" s="1520">
        <f>SUM(D9,D10,D11,D17,0)</f>
        <v>0</v>
      </c>
      <c r="E7" s="1521" t="e">
        <f>E9+E10+E11+E17</f>
        <v>#DIV/0!</v>
      </c>
      <c r="F7" s="1522"/>
      <c r="G7" s="1523"/>
      <c r="H7" s="1501"/>
      <c r="I7" s="1603"/>
      <c r="J7" s="1614"/>
      <c r="K7" s="1618"/>
      <c r="L7" s="1619" t="s">
        <v>2009</v>
      </c>
      <c r="M7" s="1620"/>
      <c r="N7" s="1506"/>
      <c r="O7" s="1621"/>
      <c r="P7" s="1621"/>
      <c r="Q7" s="1542">
        <v>365</v>
      </c>
      <c r="R7" s="1658">
        <f>ROUND(M7*N7*O7*P7*Q7/10000,0)</f>
        <v>0</v>
      </c>
      <c r="S7" s="1651"/>
      <c r="T7" s="1651" t="s">
        <v>2010</v>
      </c>
      <c r="U7" s="1651"/>
      <c r="V7" s="1603"/>
    </row>
    <row r="8" s="1482" customFormat="1" customHeight="1" spans="1:22">
      <c r="A8" s="1524" t="s">
        <v>2011</v>
      </c>
      <c r="B8" s="1525" t="s">
        <v>2012</v>
      </c>
      <c r="C8" s="1526"/>
      <c r="D8" s="1527" t="s">
        <v>2013</v>
      </c>
      <c r="E8" s="1528" t="s">
        <v>2014</v>
      </c>
      <c r="F8" s="1529" t="s">
        <v>2015</v>
      </c>
      <c r="G8" s="1530"/>
      <c r="H8" s="1501"/>
      <c r="I8" s="1603"/>
      <c r="J8" s="1614"/>
      <c r="K8" s="1618"/>
      <c r="L8" s="1619" t="s">
        <v>2016</v>
      </c>
      <c r="M8" s="1620"/>
      <c r="N8" s="1506"/>
      <c r="O8" s="1621"/>
      <c r="P8" s="1621"/>
      <c r="Q8" s="1542">
        <v>365</v>
      </c>
      <c r="R8" s="1658">
        <f t="shared" ref="R8:R13" si="0">ROUND(M8*N8*O8*P8*Q8/10000,0)</f>
        <v>0</v>
      </c>
      <c r="S8" s="1651"/>
      <c r="T8" s="1651" t="s">
        <v>2017</v>
      </c>
      <c r="U8" s="1651"/>
      <c r="V8" s="1603"/>
    </row>
    <row r="9" s="1482" customFormat="1" customHeight="1" spans="1:22">
      <c r="A9" s="1524">
        <v>1</v>
      </c>
      <c r="B9" s="1525" t="s">
        <v>2018</v>
      </c>
      <c r="C9" s="1526"/>
      <c r="D9" s="1527">
        <f>ROUND(D6*E9,0)</f>
        <v>0</v>
      </c>
      <c r="E9" s="1531"/>
      <c r="F9" s="1532" t="s">
        <v>2019</v>
      </c>
      <c r="G9" s="1516"/>
      <c r="H9" s="1501"/>
      <c r="I9" s="1603"/>
      <c r="J9" s="1614"/>
      <c r="K9" s="1618"/>
      <c r="L9" s="1619" t="s">
        <v>2020</v>
      </c>
      <c r="M9" s="1620"/>
      <c r="N9" s="1506"/>
      <c r="O9" s="1621"/>
      <c r="P9" s="1621"/>
      <c r="Q9" s="1542">
        <v>365</v>
      </c>
      <c r="R9" s="1658">
        <f t="shared" si="0"/>
        <v>0</v>
      </c>
      <c r="S9" s="1651"/>
      <c r="T9" s="1651"/>
      <c r="U9" s="1651"/>
      <c r="V9" s="1603"/>
    </row>
    <row r="10" s="1482" customFormat="1" customHeight="1" spans="1:22">
      <c r="A10" s="1524">
        <v>2</v>
      </c>
      <c r="B10" s="1525" t="s">
        <v>2021</v>
      </c>
      <c r="C10" s="1526"/>
      <c r="D10" s="1527">
        <f>ROUND(D6*E10,0)</f>
        <v>0</v>
      </c>
      <c r="E10" s="1531"/>
      <c r="F10" s="1532" t="s">
        <v>2022</v>
      </c>
      <c r="G10" s="1516"/>
      <c r="H10" s="1501"/>
      <c r="I10" s="1603"/>
      <c r="J10" s="1614"/>
      <c r="K10" s="1618"/>
      <c r="L10" s="1619" t="s">
        <v>2023</v>
      </c>
      <c r="M10" s="1620"/>
      <c r="N10" s="1506"/>
      <c r="O10" s="1621"/>
      <c r="P10" s="1621"/>
      <c r="Q10" s="1542">
        <v>365</v>
      </c>
      <c r="R10" s="1658">
        <f t="shared" si="0"/>
        <v>0</v>
      </c>
      <c r="S10" s="1651"/>
      <c r="T10" s="1651"/>
      <c r="U10" s="1651"/>
      <c r="V10" s="1603"/>
    </row>
    <row r="11" s="1482" customFormat="1" customHeight="1" spans="1:22">
      <c r="A11" s="1524">
        <v>3</v>
      </c>
      <c r="B11" s="1525" t="s">
        <v>2024</v>
      </c>
      <c r="C11" s="1526"/>
      <c r="D11" s="1527">
        <f>D12+D14+D15+D16</f>
        <v>0</v>
      </c>
      <c r="E11" s="1533" t="e">
        <f>D11/D6</f>
        <v>#DIV/0!</v>
      </c>
      <c r="F11" s="1529"/>
      <c r="G11" s="1530"/>
      <c r="H11" s="1501"/>
      <c r="I11" s="1603"/>
      <c r="J11" s="1614"/>
      <c r="K11" s="1618"/>
      <c r="L11" s="1619" t="s">
        <v>2025</v>
      </c>
      <c r="M11" s="1620"/>
      <c r="N11" s="1506"/>
      <c r="O11" s="1621"/>
      <c r="P11" s="1621"/>
      <c r="Q11" s="1542">
        <v>365</v>
      </c>
      <c r="R11" s="1658">
        <f t="shared" si="0"/>
        <v>0</v>
      </c>
      <c r="S11" s="1651"/>
      <c r="T11" s="1651"/>
      <c r="U11" s="1651"/>
      <c r="V11" s="1603"/>
    </row>
    <row r="12" s="1482" customFormat="1" customHeight="1" spans="1:22">
      <c r="A12" s="1534" t="s">
        <v>2026</v>
      </c>
      <c r="B12" s="1535" t="s">
        <v>2027</v>
      </c>
      <c r="C12" s="1536"/>
      <c r="D12" s="1537">
        <f>ROUND(D13*1.2%*(1-30%),0)</f>
        <v>0</v>
      </c>
      <c r="E12" s="1538">
        <v>0.012</v>
      </c>
      <c r="F12" s="1529" t="s">
        <v>2028</v>
      </c>
      <c r="G12" s="1530"/>
      <c r="H12" s="1501"/>
      <c r="I12" s="1603"/>
      <c r="J12" s="1614"/>
      <c r="K12" s="1618"/>
      <c r="L12" s="1619" t="s">
        <v>2029</v>
      </c>
      <c r="M12" s="1620"/>
      <c r="N12" s="1506"/>
      <c r="O12" s="1621"/>
      <c r="P12" s="1621"/>
      <c r="Q12" s="1542">
        <v>365</v>
      </c>
      <c r="R12" s="1658">
        <f t="shared" si="0"/>
        <v>0</v>
      </c>
      <c r="S12" s="1651"/>
      <c r="T12" s="1651"/>
      <c r="U12" s="1651"/>
      <c r="V12" s="1603"/>
    </row>
    <row r="13" s="1482" customFormat="1" customHeight="1" spans="1:22">
      <c r="A13" s="1534"/>
      <c r="B13" s="1535"/>
      <c r="C13" s="1539" t="s">
        <v>2030</v>
      </c>
      <c r="D13" s="1540"/>
      <c r="E13" s="1541"/>
      <c r="F13" s="1529"/>
      <c r="G13" s="1530"/>
      <c r="H13" s="1501"/>
      <c r="I13" s="1603"/>
      <c r="J13" s="1614"/>
      <c r="K13" s="1618"/>
      <c r="L13" s="1619" t="s">
        <v>2031</v>
      </c>
      <c r="M13" s="1620"/>
      <c r="N13" s="1506"/>
      <c r="O13" s="1621"/>
      <c r="P13" s="1621"/>
      <c r="Q13" s="1542">
        <v>365</v>
      </c>
      <c r="R13" s="1658">
        <f t="shared" si="0"/>
        <v>0</v>
      </c>
      <c r="S13" s="1651"/>
      <c r="T13" s="1651"/>
      <c r="U13" s="1651"/>
      <c r="V13" s="1603"/>
    </row>
    <row r="14" s="1482" customFormat="1" customHeight="1" spans="1:22">
      <c r="A14" s="1534" t="s">
        <v>2032</v>
      </c>
      <c r="B14" s="1535" t="s">
        <v>2033</v>
      </c>
      <c r="C14" s="1536"/>
      <c r="D14" s="1537">
        <f>ROUND(E14*B5/10000,0)</f>
        <v>0</v>
      </c>
      <c r="E14" s="1542"/>
      <c r="F14" s="1529" t="s">
        <v>2034</v>
      </c>
      <c r="G14" s="1530"/>
      <c r="H14" s="1501"/>
      <c r="I14" s="1603"/>
      <c r="J14" s="1614"/>
      <c r="K14" s="1622"/>
      <c r="L14" s="1623" t="s">
        <v>2035</v>
      </c>
      <c r="M14" s="1624">
        <f>SUM(M7:M13)</f>
        <v>0</v>
      </c>
      <c r="N14" s="1624" t="e">
        <f>ROUND((N7*M7+N8*M8+N9*M9+N10*M10+N11*M11+N12*M12+N13*M13)/M14,0)</f>
        <v>#DIV/0!</v>
      </c>
      <c r="O14" s="1625"/>
      <c r="P14" s="1625"/>
      <c r="Q14" s="1659"/>
      <c r="R14" s="1653">
        <f>SUM(R7:R13)</f>
        <v>0</v>
      </c>
      <c r="S14" s="1651"/>
      <c r="T14" s="1651"/>
      <c r="U14" s="1651"/>
      <c r="V14" s="1603"/>
    </row>
    <row r="15" s="1482" customFormat="1" customHeight="1" spans="1:22">
      <c r="A15" s="1534" t="s">
        <v>2036</v>
      </c>
      <c r="B15" s="1535" t="s">
        <v>2037</v>
      </c>
      <c r="C15" s="1536"/>
      <c r="D15" s="1537">
        <f>ROUND(D6*E15,0)</f>
        <v>0</v>
      </c>
      <c r="E15" s="1538">
        <v>0.055</v>
      </c>
      <c r="F15" s="1529" t="s">
        <v>2038</v>
      </c>
      <c r="G15" s="1516"/>
      <c r="H15" s="1501"/>
      <c r="I15" s="1603"/>
      <c r="J15" s="1614">
        <v>2</v>
      </c>
      <c r="K15" s="1615" t="s">
        <v>2039</v>
      </c>
      <c r="L15" s="1619" t="s">
        <v>2040</v>
      </c>
      <c r="M15" s="1620" t="s">
        <v>2041</v>
      </c>
      <c r="N15" s="1620" t="s">
        <v>2042</v>
      </c>
      <c r="O15" s="1621" t="s">
        <v>2043</v>
      </c>
      <c r="P15" s="1621" t="s">
        <v>2005</v>
      </c>
      <c r="Q15" s="1506" t="s">
        <v>124</v>
      </c>
      <c r="R15" s="1660" t="s">
        <v>2006</v>
      </c>
      <c r="S15" s="1651"/>
      <c r="T15" s="1651"/>
      <c r="U15" s="1651"/>
      <c r="V15" s="1603"/>
    </row>
    <row r="16" s="1482" customFormat="1" customHeight="1" spans="1:22">
      <c r="A16" s="1534" t="s">
        <v>2044</v>
      </c>
      <c r="B16" s="1535" t="s">
        <v>2045</v>
      </c>
      <c r="C16" s="1536"/>
      <c r="D16" s="1543">
        <f>D6*E16</f>
        <v>0</v>
      </c>
      <c r="E16" s="1544"/>
      <c r="F16" s="1532" t="s">
        <v>2046</v>
      </c>
      <c r="G16" s="1516"/>
      <c r="H16" s="1501"/>
      <c r="I16" s="1603"/>
      <c r="J16" s="1614"/>
      <c r="K16" s="1618"/>
      <c r="L16" s="1619" t="s">
        <v>2047</v>
      </c>
      <c r="M16" s="1620"/>
      <c r="N16" s="1620"/>
      <c r="O16" s="1621"/>
      <c r="P16" s="1542">
        <v>365</v>
      </c>
      <c r="Q16" s="1506"/>
      <c r="R16" s="1660">
        <f>ROUND(M16*N16*O16*P16/10000,0)</f>
        <v>0</v>
      </c>
      <c r="S16" s="1651"/>
      <c r="T16" s="1651"/>
      <c r="U16" s="1651"/>
      <c r="V16" s="1603"/>
    </row>
    <row r="17" s="1482" customFormat="1" customHeight="1" spans="1:22">
      <c r="A17" s="1545">
        <v>4</v>
      </c>
      <c r="B17" s="1546" t="s">
        <v>2048</v>
      </c>
      <c r="C17" s="1547"/>
      <c r="D17" s="1548">
        <f>ROUND(D6*E17,0)</f>
        <v>0</v>
      </c>
      <c r="E17" s="1549"/>
      <c r="F17" s="1550" t="s">
        <v>2049</v>
      </c>
      <c r="G17" s="1516"/>
      <c r="H17" s="1501"/>
      <c r="I17" s="1603"/>
      <c r="J17" s="1614"/>
      <c r="K17" s="1618"/>
      <c r="L17" s="1619" t="s">
        <v>2050</v>
      </c>
      <c r="M17" s="1620"/>
      <c r="N17" s="1620"/>
      <c r="O17" s="1621"/>
      <c r="P17" s="1542">
        <v>365</v>
      </c>
      <c r="Q17" s="1506"/>
      <c r="R17" s="1660">
        <f>ROUND(M17*N17*O17*P17/10000,0)</f>
        <v>0</v>
      </c>
      <c r="S17" s="1651"/>
      <c r="T17" s="1651"/>
      <c r="U17" s="1651"/>
      <c r="V17" s="1603"/>
    </row>
    <row r="18" s="1482" customFormat="1" customHeight="1" spans="1:22">
      <c r="A18" s="1517" t="s">
        <v>2051</v>
      </c>
      <c r="B18" s="1518"/>
      <c r="C18" s="1518"/>
      <c r="D18" s="1551">
        <f>ROUND(D6*E18,0)</f>
        <v>0</v>
      </c>
      <c r="E18" s="1552"/>
      <c r="F18" s="1553" t="s">
        <v>2052</v>
      </c>
      <c r="G18" s="1516"/>
      <c r="H18" s="1501"/>
      <c r="I18" s="1603"/>
      <c r="J18" s="1614"/>
      <c r="K18" s="1618"/>
      <c r="L18" s="1619" t="s">
        <v>2053</v>
      </c>
      <c r="M18" s="1620"/>
      <c r="N18" s="1620"/>
      <c r="O18" s="1621"/>
      <c r="P18" s="1542">
        <v>365</v>
      </c>
      <c r="Q18" s="1506"/>
      <c r="R18" s="1660">
        <f>ROUND(M18*N18*O18*P18/10000,0)</f>
        <v>0</v>
      </c>
      <c r="S18" s="1651"/>
      <c r="T18" s="1651"/>
      <c r="U18" s="1651"/>
      <c r="V18" s="1603"/>
    </row>
    <row r="19" s="1482" customFormat="1" customHeight="1" spans="1:22">
      <c r="A19" s="1554" t="s">
        <v>2054</v>
      </c>
      <c r="B19" s="1514"/>
      <c r="C19" s="1514"/>
      <c r="D19" s="1514"/>
      <c r="E19" s="1514"/>
      <c r="F19" s="1515"/>
      <c r="G19" s="1530"/>
      <c r="H19" s="1501"/>
      <c r="I19" s="1603"/>
      <c r="J19" s="1614"/>
      <c r="K19" s="1622"/>
      <c r="L19" s="1623" t="s">
        <v>2035</v>
      </c>
      <c r="M19" s="1624"/>
      <c r="N19" s="1624">
        <f>SUM(N16:N18)</f>
        <v>0</v>
      </c>
      <c r="O19" s="1625"/>
      <c r="P19" s="1626" t="s">
        <v>2055</v>
      </c>
      <c r="Q19" s="1621">
        <v>0</v>
      </c>
      <c r="R19" s="1661">
        <f>ROUND(IF(P19="按比例",R14*Q19,SUM(R16:R18)),0)</f>
        <v>0</v>
      </c>
      <c r="S19" s="1651"/>
      <c r="T19" s="1651"/>
      <c r="U19" s="1651"/>
      <c r="V19" s="1603"/>
    </row>
    <row r="20" s="1482" customFormat="1" customHeight="1" spans="1:22">
      <c r="A20" s="1517"/>
      <c r="B20" s="1518"/>
      <c r="C20" s="1518"/>
      <c r="D20" s="1518"/>
      <c r="E20" s="1518"/>
      <c r="F20" s="1555"/>
      <c r="G20" s="1530"/>
      <c r="H20" s="1501"/>
      <c r="I20" s="1603"/>
      <c r="J20" s="1614">
        <v>3</v>
      </c>
      <c r="K20" s="1615" t="s">
        <v>2056</v>
      </c>
      <c r="L20" s="1619" t="s">
        <v>2057</v>
      </c>
      <c r="M20" s="1620" t="s">
        <v>2058</v>
      </c>
      <c r="N20" s="1627" t="s">
        <v>2059</v>
      </c>
      <c r="O20" s="1621" t="s">
        <v>2060</v>
      </c>
      <c r="P20" s="1542" t="s">
        <v>2005</v>
      </c>
      <c r="Q20" s="1506" t="s">
        <v>124</v>
      </c>
      <c r="R20" s="1660" t="s">
        <v>2006</v>
      </c>
      <c r="S20" s="1648"/>
      <c r="T20" s="1648"/>
      <c r="U20" s="1648"/>
      <c r="V20" s="1603"/>
    </row>
    <row r="21" s="1482" customFormat="1" customHeight="1" spans="1:22">
      <c r="A21" s="1517"/>
      <c r="B21" s="1518"/>
      <c r="C21" s="1525" t="s">
        <v>2061</v>
      </c>
      <c r="D21" s="1556" t="s">
        <v>2062</v>
      </c>
      <c r="E21" s="1526" t="s">
        <v>2063</v>
      </c>
      <c r="F21" s="1555"/>
      <c r="G21" s="1530"/>
      <c r="H21" s="1501"/>
      <c r="I21" s="1603"/>
      <c r="J21" s="1614"/>
      <c r="K21" s="1618"/>
      <c r="L21" s="1619" t="s">
        <v>2064</v>
      </c>
      <c r="M21" s="1620"/>
      <c r="N21" s="1620"/>
      <c r="O21" s="1621"/>
      <c r="P21" s="1542">
        <v>365</v>
      </c>
      <c r="Q21" s="1506"/>
      <c r="R21" s="1662">
        <f>ROUND(M21*N21*O21*P21/10000,0)</f>
        <v>0</v>
      </c>
      <c r="S21" s="1648"/>
      <c r="T21" s="1648"/>
      <c r="U21" s="1648"/>
      <c r="V21" s="1603"/>
    </row>
    <row r="22" s="1482" customFormat="1" customHeight="1" spans="1:22">
      <c r="A22" s="1517"/>
      <c r="B22" s="1518"/>
      <c r="C22" s="1557" t="s">
        <v>2065</v>
      </c>
      <c r="D22" s="1558" t="s">
        <v>2066</v>
      </c>
      <c r="E22" s="1559" t="s">
        <v>2067</v>
      </c>
      <c r="F22" s="1555"/>
      <c r="G22" s="1560"/>
      <c r="H22" s="1501"/>
      <c r="I22" s="1603"/>
      <c r="J22" s="1614"/>
      <c r="K22" s="1618"/>
      <c r="L22" s="1619" t="s">
        <v>2068</v>
      </c>
      <c r="M22" s="1620"/>
      <c r="N22" s="1620"/>
      <c r="O22" s="1621"/>
      <c r="P22" s="1542">
        <v>365</v>
      </c>
      <c r="Q22" s="1506"/>
      <c r="R22" s="1662">
        <f>ROUND(M22*N22*O22*P22/10000,0)</f>
        <v>0</v>
      </c>
      <c r="S22" s="1648"/>
      <c r="T22" s="1648"/>
      <c r="U22" s="1648"/>
      <c r="V22" s="1603"/>
    </row>
    <row r="23" s="1482" customFormat="1" customHeight="1" spans="1:22">
      <c r="A23" s="1561">
        <v>1</v>
      </c>
      <c r="B23" s="1562" t="s">
        <v>2069</v>
      </c>
      <c r="C23" s="1563">
        <f>D6</f>
        <v>0</v>
      </c>
      <c r="D23" s="1564">
        <f>C23*(1+D24)</f>
        <v>0</v>
      </c>
      <c r="E23" s="1565">
        <f>D23*(1+E24)</f>
        <v>0</v>
      </c>
      <c r="F23" s="1566"/>
      <c r="G23" s="1567"/>
      <c r="H23" s="1501"/>
      <c r="I23" s="1603"/>
      <c r="J23" s="1614"/>
      <c r="K23" s="1618"/>
      <c r="L23" s="1619" t="s">
        <v>2070</v>
      </c>
      <c r="M23" s="1620"/>
      <c r="N23" s="1620"/>
      <c r="O23" s="1621"/>
      <c r="P23" s="1542">
        <v>365</v>
      </c>
      <c r="Q23" s="1506"/>
      <c r="R23" s="1662">
        <f>ROUND(M23*N23*O23*P23/10000,0)</f>
        <v>0</v>
      </c>
      <c r="S23" s="1651"/>
      <c r="T23" s="1651"/>
      <c r="U23" s="1651"/>
      <c r="V23" s="1603"/>
    </row>
    <row r="24" s="1482" customFormat="1" customHeight="1" spans="1:22">
      <c r="A24" s="1568"/>
      <c r="B24" s="1569" t="s">
        <v>2071</v>
      </c>
      <c r="C24" s="1570"/>
      <c r="D24" s="1571"/>
      <c r="E24" s="1572"/>
      <c r="F24" s="1573"/>
      <c r="G24" s="1567"/>
      <c r="H24" s="1501"/>
      <c r="I24" s="1603"/>
      <c r="J24" s="1614"/>
      <c r="K24" s="1622"/>
      <c r="L24" s="1623" t="s">
        <v>2035</v>
      </c>
      <c r="M24" s="1624">
        <f>SUM(M21:M23)</f>
        <v>0</v>
      </c>
      <c r="N24" s="1624"/>
      <c r="O24" s="1625"/>
      <c r="P24" s="1626" t="s">
        <v>2055</v>
      </c>
      <c r="Q24" s="1621">
        <v>0</v>
      </c>
      <c r="R24" s="1661">
        <f>ROUND(IF(P24="按比例",R14*Q24,SUM(R21:R23)),0)</f>
        <v>0</v>
      </c>
      <c r="S24" s="1651"/>
      <c r="T24" s="1651"/>
      <c r="U24" s="1651"/>
      <c r="V24" s="1603"/>
    </row>
    <row r="25" s="1483" customFormat="1" customHeight="1" spans="1:22">
      <c r="A25" s="1568"/>
      <c r="B25" s="1569"/>
      <c r="C25" s="1570"/>
      <c r="D25" s="1571"/>
      <c r="E25" s="1572"/>
      <c r="F25" s="1573"/>
      <c r="G25" s="1560"/>
      <c r="H25" s="1501"/>
      <c r="I25" s="1603"/>
      <c r="J25" s="1614">
        <v>4</v>
      </c>
      <c r="K25" s="1628" t="s">
        <v>2072</v>
      </c>
      <c r="L25" s="1629"/>
      <c r="M25" s="1629"/>
      <c r="N25" s="1629"/>
      <c r="O25" s="1629"/>
      <c r="P25" s="1630"/>
      <c r="Q25" s="1663">
        <v>0</v>
      </c>
      <c r="R25" s="1661">
        <f>ROUND(R14*Q25,0)</f>
        <v>0</v>
      </c>
      <c r="S25" s="1651"/>
      <c r="T25" s="1651"/>
      <c r="U25" s="1651"/>
      <c r="V25" s="1637"/>
    </row>
    <row r="26" s="1483" customFormat="1" customHeight="1" spans="1:22">
      <c r="A26" s="1561">
        <v>2</v>
      </c>
      <c r="B26" s="1562" t="s">
        <v>2073</v>
      </c>
      <c r="C26" s="1563">
        <f>D7</f>
        <v>0</v>
      </c>
      <c r="D26" s="1564">
        <f>D23*D27</f>
        <v>0</v>
      </c>
      <c r="E26" s="1565">
        <f>E23*E27</f>
        <v>0</v>
      </c>
      <c r="F26" s="1566"/>
      <c r="G26" s="1567"/>
      <c r="H26" s="1501"/>
      <c r="I26" s="1603"/>
      <c r="J26" s="1631">
        <v>5</v>
      </c>
      <c r="K26" s="1632" t="s">
        <v>2074</v>
      </c>
      <c r="L26" s="1633"/>
      <c r="M26" s="1634"/>
      <c r="N26" s="1635" t="s">
        <v>456</v>
      </c>
      <c r="O26" s="1635" t="s">
        <v>2075</v>
      </c>
      <c r="P26" s="1636" t="s">
        <v>2076</v>
      </c>
      <c r="Q26" s="1636" t="s">
        <v>2077</v>
      </c>
      <c r="R26" s="1655" t="s">
        <v>2006</v>
      </c>
      <c r="S26" s="1664"/>
      <c r="T26" s="1664"/>
      <c r="U26" s="1664"/>
      <c r="V26" s="1637"/>
    </row>
    <row r="27" s="1482" customFormat="1" customHeight="1" spans="1:22">
      <c r="A27" s="1568"/>
      <c r="B27" s="1569" t="s">
        <v>2078</v>
      </c>
      <c r="C27" s="1574" t="e">
        <f>E7</f>
        <v>#DIV/0!</v>
      </c>
      <c r="D27" s="1571"/>
      <c r="E27" s="1572"/>
      <c r="F27" s="1573"/>
      <c r="G27" s="1567"/>
      <c r="H27" s="1575"/>
      <c r="I27" s="1637"/>
      <c r="J27" s="1638"/>
      <c r="K27" s="1639"/>
      <c r="L27" s="1640"/>
      <c r="M27" s="1641"/>
      <c r="N27" s="1642"/>
      <c r="O27" s="1642"/>
      <c r="P27" s="1642"/>
      <c r="Q27" s="1665"/>
      <c r="R27" s="1661">
        <f>ROUND(O27*N27*P27*(1-Q27)/10000,0)</f>
        <v>0</v>
      </c>
      <c r="S27" s="1651"/>
      <c r="T27" s="1651"/>
      <c r="U27" s="1651"/>
      <c r="V27" s="1603"/>
    </row>
    <row r="28" s="1483" customFormat="1" customHeight="1" spans="1:22">
      <c r="A28" s="1568"/>
      <c r="B28" s="1569"/>
      <c r="C28" s="1574"/>
      <c r="D28" s="1571"/>
      <c r="E28" s="1572" t="s">
        <v>2079</v>
      </c>
      <c r="F28" s="1573"/>
      <c r="G28" s="1560"/>
      <c r="H28" s="1575"/>
      <c r="I28" s="1637"/>
      <c r="J28" s="1643">
        <v>6</v>
      </c>
      <c r="K28" s="1644" t="s">
        <v>2080</v>
      </c>
      <c r="L28" s="1645" t="s">
        <v>2081</v>
      </c>
      <c r="M28" s="1646"/>
      <c r="N28" s="1645" t="s">
        <v>2082</v>
      </c>
      <c r="O28" s="1647"/>
      <c r="P28" s="1645" t="s">
        <v>2083</v>
      </c>
      <c r="Q28" s="1666">
        <v>0.015</v>
      </c>
      <c r="R28" s="1667"/>
      <c r="S28" s="1648"/>
      <c r="T28" s="1648"/>
      <c r="U28" s="1648"/>
      <c r="V28" s="1637"/>
    </row>
    <row r="29" s="1483" customFormat="1" customHeight="1" spans="1:22">
      <c r="A29" s="1561">
        <v>3</v>
      </c>
      <c r="B29" s="1562" t="s">
        <v>2084</v>
      </c>
      <c r="C29" s="1563">
        <f>C23*C30</f>
        <v>0</v>
      </c>
      <c r="D29" s="1564">
        <f>D23*C30</f>
        <v>0</v>
      </c>
      <c r="E29" s="1565">
        <f>E23*C30</f>
        <v>0</v>
      </c>
      <c r="F29" s="1566"/>
      <c r="G29" s="1567"/>
      <c r="H29" s="1501"/>
      <c r="I29" s="1603"/>
      <c r="J29" s="1648"/>
      <c r="K29" s="1648"/>
      <c r="L29" s="1648"/>
      <c r="M29" s="1648"/>
      <c r="N29" s="1648"/>
      <c r="O29" s="1648"/>
      <c r="P29" s="1648"/>
      <c r="Q29" s="1648"/>
      <c r="R29" s="1648"/>
      <c r="S29" s="1648"/>
      <c r="T29" s="1648"/>
      <c r="U29" s="1648"/>
      <c r="V29" s="1637"/>
    </row>
    <row r="30" s="1482" customFormat="1" customHeight="1" spans="1:22">
      <c r="A30" s="1568"/>
      <c r="B30" s="1569" t="s">
        <v>2078</v>
      </c>
      <c r="C30" s="1574">
        <f>E18</f>
        <v>0</v>
      </c>
      <c r="D30" s="1576"/>
      <c r="E30" s="1541"/>
      <c r="F30" s="1573"/>
      <c r="G30" s="1567"/>
      <c r="H30" s="1575"/>
      <c r="I30" s="1637"/>
      <c r="J30" s="1648"/>
      <c r="K30" s="1648"/>
      <c r="L30" s="1648"/>
      <c r="M30" s="1648"/>
      <c r="N30" s="1648"/>
      <c r="O30" s="1648"/>
      <c r="P30" s="1648"/>
      <c r="Q30" s="1648"/>
      <c r="R30" s="1648"/>
      <c r="S30" s="1648"/>
      <c r="T30" s="1648"/>
      <c r="U30" s="1651"/>
      <c r="V30" s="1603"/>
    </row>
    <row r="31" s="1483" customFormat="1" customHeight="1" spans="1:22">
      <c r="A31" s="1568"/>
      <c r="B31" s="1569"/>
      <c r="C31" s="1577"/>
      <c r="D31" s="1576"/>
      <c r="E31" s="1541"/>
      <c r="F31" s="1573"/>
      <c r="G31" s="1560"/>
      <c r="H31" s="1575"/>
      <c r="I31" s="1637"/>
      <c r="J31" s="1601" t="s">
        <v>2085</v>
      </c>
      <c r="K31" s="1602"/>
      <c r="L31" s="1602"/>
      <c r="M31" s="1602"/>
      <c r="N31" s="1602"/>
      <c r="O31" s="1602"/>
      <c r="P31" s="1602"/>
      <c r="Q31" s="1602"/>
      <c r="R31" s="1650"/>
      <c r="S31" s="1648"/>
      <c r="T31" s="1651"/>
      <c r="U31" s="1651"/>
      <c r="V31" s="1637"/>
    </row>
    <row r="32" s="1483" customFormat="1" customHeight="1" spans="1:22">
      <c r="A32" s="1561">
        <v>4</v>
      </c>
      <c r="B32" s="1562" t="s">
        <v>2086</v>
      </c>
      <c r="C32" s="1563">
        <f>C23-C26-C29</f>
        <v>0</v>
      </c>
      <c r="D32" s="1564">
        <f>D23-D26-D29</f>
        <v>0</v>
      </c>
      <c r="E32" s="1565">
        <f>E23-E26-E29</f>
        <v>0</v>
      </c>
      <c r="F32" s="1566"/>
      <c r="G32" s="1560"/>
      <c r="H32" s="1501"/>
      <c r="I32" s="1603"/>
      <c r="J32" s="1604" t="s">
        <v>1984</v>
      </c>
      <c r="K32" s="1605"/>
      <c r="L32" s="1606" t="s">
        <v>1985</v>
      </c>
      <c r="M32" s="1606" t="s">
        <v>1986</v>
      </c>
      <c r="N32" s="1606" t="s">
        <v>1987</v>
      </c>
      <c r="O32" s="1606" t="s">
        <v>1988</v>
      </c>
      <c r="P32" s="1606" t="s">
        <v>1989</v>
      </c>
      <c r="Q32" s="1652" t="s">
        <v>1990</v>
      </c>
      <c r="R32" s="1668" t="s">
        <v>1991</v>
      </c>
      <c r="S32" s="1648"/>
      <c r="T32" s="1651"/>
      <c r="U32" s="1651"/>
      <c r="V32" s="1637"/>
    </row>
    <row r="33" s="1482" customFormat="1" customHeight="1" spans="1:22">
      <c r="A33" s="1561"/>
      <c r="B33" s="1562"/>
      <c r="C33" s="1563"/>
      <c r="D33" s="1578"/>
      <c r="E33" s="1536"/>
      <c r="F33" s="1566"/>
      <c r="G33" s="1560"/>
      <c r="H33" s="1575"/>
      <c r="I33" s="1637"/>
      <c r="J33" s="1607" t="s">
        <v>1992</v>
      </c>
      <c r="K33" s="1608"/>
      <c r="L33" s="1609"/>
      <c r="M33" s="1609"/>
      <c r="N33" s="1609"/>
      <c r="O33" s="1609"/>
      <c r="P33" s="1609"/>
      <c r="Q33" s="1654"/>
      <c r="R33" s="1669">
        <f>SUM(L33:Q33)</f>
        <v>0</v>
      </c>
      <c r="S33" s="1648"/>
      <c r="T33" s="1651"/>
      <c r="U33" s="1651"/>
      <c r="V33" s="1603"/>
    </row>
    <row r="34" s="1482" customFormat="1" customHeight="1" spans="1:22">
      <c r="A34" s="1561">
        <v>5</v>
      </c>
      <c r="B34" s="1562" t="s">
        <v>2087</v>
      </c>
      <c r="C34" s="1579"/>
      <c r="D34" s="1580"/>
      <c r="E34" s="1581"/>
      <c r="F34" s="1566"/>
      <c r="G34" s="1560"/>
      <c r="H34" s="1575"/>
      <c r="I34" s="1637"/>
      <c r="J34" s="1607" t="s">
        <v>1994</v>
      </c>
      <c r="K34" s="1608"/>
      <c r="L34" s="1610"/>
      <c r="M34" s="1610"/>
      <c r="N34" s="1610"/>
      <c r="O34" s="1610"/>
      <c r="P34" s="1610"/>
      <c r="Q34" s="1656"/>
      <c r="R34" s="1670">
        <f>SUM(L34:Q34)</f>
        <v>0</v>
      </c>
      <c r="S34" s="1648"/>
      <c r="T34" s="1651"/>
      <c r="U34" s="1651" t="e">
        <f>ROUND(R35*10000/365/R33,1)</f>
        <v>#DIV/0!</v>
      </c>
      <c r="V34" s="1603"/>
    </row>
    <row r="35" s="1482" customFormat="1" customHeight="1" spans="1:22">
      <c r="A35" s="1561">
        <v>6</v>
      </c>
      <c r="B35" s="1562" t="s">
        <v>2088</v>
      </c>
      <c r="C35" s="1582"/>
      <c r="D35" s="1583"/>
      <c r="E35" s="1584"/>
      <c r="F35" s="1566"/>
      <c r="G35" s="1585"/>
      <c r="H35" s="1501"/>
      <c r="I35" s="1637"/>
      <c r="J35" s="1611" t="s">
        <v>1996</v>
      </c>
      <c r="K35" s="1612"/>
      <c r="L35" s="1612"/>
      <c r="M35" s="1613"/>
      <c r="N35" s="1613"/>
      <c r="O35" s="1613"/>
      <c r="P35" s="1613"/>
      <c r="Q35" s="1613"/>
      <c r="R35" s="1671">
        <f>R40+R41+R43</f>
        <v>0</v>
      </c>
      <c r="S35" s="1648"/>
      <c r="T35" s="1651" t="s">
        <v>1997</v>
      </c>
      <c r="U35" s="1651"/>
      <c r="V35" s="1603"/>
    </row>
    <row r="36" s="1482" customFormat="1" customHeight="1" spans="1:22">
      <c r="A36" s="1561">
        <v>7</v>
      </c>
      <c r="B36" s="1586" t="s">
        <v>2089</v>
      </c>
      <c r="C36" s="1587"/>
      <c r="D36" s="1588"/>
      <c r="E36" s="1589"/>
      <c r="F36" s="1590">
        <f>C36+D36+E36</f>
        <v>0</v>
      </c>
      <c r="G36" s="1560"/>
      <c r="H36" s="1501"/>
      <c r="I36" s="1603"/>
      <c r="J36" s="1614">
        <v>1</v>
      </c>
      <c r="K36" s="1615" t="s">
        <v>2090</v>
      </c>
      <c r="L36" s="1616"/>
      <c r="M36" s="1617"/>
      <c r="N36" s="1617"/>
      <c r="O36" s="1617"/>
      <c r="P36" s="1617"/>
      <c r="Q36" s="1617"/>
      <c r="R36" s="1655" t="s">
        <v>2006</v>
      </c>
      <c r="S36" s="1648"/>
      <c r="T36" s="1651" t="s">
        <v>2007</v>
      </c>
      <c r="U36" s="1651"/>
      <c r="V36" s="1603"/>
    </row>
    <row r="37" s="1482" customFormat="1" customHeight="1" spans="1:22">
      <c r="A37" s="1561"/>
      <c r="B37" s="1562"/>
      <c r="C37" s="1562"/>
      <c r="D37" s="1562"/>
      <c r="E37" s="1562"/>
      <c r="F37" s="1566"/>
      <c r="G37" s="1560"/>
      <c r="H37" s="1501"/>
      <c r="I37" s="1603"/>
      <c r="J37" s="1614"/>
      <c r="K37" s="1618"/>
      <c r="L37" s="1619"/>
      <c r="M37" s="1620"/>
      <c r="N37" s="1506"/>
      <c r="O37" s="1621"/>
      <c r="P37" s="1621"/>
      <c r="Q37" s="1542"/>
      <c r="R37" s="1658"/>
      <c r="S37" s="1648"/>
      <c r="T37" s="1651" t="s">
        <v>2010</v>
      </c>
      <c r="U37" s="1651"/>
      <c r="V37" s="1603"/>
    </row>
    <row r="38" s="1482" customFormat="1" customHeight="1" spans="1:22">
      <c r="A38" s="1561">
        <v>8</v>
      </c>
      <c r="B38" s="1562"/>
      <c r="C38" s="1527" t="e">
        <f>ROUND(C32*(1-((1+C35)/(1+C34))^C36)/(C34-C35),0)</f>
        <v>#DIV/0!</v>
      </c>
      <c r="D38" s="1527">
        <f>IF(D23=0,0,ROUND(D32*(1-((1+D35)/(1+D34))^D36)/(D34-D35),0))</f>
        <v>0</v>
      </c>
      <c r="E38" s="1527">
        <f>IF(E23=0,0,ROUND(E32*(1-((1+E35)/(1+E34))^E36)/(E34-E35),0))</f>
        <v>0</v>
      </c>
      <c r="F38" s="1566"/>
      <c r="G38" s="1560"/>
      <c r="H38" s="1501"/>
      <c r="I38" s="1603"/>
      <c r="J38" s="1614"/>
      <c r="K38" s="1618"/>
      <c r="L38" s="1619"/>
      <c r="M38" s="1620"/>
      <c r="N38" s="1506"/>
      <c r="O38" s="1621"/>
      <c r="P38" s="1621"/>
      <c r="Q38" s="1542"/>
      <c r="R38" s="1658"/>
      <c r="S38" s="1648"/>
      <c r="T38" s="1651" t="s">
        <v>2017</v>
      </c>
      <c r="U38" s="1651"/>
      <c r="V38" s="1603"/>
    </row>
    <row r="39" s="1482" customFormat="1" customHeight="1" spans="1:22">
      <c r="A39" s="1561">
        <v>9</v>
      </c>
      <c r="B39" s="1562" t="s">
        <v>2091</v>
      </c>
      <c r="C39" s="1537" t="e">
        <f>C38</f>
        <v>#DIV/0!</v>
      </c>
      <c r="D39" s="1562">
        <f>D38/(1+D34)^C36</f>
        <v>0</v>
      </c>
      <c r="E39" s="1562">
        <f>E38/(1+E34)^(C36+D36)</f>
        <v>0</v>
      </c>
      <c r="F39" s="1566"/>
      <c r="G39" s="1591"/>
      <c r="H39" s="1501"/>
      <c r="I39" s="1603"/>
      <c r="J39" s="1614"/>
      <c r="K39" s="1618"/>
      <c r="L39" s="1619"/>
      <c r="M39" s="1620"/>
      <c r="N39" s="1506"/>
      <c r="O39" s="1621"/>
      <c r="P39" s="1621"/>
      <c r="Q39" s="1542"/>
      <c r="R39" s="1658"/>
      <c r="S39" s="1648"/>
      <c r="T39" s="1651"/>
      <c r="U39" s="1651"/>
      <c r="V39" s="1603"/>
    </row>
    <row r="40" s="1482" customFormat="1" customHeight="1" spans="1:22">
      <c r="A40" s="1592">
        <v>10</v>
      </c>
      <c r="B40" s="1562" t="s">
        <v>2092</v>
      </c>
      <c r="C40" s="1593" t="e">
        <f>C39+D39+E39</f>
        <v>#DIV/0!</v>
      </c>
      <c r="D40" s="1594"/>
      <c r="E40" s="1594"/>
      <c r="F40" s="1595"/>
      <c r="G40" s="1560"/>
      <c r="H40" s="1501"/>
      <c r="I40" s="1603"/>
      <c r="J40" s="1614"/>
      <c r="K40" s="1622"/>
      <c r="L40" s="1623" t="s">
        <v>2035</v>
      </c>
      <c r="M40" s="1624"/>
      <c r="N40" s="1624"/>
      <c r="O40" s="1625"/>
      <c r="P40" s="1625"/>
      <c r="Q40" s="1659"/>
      <c r="R40" s="1653">
        <f>SUM(R37:R39)</f>
        <v>0</v>
      </c>
      <c r="S40" s="1648"/>
      <c r="T40" s="1651"/>
      <c r="U40" s="1651"/>
      <c r="V40" s="1603"/>
    </row>
    <row r="41" s="1482" customFormat="1" customHeight="1" spans="1:22">
      <c r="A41" s="1596">
        <v>11</v>
      </c>
      <c r="B41" s="1597" t="s">
        <v>2093</v>
      </c>
      <c r="C41" s="1597" t="e">
        <f>ROUND(C40*10000/B4,0)</f>
        <v>#DIV/0!</v>
      </c>
      <c r="D41" s="1598"/>
      <c r="E41" s="1598"/>
      <c r="F41" s="1599"/>
      <c r="G41" s="1600"/>
      <c r="H41" s="1501"/>
      <c r="I41" s="1603"/>
      <c r="J41" s="1614">
        <v>2</v>
      </c>
      <c r="K41" s="1628" t="s">
        <v>2072</v>
      </c>
      <c r="L41" s="1629"/>
      <c r="M41" s="1629"/>
      <c r="N41" s="1629"/>
      <c r="O41" s="1629"/>
      <c r="P41" s="1630"/>
      <c r="Q41" s="1663"/>
      <c r="R41" s="1661">
        <f>ROUND(R40*Q41,0)</f>
        <v>0</v>
      </c>
      <c r="S41" s="1648"/>
      <c r="T41" s="1651"/>
      <c r="U41" s="1664"/>
      <c r="V41" s="1603"/>
    </row>
    <row r="42" s="1482" customFormat="1" customHeight="1" spans="7:22">
      <c r="G42" s="1600"/>
      <c r="H42" s="1501"/>
      <c r="I42" s="1603"/>
      <c r="J42" s="1631">
        <v>3</v>
      </c>
      <c r="K42" s="1632" t="s">
        <v>2074</v>
      </c>
      <c r="L42" s="1633"/>
      <c r="M42" s="1634"/>
      <c r="N42" s="1635" t="s">
        <v>456</v>
      </c>
      <c r="O42" s="1635" t="s">
        <v>2075</v>
      </c>
      <c r="P42" s="1636" t="s">
        <v>2076</v>
      </c>
      <c r="Q42" s="1636" t="s">
        <v>2077</v>
      </c>
      <c r="R42" s="1655" t="s">
        <v>2006</v>
      </c>
      <c r="S42" s="1664"/>
      <c r="T42" s="1664"/>
      <c r="U42" s="1651"/>
      <c r="V42" s="1603"/>
    </row>
    <row r="43" customHeight="1" spans="1:23">
      <c r="A43" s="1482"/>
      <c r="B43" s="1482"/>
      <c r="C43" s="1482"/>
      <c r="D43" s="1482"/>
      <c r="E43" s="1482"/>
      <c r="F43" s="1482"/>
      <c r="I43" s="1486"/>
      <c r="J43" s="1638"/>
      <c r="K43" s="1639"/>
      <c r="L43" s="1640"/>
      <c r="M43" s="1641"/>
      <c r="N43" s="1620"/>
      <c r="O43" s="1620"/>
      <c r="P43" s="1620"/>
      <c r="Q43" s="1663"/>
      <c r="R43" s="1661">
        <f>ROUND(O43*N43*P43*(1-Q43)/10000,0)</f>
        <v>0</v>
      </c>
      <c r="S43" s="1648"/>
      <c r="T43" s="1651"/>
      <c r="V43" s="1488"/>
      <c r="W43" s="1672"/>
    </row>
    <row r="44" customHeight="1" spans="10:18">
      <c r="J44" s="1643">
        <v>6</v>
      </c>
      <c r="K44" s="1644" t="s">
        <v>2080</v>
      </c>
      <c r="L44" s="1649" t="s">
        <v>2081</v>
      </c>
      <c r="M44" s="1646"/>
      <c r="N44" s="1649" t="s">
        <v>2082</v>
      </c>
      <c r="O44" s="1646"/>
      <c r="P44" s="1649" t="s">
        <v>2083</v>
      </c>
      <c r="Q44" s="1666">
        <v>0.015</v>
      </c>
      <c r="R44" s="16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2094</v>
      </c>
      <c r="B1" s="1457"/>
      <c r="C1" s="1457"/>
      <c r="D1" s="1457"/>
      <c r="E1" s="1458"/>
      <c r="F1" s="1459"/>
      <c r="G1" s="1460"/>
      <c r="H1" s="1460"/>
      <c r="I1" s="1460"/>
      <c r="J1" s="1460"/>
      <c r="K1" s="1460"/>
      <c r="L1" s="1460"/>
      <c r="M1" s="1460"/>
      <c r="N1" s="1460"/>
      <c r="O1" s="1460"/>
      <c r="P1" s="1460"/>
      <c r="Q1" s="1460"/>
      <c r="R1" s="1460"/>
      <c r="S1" s="1460"/>
    </row>
    <row r="2" ht="15" spans="1:19">
      <c r="A2" s="1461" t="s">
        <v>1003</v>
      </c>
      <c r="B2" s="1462">
        <f ca="1">SUMIF(B6:B13,"&lt;&gt;#ref!",B6:B13)</f>
        <v>40137</v>
      </c>
      <c r="C2" s="1463" t="s">
        <v>2095</v>
      </c>
      <c r="D2" s="1464" t="s">
        <v>2096</v>
      </c>
      <c r="E2" s="1465">
        <f>SUM(E6:E13)</f>
        <v>68156.19</v>
      </c>
      <c r="F2" s="1459"/>
      <c r="G2" s="1460"/>
      <c r="H2" s="1460"/>
      <c r="I2" s="1460"/>
      <c r="J2" s="1460"/>
      <c r="K2" s="1460"/>
      <c r="L2" s="1460"/>
      <c r="M2" s="1460"/>
      <c r="N2" s="1460"/>
      <c r="O2" s="1460"/>
      <c r="P2" s="1460"/>
      <c r="Q2" s="1460"/>
      <c r="R2" s="1460"/>
      <c r="S2" s="1460"/>
    </row>
    <row r="3" ht="15" spans="1:19">
      <c r="A3" s="1461" t="s">
        <v>1005</v>
      </c>
      <c r="B3" s="1466">
        <f ca="1">ROUND(B2*10000/E2,0)</f>
        <v>5889</v>
      </c>
      <c r="C3" s="1463" t="s">
        <v>2097</v>
      </c>
      <c r="D3" s="1467"/>
      <c r="E3" s="1468"/>
      <c r="F3" s="1459"/>
      <c r="G3" s="1460"/>
      <c r="H3" s="1460"/>
      <c r="I3" s="1460"/>
      <c r="J3" s="1460"/>
      <c r="K3" s="1460"/>
      <c r="L3" s="1460"/>
      <c r="M3" s="1460"/>
      <c r="N3" s="1460"/>
      <c r="O3" s="1460"/>
      <c r="P3" s="1460"/>
      <c r="Q3" s="1460"/>
      <c r="R3" s="1460"/>
      <c r="S3" s="1460"/>
    </row>
    <row r="4" ht="15.5" spans="1:19">
      <c r="A4" s="1469"/>
      <c r="B4" s="1467"/>
      <c r="C4" s="1467"/>
      <c r="D4" s="1467"/>
      <c r="E4" s="1468"/>
      <c r="F4" s="1459"/>
      <c r="G4" s="1460"/>
      <c r="H4" s="1460"/>
      <c r="I4" s="1460"/>
      <c r="J4" s="1460"/>
      <c r="K4" s="1460"/>
      <c r="L4" s="1460"/>
      <c r="M4" s="1460"/>
      <c r="N4" s="1460"/>
      <c r="O4" s="1460"/>
      <c r="P4" s="1460"/>
      <c r="Q4" s="1460"/>
      <c r="R4" s="1460"/>
      <c r="S4" s="1460"/>
    </row>
    <row r="5" spans="1:19">
      <c r="A5" s="1470" t="s">
        <v>2098</v>
      </c>
      <c r="B5" s="1471" t="s">
        <v>2099</v>
      </c>
      <c r="C5" s="1472"/>
      <c r="D5" s="1473"/>
      <c r="E5" s="1474" t="s">
        <v>2100</v>
      </c>
      <c r="F5" s="1475" t="s">
        <v>2101</v>
      </c>
      <c r="G5" s="1460"/>
      <c r="H5" s="1460"/>
      <c r="I5" s="1460"/>
      <c r="J5" s="1460"/>
      <c r="K5" s="1460"/>
      <c r="L5" s="1460"/>
      <c r="M5" s="1460"/>
      <c r="N5" s="1460"/>
      <c r="O5" s="1460"/>
      <c r="P5" s="1460"/>
      <c r="Q5" s="1460"/>
      <c r="R5" s="1460"/>
      <c r="S5" s="1460"/>
    </row>
    <row r="6" spans="1:19">
      <c r="A6" s="1476" t="str">
        <f>'数据-取费表'!AN6</f>
        <v>收益法</v>
      </c>
      <c r="B6" s="571">
        <f ca="1">IF(F6="是",'数据-取费表'!AO6,0)</f>
        <v>40137</v>
      </c>
      <c r="C6" s="1463" t="s">
        <v>2095</v>
      </c>
      <c r="D6" s="1467"/>
      <c r="E6" s="1477">
        <f>IF(OR(A6=0,F6="否"),0,'数据-取费表'!K6+'数据-取费表'!S6)</f>
        <v>68156.19</v>
      </c>
      <c r="F6" s="1478" t="s">
        <v>2102</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2095</v>
      </c>
      <c r="D7" s="1467"/>
      <c r="E7" s="1477">
        <f>IF(OR(A7=0,F7="否"),0,'数据-取费表'!K7+'数据-取费表'!S7)</f>
        <v>0</v>
      </c>
      <c r="F7" s="1478" t="s">
        <v>2102</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2095</v>
      </c>
      <c r="D8" s="1467"/>
      <c r="E8" s="1477">
        <f>IF(OR(A8=0,F8="否"),0,'数据-取费表'!K8+'数据-取费表'!S8)</f>
        <v>0</v>
      </c>
      <c r="F8" s="1478" t="s">
        <v>2102</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2095</v>
      </c>
      <c r="D9" s="1467"/>
      <c r="E9" s="1477">
        <f>IF(OR(A9=0,F9="否"),0,'数据-取费表'!K9+'数据-取费表'!S9)</f>
        <v>0</v>
      </c>
      <c r="F9" s="1478" t="s">
        <v>2102</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2095</v>
      </c>
      <c r="D10" s="1467"/>
      <c r="E10" s="1477">
        <f>IF(OR(A10=0,F10="否"),0,'数据-取费表'!K10+'数据-取费表'!S10)</f>
        <v>0</v>
      </c>
      <c r="F10" s="1478" t="s">
        <v>2102</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2095</v>
      </c>
      <c r="D11" s="1467"/>
      <c r="E11" s="1477">
        <f>IF(OR(A11=0,F11="否"),0,'数据-取费表'!K11+'数据-取费表'!S11)</f>
        <v>0</v>
      </c>
      <c r="F11" s="1478" t="s">
        <v>2102</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2095</v>
      </c>
      <c r="D12" s="1467"/>
      <c r="E12" s="1477">
        <f>IF(OR(A12=0,F12="否"),0,'数据-取费表'!K12+'数据-取费表'!S12)</f>
        <v>0</v>
      </c>
      <c r="F12" s="1478" t="s">
        <v>2102</v>
      </c>
      <c r="G12" s="1460"/>
      <c r="H12" s="1460"/>
      <c r="I12" s="1460"/>
      <c r="J12" s="1460"/>
      <c r="K12" s="1460"/>
      <c r="L12" s="1460"/>
      <c r="M12" s="1460"/>
      <c r="N12" s="1460"/>
      <c r="O12" s="1460"/>
      <c r="P12" s="1460"/>
      <c r="Q12" s="1460"/>
      <c r="R12" s="1460"/>
      <c r="S12" s="1460"/>
    </row>
    <row r="13" ht="14.75" spans="1:19">
      <c r="A13" s="1479">
        <f>'数据-取费表'!AN13</f>
        <v>0</v>
      </c>
      <c r="B13" s="571" t="e">
        <f ca="1">IF(F13="是",'数据-取费表'!AO13,0)</f>
        <v>#REF!</v>
      </c>
      <c r="C13" s="1480" t="s">
        <v>2095</v>
      </c>
      <c r="D13" s="1481"/>
      <c r="E13" s="1477">
        <f>IF(OR(A13=0,F13="否"),0,'数据-取费表'!K13+'数据-取费表'!S13)</f>
        <v>0</v>
      </c>
      <c r="F13" s="1478" t="s">
        <v>2102</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受贵公司委托，我公司对北京市房地产抵押价值进行了预评估。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估价对象为北京市房地产，为所有。根据《国有土地使用证》[]，估价对象（分摊）出让国有建设用地使用权面积为11645.87平方米，建筑面积为68156.19平方米。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估价对象为北京市房地产,属开发建设的商业项目，该项目尚在开发建设中。根据《国有土地使用证》[]，估价对象（分摊）出让国有建设用地使用权面积为11645.87平方米，规划建筑面积为68156.19平方米。</v>
      </c>
    </row>
    <row r="11" ht="70" spans="1:1">
      <c r="A11" s="3713" t="s">
        <v>87</v>
      </c>
    </row>
    <row r="12" ht="1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5" t="s">
        <v>89</v>
      </c>
    </row>
    <row r="15" ht="17.5" spans="1:1">
      <c r="A15" s="3716" t="str">
        <f>TEXT(项目基本情况!D3,"yyyy年m月d日;;")&amp;IF(项目基本情况!D3=项目基本情况!B3,"（评估专业人员实地查勘之日）","")</f>
        <v>2024年12月18日（评估专业人员实地查勘之日）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0" t="str">
        <f>IF(项目基本情况!B9="房地产市场价值","——",IF(项目基本情况!E9="——","",定义!C57))</f>
        <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342" t="s">
        <v>2104</v>
      </c>
      <c r="C1" s="1247" t="s">
        <v>2105</v>
      </c>
      <c r="D1" s="1104" t="s">
        <v>412</v>
      </c>
      <c r="E1" s="1343" t="s">
        <v>2106</v>
      </c>
      <c r="F1" s="1106" t="s">
        <v>2107</v>
      </c>
      <c r="G1" s="1224" t="s">
        <v>1378</v>
      </c>
      <c r="H1" s="1225"/>
      <c r="I1" s="1225"/>
      <c r="J1" s="1225"/>
      <c r="K1" s="1245"/>
      <c r="L1" s="1246"/>
      <c r="M1" s="1247"/>
      <c r="N1" s="1247"/>
      <c r="O1" s="1247"/>
      <c r="P1" s="1378"/>
      <c r="Q1" s="1103"/>
      <c r="R1" s="1103"/>
      <c r="S1" s="1103"/>
      <c r="T1" s="1103"/>
      <c r="U1" s="1103"/>
      <c r="V1" s="1103"/>
      <c r="W1" s="1103"/>
      <c r="X1" s="1103"/>
      <c r="Y1" s="1103"/>
      <c r="Z1" s="1103"/>
      <c r="AA1" s="1103"/>
      <c r="AB1" s="1103"/>
      <c r="AC1" s="1207"/>
    </row>
    <row r="2" s="1367" customFormat="1" ht="28.5" customHeight="1" spans="1:29">
      <c r="A2" s="1109" t="s">
        <v>1003</v>
      </c>
      <c r="B2" s="1368">
        <f ca="1">IF(E1="项目模式",IF(C2="——",ROUND(C49*D3/10000,0),ROUND(C49*D3/10000,0)-D2),IF(E1="单套模式",IF(C2="——",ROUND(C49*D3/10000,4),ROUND(C49*D3/10000,4)-D2)))</f>
        <v>0</v>
      </c>
      <c r="C2" s="1111" t="s">
        <v>124</v>
      </c>
      <c r="D2" s="1304" t="e">
        <f ca="1">IF(E1="项目模式",SUMIF(INDIRECT("'"&amp;F2&amp;"'"&amp;"!A:A"),"承租人权益价值",INDIRECT("'"&amp;F2&amp;"'"&amp;"!c:c")),SUMIF(INDIRECT("'"&amp;F2&amp;"'"&amp;"!A:A"),"承租人权益价值（单套）",INDIRECT("'"&amp;F2&amp;"'"&amp;"!c:c")))</f>
        <v>#REF!</v>
      </c>
      <c r="E2" s="1113" t="s">
        <v>1004</v>
      </c>
      <c r="F2" s="1114"/>
      <c r="G2" s="1112"/>
      <c r="H2" s="1112"/>
      <c r="I2" s="1112"/>
      <c r="J2" s="1112"/>
      <c r="K2" s="1379"/>
      <c r="L2" s="1380"/>
      <c r="M2" s="1381"/>
      <c r="N2" s="1381"/>
      <c r="O2" s="1381"/>
      <c r="P2" s="1382"/>
      <c r="Q2" s="1400"/>
      <c r="R2" s="1400"/>
      <c r="S2" s="1400"/>
      <c r="T2" s="1400"/>
      <c r="U2" s="1400"/>
      <c r="V2" s="1400"/>
      <c r="W2" s="1400"/>
      <c r="X2" s="1400"/>
      <c r="Y2" s="1400"/>
      <c r="Z2" s="1400"/>
      <c r="AA2" s="1400"/>
      <c r="AB2" s="1400"/>
      <c r="AC2" s="1401"/>
    </row>
    <row r="3" s="1367" customFormat="1" ht="28.5" customHeight="1" spans="1:29">
      <c r="A3" s="396" t="s">
        <v>1005</v>
      </c>
      <c r="B3" s="1116">
        <f ca="1">IF(C2="——",C49,ROUND(B2*10000/D3,0))</f>
        <v>26213</v>
      </c>
      <c r="C3" s="1115" t="s">
        <v>1108</v>
      </c>
      <c r="D3" s="1116">
        <f>IF(D1="",'数据-汇总表'!E3,SUMIF('数据-汇总表'!$C19:$C33,D1,'数据-汇总表'!$E19:$E33))</f>
        <v>0</v>
      </c>
      <c r="E3" s="1112"/>
      <c r="F3" s="1369"/>
      <c r="G3" s="1112"/>
      <c r="H3" s="1112"/>
      <c r="I3" s="1112"/>
      <c r="J3" s="1112"/>
      <c r="K3" s="1379"/>
      <c r="L3" s="1380"/>
      <c r="M3" s="1381"/>
      <c r="N3" s="1381"/>
      <c r="O3" s="1381"/>
      <c r="P3" s="1382"/>
      <c r="Q3" s="1400"/>
      <c r="R3" s="1400"/>
      <c r="S3" s="1400"/>
      <c r="T3" s="1400"/>
      <c r="U3" s="1400"/>
      <c r="V3" s="1400"/>
      <c r="W3" s="1400"/>
      <c r="X3" s="1400"/>
      <c r="Y3" s="1400"/>
      <c r="Z3" s="1400"/>
      <c r="AA3" s="1400"/>
      <c r="AB3" s="1400"/>
      <c r="AC3" s="1402"/>
    </row>
    <row r="4" spans="1:29">
      <c r="A4" s="730" t="s">
        <v>1379</v>
      </c>
      <c r="B4" s="731"/>
      <c r="C4" s="732" t="s">
        <v>1380</v>
      </c>
      <c r="D4" s="733"/>
      <c r="E4" s="734" t="s">
        <v>1381</v>
      </c>
      <c r="F4" s="735"/>
      <c r="G4" s="732" t="s">
        <v>1382</v>
      </c>
      <c r="H4" s="733"/>
      <c r="I4" s="732" t="s">
        <v>1383</v>
      </c>
      <c r="J4" s="733"/>
      <c r="K4" s="1383" t="s">
        <v>1384</v>
      </c>
      <c r="L4" s="896"/>
      <c r="M4" s="897"/>
      <c r="N4" s="897"/>
      <c r="O4" s="897"/>
      <c r="P4" s="898" t="s">
        <v>1385</v>
      </c>
      <c r="Q4" s="948"/>
      <c r="R4" s="949" t="s">
        <v>1381</v>
      </c>
      <c r="S4" s="950"/>
      <c r="T4" s="949" t="s">
        <v>1382</v>
      </c>
      <c r="U4" s="950"/>
      <c r="V4" s="937" t="s">
        <v>1383</v>
      </c>
      <c r="W4" s="937"/>
      <c r="X4" s="951"/>
      <c r="Y4" s="949" t="s">
        <v>1385</v>
      </c>
      <c r="Z4" s="950"/>
      <c r="AA4" s="976" t="s">
        <v>1381</v>
      </c>
      <c r="AB4" s="976" t="s">
        <v>1382</v>
      </c>
      <c r="AC4" s="976" t="s">
        <v>1383</v>
      </c>
    </row>
    <row r="5" spans="1:29">
      <c r="A5" s="736"/>
      <c r="B5" s="737"/>
      <c r="C5" s="738" t="s">
        <v>1386</v>
      </c>
      <c r="D5" s="739"/>
      <c r="E5" s="740" t="s">
        <v>2108</v>
      </c>
      <c r="F5" s="741"/>
      <c r="G5" s="738" t="s">
        <v>2109</v>
      </c>
      <c r="H5" s="739"/>
      <c r="I5" s="1186" t="s">
        <v>2110</v>
      </c>
      <c r="J5" s="739"/>
      <c r="K5" s="1384"/>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1384"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SUMIF(58:58,YEAR(E7)&amp;"-"&amp;MONTH(E7),59:59)</f>
        <v>100</v>
      </c>
      <c r="G7" s="752">
        <f>E7</f>
        <v>45644</v>
      </c>
      <c r="H7" s="751">
        <f>SUMIF(58:58,YEAR(G7)&amp;"-"&amp;MONTH(G7),59:59)</f>
        <v>100</v>
      </c>
      <c r="I7" s="752">
        <f>G7</f>
        <v>45644</v>
      </c>
      <c r="J7" s="751">
        <f>SUMIF(58:58,YEAR(I7)&amp;"-"&amp;MONTH(I7),59:59)</f>
        <v>100</v>
      </c>
      <c r="K7" s="1385"/>
      <c r="L7" s="902"/>
      <c r="M7" s="903"/>
      <c r="N7" s="903"/>
      <c r="O7" s="903"/>
      <c r="P7" s="904" t="s">
        <v>1390</v>
      </c>
      <c r="Q7" s="958"/>
      <c r="R7" s="959" t="s">
        <v>1391</v>
      </c>
      <c r="S7" s="960">
        <f t="shared" ref="S7:S15" si="0">F7</f>
        <v>100</v>
      </c>
      <c r="T7" s="959" t="s">
        <v>1391</v>
      </c>
      <c r="U7" s="960">
        <f t="shared" ref="U7:U15" si="1">H7</f>
        <v>100</v>
      </c>
      <c r="V7" s="959" t="s">
        <v>1391</v>
      </c>
      <c r="W7" s="960">
        <f t="shared" ref="W7:W15"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SUMIF(61:61,E8,62:62)-SUMIF(61:61,C8,62:62)+100</f>
        <v>100</v>
      </c>
      <c r="G8" s="755" t="s">
        <v>1394</v>
      </c>
      <c r="H8" s="751">
        <f>SUMIF(61:61,G8,62:62)-SUMIF(61:61,C8,62:62)+100</f>
        <v>100</v>
      </c>
      <c r="I8" s="755" t="s">
        <v>1394</v>
      </c>
      <c r="J8" s="751">
        <f>SUMIF(61:61,I8,62:62)-SUMIF(61:61,C8,62:62)+100</f>
        <v>100</v>
      </c>
      <c r="K8" s="1385"/>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19" si="3">D8/F8</f>
        <v>1</v>
      </c>
      <c r="AB8" s="978">
        <f t="shared" ref="AB8:AB19" si="4">D8/H8</f>
        <v>1</v>
      </c>
      <c r="AC8" s="978">
        <f t="shared" ref="AC8:AC19" si="5">D8/J8</f>
        <v>1</v>
      </c>
    </row>
    <row r="9" s="711" customFormat="1" spans="1:29">
      <c r="A9" s="756" t="s">
        <v>1396</v>
      </c>
      <c r="B9" s="757" t="s">
        <v>1397</v>
      </c>
      <c r="C9" s="1124" t="s">
        <v>412</v>
      </c>
      <c r="D9" s="759">
        <v>100</v>
      </c>
      <c r="E9" s="1257" t="s">
        <v>412</v>
      </c>
      <c r="F9" s="1226">
        <f>SUMIF(63:63,E9,64:64)-SUMIF(63:63,C9,64:64)+100</f>
        <v>100</v>
      </c>
      <c r="G9" s="1257" t="s">
        <v>412</v>
      </c>
      <c r="H9" s="759">
        <f>SUMIF(63:63,G9,64:64)-SUMIF(63:63,C9,64:64)+100</f>
        <v>100</v>
      </c>
      <c r="I9" s="1257" t="s">
        <v>412</v>
      </c>
      <c r="J9" s="759">
        <f>SUMIF(63:63,I9,64:64)-SUMIF(63:63,C9,64:64)+100</f>
        <v>100</v>
      </c>
      <c r="K9" s="1385"/>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t="s">
        <v>2111</v>
      </c>
      <c r="D10" s="763">
        <v>100</v>
      </c>
      <c r="E10" s="1129" t="s">
        <v>2111</v>
      </c>
      <c r="F10" s="1227">
        <f>SUMIF(65:65,E10,66:66)-SUMIF(65:65,C10,66:66)+100</f>
        <v>100</v>
      </c>
      <c r="G10" s="1128" t="s">
        <v>2111</v>
      </c>
      <c r="H10" s="763">
        <f>SUMIF(65:65,G10,66:66)-SUMIF(65:65,C10,66:66)+100</f>
        <v>100</v>
      </c>
      <c r="I10" s="1128" t="s">
        <v>2111</v>
      </c>
      <c r="J10" s="763">
        <f>SUMIF(65:65,I10,66:66)-SUMIF(65:65,C10,66:66)+100</f>
        <v>100</v>
      </c>
      <c r="K10" s="1385"/>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v>1.6</v>
      </c>
      <c r="D11" s="763">
        <v>100</v>
      </c>
      <c r="E11" s="766">
        <v>2.2</v>
      </c>
      <c r="F11" s="1227">
        <f>LOOKUP(E11,68:68,69:69)-LOOKUP(C11,68:68,69:69)+100</f>
        <v>95</v>
      </c>
      <c r="G11" s="765">
        <v>2.2</v>
      </c>
      <c r="H11" s="763">
        <f>LOOKUP(G11,68:68,69:69)-LOOKUP(C11,68:68,69:69)+100</f>
        <v>95</v>
      </c>
      <c r="I11" s="765">
        <v>1.05</v>
      </c>
      <c r="J11" s="763">
        <f>LOOKUP(I11,68:68,69:69)-LOOKUP(C11,68:68,69:69)+100</f>
        <v>100</v>
      </c>
      <c r="K11" s="1386">
        <v>5</v>
      </c>
      <c r="L11" s="911"/>
      <c r="M11" s="897"/>
      <c r="N11" s="897"/>
      <c r="O11" s="897"/>
      <c r="P11" s="862"/>
      <c r="Q11" s="963" t="str">
        <f t="shared" si="6"/>
        <v>容积率</v>
      </c>
      <c r="R11" s="959" t="s">
        <v>1391</v>
      </c>
      <c r="S11" s="960">
        <f t="shared" si="0"/>
        <v>95</v>
      </c>
      <c r="T11" s="959" t="s">
        <v>1391</v>
      </c>
      <c r="U11" s="960">
        <f t="shared" si="1"/>
        <v>95</v>
      </c>
      <c r="V11" s="959" t="s">
        <v>1391</v>
      </c>
      <c r="W11" s="960">
        <f t="shared" si="2"/>
        <v>100</v>
      </c>
      <c r="X11" s="961"/>
      <c r="Y11" s="963"/>
      <c r="Z11" s="979" t="str">
        <f t="shared" si="7"/>
        <v>容积率</v>
      </c>
      <c r="AA11" s="978">
        <f t="shared" si="3"/>
        <v>1.05263157894737</v>
      </c>
      <c r="AB11" s="978">
        <f t="shared" si="4"/>
        <v>1.05263157894737</v>
      </c>
      <c r="AC11" s="978">
        <f t="shared" si="5"/>
        <v>1</v>
      </c>
    </row>
    <row r="12" s="711" customFormat="1" ht="15.5" spans="1:29">
      <c r="A12" s="767"/>
      <c r="B12" s="768">
        <v>111</v>
      </c>
      <c r="C12" s="762"/>
      <c r="D12" s="769">
        <v>100</v>
      </c>
      <c r="E12" s="762"/>
      <c r="F12" s="1227">
        <f>SUMIF(70:70,E12,71:71)-SUMIF(70:70,C12,71:71)+100</f>
        <v>100</v>
      </c>
      <c r="G12" s="762"/>
      <c r="H12" s="763">
        <f>SUMIF(70:70,G12,71:71)-SUMIF(70:70,C12,71:71)+100</f>
        <v>100</v>
      </c>
      <c r="I12" s="762"/>
      <c r="J12" s="763">
        <f>SUMIF(70:70,I12,71:71)-SUMIF(70:70,C12,71:71)+100</f>
        <v>100</v>
      </c>
      <c r="K12" s="1387"/>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1387"/>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242">
        <f>SUMIF(74:74,E14,75:75)-SUMIF(74:74,C14,75:75)+100</f>
        <v>100</v>
      </c>
      <c r="G14" s="776"/>
      <c r="H14" s="777">
        <f>SUMIF(74:74,G14,75:75)-SUMIF(74:74,C14,75:75)+100</f>
        <v>100</v>
      </c>
      <c r="I14" s="776"/>
      <c r="J14" s="777">
        <f>SUMIF(74:74,I14,75:75)-SUMIF(74:74,C14,75:75)+100</f>
        <v>100</v>
      </c>
      <c r="K14" s="1387"/>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98" spans="1:29">
      <c r="A15" s="778" t="s">
        <v>1403</v>
      </c>
      <c r="B15" s="1229" t="s">
        <v>1404</v>
      </c>
      <c r="C15" s="1344" t="str">
        <f>估价对象房地状况!C3</f>
        <v>估价对象周边居住用地比例、居住小区规模和社区发展完善程度，综合评价居住社区成熟度一般</v>
      </c>
      <c r="D15" s="781">
        <v>100</v>
      </c>
      <c r="E15" s="914"/>
      <c r="F15" s="781">
        <f>SUMIF(76:76,E16,77:77)-SUMIF(76:76,C16,77:77)+100</f>
        <v>98</v>
      </c>
      <c r="G15" s="782"/>
      <c r="H15" s="781">
        <f>SUMIF(76:76,G16,77:77)-SUMIF(76:76,C16,77:77)+100</f>
        <v>100</v>
      </c>
      <c r="I15" s="782"/>
      <c r="J15" s="781">
        <f>SUMIF(76:76,I16,77:77)-SUMIF(76:76,C16,77:77)+100</f>
        <v>102</v>
      </c>
      <c r="K15" s="1388">
        <v>2</v>
      </c>
      <c r="L15" s="913"/>
      <c r="M15" s="897"/>
      <c r="N15" s="897"/>
      <c r="O15" s="897"/>
      <c r="P15" s="1319" t="s">
        <v>1405</v>
      </c>
      <c r="Q15" s="863" t="str">
        <f t="shared" si="6"/>
        <v>居住社区成熟度</v>
      </c>
      <c r="R15" s="964" t="s">
        <v>1391</v>
      </c>
      <c r="S15" s="965">
        <f t="shared" si="0"/>
        <v>98</v>
      </c>
      <c r="T15" s="964" t="s">
        <v>1391</v>
      </c>
      <c r="U15" s="965">
        <f t="shared" si="1"/>
        <v>100</v>
      </c>
      <c r="V15" s="964" t="s">
        <v>1391</v>
      </c>
      <c r="W15" s="965">
        <f t="shared" si="2"/>
        <v>102</v>
      </c>
      <c r="X15" s="951"/>
      <c r="Y15" s="915" t="s">
        <v>1405</v>
      </c>
      <c r="Z15" s="937" t="str">
        <f t="shared" si="7"/>
        <v>居住社区成熟度</v>
      </c>
      <c r="AA15" s="980">
        <f t="shared" si="3"/>
        <v>1.02040816326531</v>
      </c>
      <c r="AB15" s="980">
        <f t="shared" si="4"/>
        <v>1</v>
      </c>
      <c r="AC15" s="980">
        <f t="shared" si="5"/>
        <v>0.980392156862745</v>
      </c>
    </row>
    <row r="16" ht="15.5" spans="1:29">
      <c r="A16" s="764"/>
      <c r="B16" s="1230"/>
      <c r="C16" s="784" t="s">
        <v>1292</v>
      </c>
      <c r="D16" s="785"/>
      <c r="E16" s="918" t="s">
        <v>1294</v>
      </c>
      <c r="F16" s="785"/>
      <c r="G16" s="793" t="s">
        <v>1292</v>
      </c>
      <c r="H16" s="787"/>
      <c r="I16" s="793" t="s">
        <v>1296</v>
      </c>
      <c r="J16" s="785"/>
      <c r="K16" s="1389"/>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1408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8">
        <v>2</v>
      </c>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784" t="s">
        <v>1292</v>
      </c>
      <c r="D18" s="787"/>
      <c r="E18" s="784" t="s">
        <v>1292</v>
      </c>
      <c r="F18" s="787"/>
      <c r="G18" s="784" t="s">
        <v>1292</v>
      </c>
      <c r="H18" s="785"/>
      <c r="I18" s="784" t="s">
        <v>1292</v>
      </c>
      <c r="J18" s="785"/>
      <c r="K18" s="1389"/>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估价对象房地状况!C7</f>
        <v>估价对象所在区域公共配套设施齐备情况</v>
      </c>
      <c r="D19" s="791">
        <v>100</v>
      </c>
      <c r="E19" s="1139"/>
      <c r="F19" s="791">
        <f>SUMIF(80:80,E20,81:81)-SUMIF(80:80,C20,81:81)+100</f>
        <v>100</v>
      </c>
      <c r="G19" s="1137"/>
      <c r="H19" s="787">
        <f>SUMIF(80:80,G20,81:81)-SUMIF(80:80,C20,81:81)+100</f>
        <v>100</v>
      </c>
      <c r="I19" s="1137"/>
      <c r="J19" s="787">
        <f>SUMIF(80:80,I20,81:81)-SUMIF(80:80,C20,81:81)+100</f>
        <v>100</v>
      </c>
      <c r="K19" s="1388">
        <v>2</v>
      </c>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t="s">
        <v>1294</v>
      </c>
      <c r="D20" s="785"/>
      <c r="E20" s="784" t="s">
        <v>1294</v>
      </c>
      <c r="F20" s="785"/>
      <c r="G20" s="784" t="s">
        <v>1294</v>
      </c>
      <c r="H20" s="785"/>
      <c r="I20" s="784" t="s">
        <v>1294</v>
      </c>
      <c r="J20" s="785"/>
      <c r="K20" s="1389"/>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1412</v>
      </c>
      <c r="C21" s="789" t="str">
        <f>估价对象房地状况!C8</f>
        <v>估价对象所在区域基础设施水平</v>
      </c>
      <c r="D21" s="787">
        <v>100</v>
      </c>
      <c r="E21" s="1139"/>
      <c r="F21" s="791">
        <f>SUMIF(82:82,E22,83:83)-SUMIF(82:82,C22,83:83)+100</f>
        <v>100</v>
      </c>
      <c r="G21" s="1137"/>
      <c r="H21" s="787">
        <f>SUMIF(82:82,G22,83:83)-SUMIF(82:82,C22,83:83)+100</f>
        <v>100</v>
      </c>
      <c r="I21" s="1137"/>
      <c r="J21" s="787">
        <f>SUMIF(82:82,I22,83:83)-SUMIF(82:82,C22,83:83)+100</f>
        <v>100</v>
      </c>
      <c r="K21" s="1388">
        <v>2</v>
      </c>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t="s">
        <v>236</v>
      </c>
      <c r="D22" s="785"/>
      <c r="E22" s="1140" t="s">
        <v>236</v>
      </c>
      <c r="F22" s="785"/>
      <c r="G22" s="1140" t="s">
        <v>236</v>
      </c>
      <c r="H22" s="785"/>
      <c r="I22" s="1140" t="s">
        <v>236</v>
      </c>
      <c r="J22" s="785"/>
      <c r="K22" s="1390"/>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2112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8">
        <v>2</v>
      </c>
      <c r="L23" s="913"/>
      <c r="M23" s="897"/>
      <c r="N23" s="897"/>
      <c r="O23" s="897"/>
      <c r="P23" s="1320"/>
      <c r="Q23" s="863" t="str">
        <f>B23</f>
        <v>自然及人文环境</v>
      </c>
      <c r="R23" s="964" t="s">
        <v>1391</v>
      </c>
      <c r="S23" s="965">
        <f>F23</f>
        <v>100</v>
      </c>
      <c r="T23" s="964" t="s">
        <v>1391</v>
      </c>
      <c r="U23" s="965">
        <f>H23</f>
        <v>100</v>
      </c>
      <c r="V23" s="964" t="s">
        <v>1391</v>
      </c>
      <c r="W23" s="965">
        <f>J23</f>
        <v>100</v>
      </c>
      <c r="X23" s="951"/>
      <c r="Y23" s="916"/>
      <c r="Z23" s="937" t="str">
        <f>Q23</f>
        <v>自然及人文环境</v>
      </c>
      <c r="AA23" s="980">
        <f>D23/F23</f>
        <v>1</v>
      </c>
      <c r="AB23" s="980">
        <f>D23/H23</f>
        <v>1</v>
      </c>
      <c r="AC23" s="980">
        <f>D23/J23</f>
        <v>1</v>
      </c>
    </row>
    <row r="24" ht="15.5" spans="1:29">
      <c r="A24" s="764"/>
      <c r="B24" s="812"/>
      <c r="C24" s="784" t="s">
        <v>1292</v>
      </c>
      <c r="D24" s="785"/>
      <c r="E24" s="784" t="s">
        <v>1292</v>
      </c>
      <c r="F24" s="785"/>
      <c r="G24" s="784" t="s">
        <v>1292</v>
      </c>
      <c r="H24" s="785"/>
      <c r="I24" s="784" t="s">
        <v>1292</v>
      </c>
      <c r="J24" s="785"/>
      <c r="K24" s="1389"/>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2113</v>
      </c>
      <c r="C25" s="1155"/>
      <c r="D25" s="773">
        <v>100</v>
      </c>
      <c r="E25" s="816"/>
      <c r="F25" s="773">
        <f>SUMIF(86:86,E25,87:87)-SUMIF(86:86,C25,87:87)+100</f>
        <v>100</v>
      </c>
      <c r="G25" s="1370"/>
      <c r="H25" s="773">
        <f>SUMIF(86:86,G25,87:87)-SUMIF(86:86,C25,87:87)+100</f>
        <v>100</v>
      </c>
      <c r="I25" s="1370"/>
      <c r="J25" s="773">
        <f>SUMIF(86:86,I25,87:87)-SUMIF(86:86,C25,87:87)+100</f>
        <v>100</v>
      </c>
      <c r="K25" s="1386"/>
      <c r="L25" s="913"/>
      <c r="M25" s="897"/>
      <c r="N25" s="897"/>
      <c r="O25" s="897"/>
      <c r="P25" s="1320"/>
      <c r="Q25" s="863" t="str">
        <f t="shared" ref="Q25:Q46" si="11">B25</f>
        <v>楼层-1</v>
      </c>
      <c r="R25" s="964" t="s">
        <v>1391</v>
      </c>
      <c r="S25" s="965">
        <f t="shared" ref="S25:S46" si="12">F25</f>
        <v>100</v>
      </c>
      <c r="T25" s="964" t="s">
        <v>1391</v>
      </c>
      <c r="U25" s="965">
        <f t="shared" ref="U25:U46" si="13">H25</f>
        <v>100</v>
      </c>
      <c r="V25" s="964" t="s">
        <v>1391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2114</v>
      </c>
      <c r="C26" s="1155"/>
      <c r="D26" s="773">
        <v>100</v>
      </c>
      <c r="E26" s="816"/>
      <c r="F26" s="773">
        <f>SUMIF(88:88,E26,89:89)-SUMIF(88:88,C26,89:89)+100</f>
        <v>100</v>
      </c>
      <c r="G26" s="1370"/>
      <c r="H26" s="773">
        <f>SUMIF(88:88,G26,89:89)-SUMIF(88:88,C26,89:89)+100</f>
        <v>100</v>
      </c>
      <c r="I26" s="1370"/>
      <c r="J26" s="773">
        <f>SUMIF(88:88,I26,89:89)-SUMIF(88:88,C26,89:89)+100</f>
        <v>100</v>
      </c>
      <c r="K26" s="1386"/>
      <c r="L26" s="913"/>
      <c r="M26" s="897"/>
      <c r="N26" s="897"/>
      <c r="O26" s="897"/>
      <c r="P26" s="1320"/>
      <c r="Q26" s="863" t="str">
        <f t="shared" si="11"/>
        <v>朝向</v>
      </c>
      <c r="R26" s="964" t="s">
        <v>1391</v>
      </c>
      <c r="S26" s="965">
        <f t="shared" si="12"/>
        <v>100</v>
      </c>
      <c r="T26" s="964" t="s">
        <v>1391</v>
      </c>
      <c r="U26" s="965">
        <f t="shared" si="13"/>
        <v>100</v>
      </c>
      <c r="V26" s="964" t="s">
        <v>1391</v>
      </c>
      <c r="W26" s="965">
        <f t="shared" si="14"/>
        <v>100</v>
      </c>
      <c r="X26" s="951"/>
      <c r="Y26" s="916"/>
      <c r="Z26" s="937" t="str">
        <f>Q26</f>
        <v>朝向</v>
      </c>
      <c r="AA26" s="980">
        <f t="shared" si="15"/>
        <v>1</v>
      </c>
      <c r="AB26" s="980">
        <f t="shared" si="16"/>
        <v>1</v>
      </c>
      <c r="AC26" s="980">
        <f t="shared" si="17"/>
        <v>1</v>
      </c>
    </row>
    <row r="27" s="711" customFormat="1" ht="15.5" spans="1:29">
      <c r="A27" s="767"/>
      <c r="B27" s="1261">
        <v>111</v>
      </c>
      <c r="C27" s="762"/>
      <c r="D27" s="1262">
        <v>100</v>
      </c>
      <c r="E27" s="1371"/>
      <c r="F27" s="1262">
        <f>SUMIF(90:90,E27,91:91)-SUMIF(90:90,C27,91:91)+100</f>
        <v>100</v>
      </c>
      <c r="G27" s="1372"/>
      <c r="H27" s="1262">
        <f>SUMIF(90:90,G27,91:91)-SUMIF(90:90,C27,91:91)+100</f>
        <v>100</v>
      </c>
      <c r="I27" s="1372"/>
      <c r="J27" s="1262">
        <f>SUMIF(90:90,I27,91:91)-SUMIF(90:90,C27,91:91)+100</f>
        <v>100</v>
      </c>
      <c r="K27" s="1387"/>
      <c r="L27" s="902"/>
      <c r="M27" s="903"/>
      <c r="N27" s="903"/>
      <c r="O27" s="903"/>
      <c r="P27" s="1320"/>
      <c r="Q27" s="963">
        <f t="shared" si="11"/>
        <v>111</v>
      </c>
      <c r="R27" s="959" t="s">
        <v>1391</v>
      </c>
      <c r="S27" s="960">
        <f t="shared" si="12"/>
        <v>100</v>
      </c>
      <c r="T27" s="959" t="s">
        <v>1391</v>
      </c>
      <c r="U27" s="960">
        <f t="shared" si="13"/>
        <v>100</v>
      </c>
      <c r="V27" s="959" t="s">
        <v>1391</v>
      </c>
      <c r="W27" s="960">
        <f t="shared" si="14"/>
        <v>100</v>
      </c>
      <c r="X27" s="961"/>
      <c r="Y27" s="916"/>
      <c r="Z27" s="979">
        <f>Q27</f>
        <v>111</v>
      </c>
      <c r="AA27" s="980">
        <f t="shared" si="15"/>
        <v>1</v>
      </c>
      <c r="AB27" s="980">
        <f t="shared" si="16"/>
        <v>1</v>
      </c>
      <c r="AC27" s="980">
        <f t="shared" si="17"/>
        <v>1</v>
      </c>
    </row>
    <row r="28" ht="15.5" spans="1:29">
      <c r="A28" s="764"/>
      <c r="B28" s="1261">
        <v>111</v>
      </c>
      <c r="C28" s="772"/>
      <c r="D28" s="773">
        <v>100</v>
      </c>
      <c r="E28" s="772"/>
      <c r="F28" s="773">
        <f>SUMIF(92:92,E28,93:93)-SUMIF(92:92,C28,93:93)+100</f>
        <v>100</v>
      </c>
      <c r="G28" s="1310"/>
      <c r="H28" s="773">
        <f>SUMIF(92:92,G28,93:93)-SUMIF(92:92,C28,93:93)+100</f>
        <v>100</v>
      </c>
      <c r="I28" s="772"/>
      <c r="J28" s="773">
        <f>SUMIF(92:92,I28,93:93)-SUMIF(92:92,C28,93:93)+100</f>
        <v>100</v>
      </c>
      <c r="K28" s="1387"/>
      <c r="L28" s="913"/>
      <c r="M28" s="897"/>
      <c r="N28" s="897"/>
      <c r="O28" s="897"/>
      <c r="P28" s="1320"/>
      <c r="Q28" s="863">
        <f t="shared" si="11"/>
        <v>111</v>
      </c>
      <c r="R28" s="964" t="s">
        <v>1391</v>
      </c>
      <c r="S28" s="965">
        <f t="shared" si="12"/>
        <v>100</v>
      </c>
      <c r="T28" s="964" t="s">
        <v>1391</v>
      </c>
      <c r="U28" s="965">
        <f t="shared" si="13"/>
        <v>100</v>
      </c>
      <c r="V28" s="964" t="s">
        <v>1391</v>
      </c>
      <c r="W28" s="965">
        <f t="shared" si="14"/>
        <v>100</v>
      </c>
      <c r="X28" s="951"/>
      <c r="Y28" s="916"/>
      <c r="Z28" s="937">
        <f t="shared" ref="Z28:Z46" si="18">Q28</f>
        <v>111</v>
      </c>
      <c r="AA28" s="980">
        <f t="shared" si="15"/>
        <v>1</v>
      </c>
      <c r="AB28" s="980">
        <f t="shared" si="16"/>
        <v>1</v>
      </c>
      <c r="AC28" s="980">
        <f t="shared" si="17"/>
        <v>1</v>
      </c>
    </row>
    <row r="29" ht="15.5" spans="1:29">
      <c r="A29" s="764"/>
      <c r="B29" s="1261">
        <v>111</v>
      </c>
      <c r="C29" s="772"/>
      <c r="D29" s="773">
        <v>100</v>
      </c>
      <c r="E29" s="772"/>
      <c r="F29" s="773">
        <f>SUMIF(94:94,E29,95:95)-SUMIF(94:94,C29,95:95)+100</f>
        <v>100</v>
      </c>
      <c r="G29" s="1310"/>
      <c r="H29" s="773">
        <f>SUMIF(94:94,G29,95:95)-SUMIF(94:94,C29,95:95)+100</f>
        <v>100</v>
      </c>
      <c r="I29" s="772"/>
      <c r="J29" s="773">
        <f>SUMIF(94:94,I29,95:95)-SUMIF(94:94,C29,95:95)+100</f>
        <v>100</v>
      </c>
      <c r="K29" s="1387"/>
      <c r="L29" s="913"/>
      <c r="M29" s="897"/>
      <c r="N29" s="897"/>
      <c r="O29" s="897"/>
      <c r="P29" s="1320"/>
      <c r="Q29" s="863">
        <f t="shared" si="11"/>
        <v>111</v>
      </c>
      <c r="R29" s="964" t="s">
        <v>1391</v>
      </c>
      <c r="S29" s="965">
        <f t="shared" si="12"/>
        <v>100</v>
      </c>
      <c r="T29" s="964" t="s">
        <v>1391</v>
      </c>
      <c r="U29" s="965">
        <f t="shared" si="13"/>
        <v>100</v>
      </c>
      <c r="V29" s="964" t="s">
        <v>1391</v>
      </c>
      <c r="W29" s="965">
        <f t="shared" si="14"/>
        <v>100</v>
      </c>
      <c r="X29" s="951"/>
      <c r="Y29" s="916"/>
      <c r="Z29" s="937">
        <f t="shared" si="18"/>
        <v>111</v>
      </c>
      <c r="AA29" s="980">
        <f t="shared" si="15"/>
        <v>1</v>
      </c>
      <c r="AB29" s="980">
        <f t="shared" si="16"/>
        <v>1</v>
      </c>
      <c r="AC29" s="980">
        <f t="shared" si="17"/>
        <v>1</v>
      </c>
    </row>
    <row r="30" ht="15.5" spans="1:29">
      <c r="A30" s="764"/>
      <c r="B30" s="1261">
        <v>111</v>
      </c>
      <c r="C30" s="772"/>
      <c r="D30" s="773">
        <v>100</v>
      </c>
      <c r="E30" s="772"/>
      <c r="F30" s="773">
        <f>SUMIF(96:96,E30,97:97)-SUMIF(96:96,C30,97:97)+100</f>
        <v>100</v>
      </c>
      <c r="G30" s="1310"/>
      <c r="H30" s="773">
        <f>SUMIF(96:96,G30,97:97)-SUMIF(96:96,C30,97:97)+100</f>
        <v>100</v>
      </c>
      <c r="I30" s="772"/>
      <c r="J30" s="773">
        <f>SUMIF(96:96,I30,97:97)-SUMIF(96:96,C30,97:97)+100</f>
        <v>100</v>
      </c>
      <c r="K30" s="1387"/>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8"/>
        <v>111</v>
      </c>
      <c r="AA30" s="980">
        <f t="shared" si="15"/>
        <v>1</v>
      </c>
      <c r="AB30" s="980">
        <f t="shared" si="16"/>
        <v>1</v>
      </c>
      <c r="AC30" s="980">
        <f t="shared" si="17"/>
        <v>1</v>
      </c>
    </row>
    <row r="31" ht="16.25" spans="1:29">
      <c r="A31" s="774"/>
      <c r="B31" s="1261">
        <v>111</v>
      </c>
      <c r="C31" s="776"/>
      <c r="D31" s="777">
        <v>100</v>
      </c>
      <c r="E31" s="776"/>
      <c r="F31" s="777">
        <f>SUMIF(98:98,E31,99:99)-SUMIF(98:98,C31,99:99)+100</f>
        <v>100</v>
      </c>
      <c r="G31" s="1313"/>
      <c r="H31" s="777">
        <f>SUMIF(98:98,G31,99:99)-SUMIF(98:98,C31,99:99)+100</f>
        <v>100</v>
      </c>
      <c r="I31" s="776"/>
      <c r="J31" s="777">
        <f>SUMIF(98:98,I31,99:99)-SUMIF(98:98,C31,99:99)+100</f>
        <v>100</v>
      </c>
      <c r="K31" s="1387"/>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8"/>
        <v>111</v>
      </c>
      <c r="AA31" s="980">
        <f t="shared" si="15"/>
        <v>1</v>
      </c>
      <c r="AB31" s="980">
        <f t="shared" si="16"/>
        <v>1</v>
      </c>
      <c r="AC31" s="980">
        <f t="shared" si="17"/>
        <v>1</v>
      </c>
    </row>
    <row r="32" ht="28" spans="1:29">
      <c r="A32" s="778" t="s">
        <v>1417</v>
      </c>
      <c r="B32" s="757" t="s">
        <v>2115</v>
      </c>
      <c r="C32" s="1346" t="s">
        <v>2116</v>
      </c>
      <c r="D32" s="814">
        <v>100</v>
      </c>
      <c r="E32" s="1373" t="s">
        <v>2116</v>
      </c>
      <c r="F32" s="1142">
        <f>SUMIF(100:100,E32,101:101)-SUMIF(100:100,C32,101:101)+100</f>
        <v>100</v>
      </c>
      <c r="G32" s="1346" t="s">
        <v>2117</v>
      </c>
      <c r="H32" s="814">
        <f>SUMIF(100:100,G32,101:101)-SUMIF(100:100,C32,101:101)+100</f>
        <v>95</v>
      </c>
      <c r="I32" s="1373" t="s">
        <v>2116</v>
      </c>
      <c r="J32" s="773">
        <f>SUMIF(100:100,I32,101:101)-SUMIF(100:100,C32,101:101)+100</f>
        <v>100</v>
      </c>
      <c r="K32" s="1386">
        <v>5</v>
      </c>
      <c r="L32" s="913"/>
      <c r="M32" s="897"/>
      <c r="N32" s="897"/>
      <c r="O32" s="897"/>
      <c r="P32" s="1321" t="s">
        <v>1416</v>
      </c>
      <c r="Q32" s="863" t="str">
        <f t="shared" si="11"/>
        <v>建筑类型</v>
      </c>
      <c r="R32" s="964" t="s">
        <v>1391</v>
      </c>
      <c r="S32" s="965">
        <f t="shared" si="12"/>
        <v>100</v>
      </c>
      <c r="T32" s="964" t="s">
        <v>1391</v>
      </c>
      <c r="U32" s="965">
        <f t="shared" si="13"/>
        <v>95</v>
      </c>
      <c r="V32" s="964" t="s">
        <v>1391</v>
      </c>
      <c r="W32" s="965">
        <f t="shared" si="14"/>
        <v>100</v>
      </c>
      <c r="X32" s="951"/>
      <c r="Y32" s="925" t="s">
        <v>1416</v>
      </c>
      <c r="Z32" s="937" t="str">
        <f t="shared" si="18"/>
        <v>建筑类型</v>
      </c>
      <c r="AA32" s="980">
        <f t="shared" si="15"/>
        <v>1</v>
      </c>
      <c r="AB32" s="980">
        <f t="shared" si="16"/>
        <v>1.05263157894737</v>
      </c>
      <c r="AC32" s="980">
        <f t="shared" si="17"/>
        <v>1</v>
      </c>
    </row>
    <row r="33" s="713" customFormat="1" ht="15.5" spans="1:29">
      <c r="A33" s="820"/>
      <c r="B33" s="761" t="s">
        <v>2118</v>
      </c>
      <c r="C33" s="1159">
        <v>51241.74</v>
      </c>
      <c r="D33" s="763">
        <v>100</v>
      </c>
      <c r="E33" s="766">
        <v>436188.2</v>
      </c>
      <c r="F33" s="1227">
        <f>LOOKUP(E33,103:103,104:104)-LOOKUP(C33,103:103,104:104)+100</f>
        <v>103</v>
      </c>
      <c r="G33" s="765">
        <v>67332</v>
      </c>
      <c r="H33" s="763">
        <f>LOOKUP(G33,103:103,104:104)-LOOKUP(C33,103:103,104:104)+100</f>
        <v>100</v>
      </c>
      <c r="I33" s="766">
        <v>92000</v>
      </c>
      <c r="J33" s="763">
        <f>LOOKUP(I33,103:103,104:104)-LOOKUP(C33,103:103,104:104)+100</f>
        <v>100</v>
      </c>
      <c r="K33" s="1387"/>
      <c r="L33" s="911"/>
      <c r="M33" s="923"/>
      <c r="N33" s="923"/>
      <c r="O33" s="923"/>
      <c r="P33" s="1322"/>
      <c r="Q33" s="1205" t="str">
        <f t="shared" si="11"/>
        <v>项目建筑规模</v>
      </c>
      <c r="R33" s="966" t="s">
        <v>1391</v>
      </c>
      <c r="S33" s="967">
        <f t="shared" si="12"/>
        <v>103</v>
      </c>
      <c r="T33" s="966" t="s">
        <v>1391</v>
      </c>
      <c r="U33" s="967">
        <f t="shared" si="13"/>
        <v>100</v>
      </c>
      <c r="V33" s="966" t="s">
        <v>1391</v>
      </c>
      <c r="W33" s="967">
        <f t="shared" si="14"/>
        <v>100</v>
      </c>
      <c r="X33" s="968"/>
      <c r="Y33" s="925"/>
      <c r="Z33" s="981" t="str">
        <f t="shared" si="18"/>
        <v>项目建筑规模</v>
      </c>
      <c r="AA33" s="980">
        <f t="shared" si="15"/>
        <v>0.970873786407767</v>
      </c>
      <c r="AB33" s="980">
        <f t="shared" si="16"/>
        <v>1</v>
      </c>
      <c r="AC33" s="980">
        <f t="shared" si="17"/>
        <v>1</v>
      </c>
    </row>
    <row r="34" ht="15.5" spans="1:29">
      <c r="A34" s="815"/>
      <c r="B34" s="761" t="s">
        <v>2119</v>
      </c>
      <c r="C34" s="1347"/>
      <c r="D34" s="773">
        <v>100</v>
      </c>
      <c r="E34" s="1374"/>
      <c r="F34" s="1142">
        <f>SUMIF(105:105,E34,106:106)-SUMIF(105:105,C34,106:106)+100</f>
        <v>100</v>
      </c>
      <c r="G34" s="1347"/>
      <c r="H34" s="773">
        <f>SUMIF(105:105,G34,106:106)-SUMIF(105:105,C34,106:106)+100</f>
        <v>100</v>
      </c>
      <c r="I34" s="1374"/>
      <c r="J34" s="773">
        <f>SUMIF(105:105,I34,106:106)-SUMIF(105:105,C34,106:106)+100</f>
        <v>100</v>
      </c>
      <c r="K34" s="1386"/>
      <c r="L34" s="913"/>
      <c r="M34" s="897"/>
      <c r="N34" s="897"/>
      <c r="O34" s="897"/>
      <c r="P34" s="1322"/>
      <c r="Q34" s="863" t="str">
        <f t="shared" si="11"/>
        <v>建筑结构</v>
      </c>
      <c r="R34" s="964" t="s">
        <v>1391</v>
      </c>
      <c r="S34" s="965">
        <f t="shared" si="12"/>
        <v>100</v>
      </c>
      <c r="T34" s="964" t="s">
        <v>1391</v>
      </c>
      <c r="U34" s="965">
        <f t="shared" si="13"/>
        <v>100</v>
      </c>
      <c r="V34" s="964" t="s">
        <v>1391</v>
      </c>
      <c r="W34" s="965">
        <f t="shared" si="14"/>
        <v>100</v>
      </c>
      <c r="X34" s="951"/>
      <c r="Y34" s="925"/>
      <c r="Z34" s="937" t="str">
        <f t="shared" si="18"/>
        <v>建筑结构</v>
      </c>
      <c r="AA34" s="980">
        <f t="shared" si="15"/>
        <v>1</v>
      </c>
      <c r="AB34" s="980">
        <f t="shared" si="16"/>
        <v>1</v>
      </c>
      <c r="AC34" s="980">
        <f t="shared" si="17"/>
        <v>1</v>
      </c>
    </row>
    <row r="35" ht="15.5" spans="1:29">
      <c r="A35" s="815"/>
      <c r="B35" s="761" t="s">
        <v>2120</v>
      </c>
      <c r="C35" s="816" t="s">
        <v>2121</v>
      </c>
      <c r="D35" s="773">
        <v>100</v>
      </c>
      <c r="E35" s="1370" t="s">
        <v>2121</v>
      </c>
      <c r="F35" s="1142">
        <f>SUMIF(107:107,E35,108:108)-SUMIF(107:107,C35,108:108)+100</f>
        <v>100</v>
      </c>
      <c r="G35" s="816" t="s">
        <v>2122</v>
      </c>
      <c r="H35" s="773">
        <f>SUMIF(107:107,G35,108:108)-SUMIF(107:107,C35,108:108)+100</f>
        <v>97</v>
      </c>
      <c r="I35" s="1370" t="s">
        <v>2121</v>
      </c>
      <c r="J35" s="773">
        <f>SUMIF(107:107,I35,108:108)-SUMIF(107:107,C35,108:108)+100</f>
        <v>100</v>
      </c>
      <c r="K35" s="1386">
        <v>3</v>
      </c>
      <c r="L35" s="913"/>
      <c r="M35" s="897"/>
      <c r="N35" s="897"/>
      <c r="O35" s="897"/>
      <c r="P35" s="1322"/>
      <c r="Q35" s="863" t="str">
        <f t="shared" si="11"/>
        <v>建筑品质</v>
      </c>
      <c r="R35" s="964" t="s">
        <v>1391</v>
      </c>
      <c r="S35" s="965">
        <f t="shared" si="12"/>
        <v>100</v>
      </c>
      <c r="T35" s="964" t="s">
        <v>1391</v>
      </c>
      <c r="U35" s="965">
        <f t="shared" si="13"/>
        <v>97</v>
      </c>
      <c r="V35" s="964" t="s">
        <v>1391</v>
      </c>
      <c r="W35" s="965">
        <f t="shared" si="14"/>
        <v>100</v>
      </c>
      <c r="X35" s="951"/>
      <c r="Y35" s="925"/>
      <c r="Z35" s="937" t="str">
        <f t="shared" si="18"/>
        <v>建筑品质</v>
      </c>
      <c r="AA35" s="980">
        <f t="shared" si="15"/>
        <v>1</v>
      </c>
      <c r="AB35" s="980">
        <f t="shared" si="16"/>
        <v>1.03092783505155</v>
      </c>
      <c r="AC35" s="980">
        <f t="shared" si="17"/>
        <v>1</v>
      </c>
    </row>
    <row r="36" ht="15.5" spans="1:29">
      <c r="A36" s="815"/>
      <c r="B36" s="761" t="s">
        <v>2123</v>
      </c>
      <c r="C36" s="816"/>
      <c r="D36" s="773">
        <v>100</v>
      </c>
      <c r="E36" s="1370"/>
      <c r="F36" s="1142">
        <f>SUMIF(109:109,E36,110:110)-SUMIF(109:109,C36,110:110)+100</f>
        <v>100</v>
      </c>
      <c r="G36" s="816"/>
      <c r="H36" s="773">
        <f>SUMIF(109:109,G36,110:110)-SUMIF(109:109,C36,110:110)+100</f>
        <v>100</v>
      </c>
      <c r="I36" s="1370"/>
      <c r="J36" s="773">
        <f>SUMIF(109:109,I36,110:110)-SUMIF(109:109,C36,110:110)+100</f>
        <v>100</v>
      </c>
      <c r="K36" s="1386"/>
      <c r="L36" s="913"/>
      <c r="M36" s="897"/>
      <c r="N36" s="897"/>
      <c r="O36" s="897"/>
      <c r="P36" s="1322"/>
      <c r="Q36" s="863" t="str">
        <f t="shared" si="11"/>
        <v>公共部分装修</v>
      </c>
      <c r="R36" s="964" t="s">
        <v>1391</v>
      </c>
      <c r="S36" s="965">
        <f t="shared" si="12"/>
        <v>100</v>
      </c>
      <c r="T36" s="964" t="s">
        <v>1391</v>
      </c>
      <c r="U36" s="965">
        <f t="shared" si="13"/>
        <v>100</v>
      </c>
      <c r="V36" s="964" t="s">
        <v>1391</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637</v>
      </c>
      <c r="C37" s="1156">
        <v>1</v>
      </c>
      <c r="D37" s="763">
        <v>100</v>
      </c>
      <c r="E37" s="1156">
        <v>1</v>
      </c>
      <c r="F37" s="1227">
        <f>LOOKUP(E37,112:112,113:113)-LOOKUP(C37,112:112,113:113)+100</f>
        <v>100</v>
      </c>
      <c r="G37" s="1240">
        <v>1</v>
      </c>
      <c r="H37" s="763">
        <f>LOOKUP(G37,112:112,113:113)-LOOKUP(C37,112:112,113:113)+100</f>
        <v>100</v>
      </c>
      <c r="I37" s="1239">
        <v>1</v>
      </c>
      <c r="J37" s="763">
        <f>LOOKUP(I37,112:112,113:113)-LOOKUP(C37,112:112,113:113)+100</f>
        <v>100</v>
      </c>
      <c r="K37" s="1386"/>
      <c r="L37" s="902"/>
      <c r="M37" s="903"/>
      <c r="N37" s="903"/>
      <c r="O37" s="903"/>
      <c r="P37" s="1322"/>
      <c r="Q37" s="963" t="str">
        <f t="shared" si="11"/>
        <v>成新度</v>
      </c>
      <c r="R37" s="959" t="s">
        <v>1391</v>
      </c>
      <c r="S37" s="960">
        <f t="shared" si="12"/>
        <v>100</v>
      </c>
      <c r="T37" s="959" t="s">
        <v>1391</v>
      </c>
      <c r="U37" s="960">
        <f t="shared" si="13"/>
        <v>100</v>
      </c>
      <c r="V37" s="959" t="s">
        <v>1391</v>
      </c>
      <c r="W37" s="960">
        <f t="shared" si="14"/>
        <v>100</v>
      </c>
      <c r="X37" s="961"/>
      <c r="Y37" s="925"/>
      <c r="Z37" s="979" t="str">
        <f t="shared" si="18"/>
        <v>成新度</v>
      </c>
      <c r="AA37" s="978">
        <f t="shared" si="15"/>
        <v>1</v>
      </c>
      <c r="AB37" s="978">
        <f t="shared" si="16"/>
        <v>1</v>
      </c>
      <c r="AC37" s="978">
        <f t="shared" si="17"/>
        <v>1</v>
      </c>
    </row>
    <row r="38" ht="15.5" spans="1:29">
      <c r="A38" s="815"/>
      <c r="B38" s="761" t="s">
        <v>2124</v>
      </c>
      <c r="C38" s="816"/>
      <c r="D38" s="773">
        <v>100</v>
      </c>
      <c r="E38" s="1370"/>
      <c r="F38" s="1142">
        <f>SUMIF(114:114,E38,115:115)-SUMIF(114:114,C38,115:115)+100</f>
        <v>100</v>
      </c>
      <c r="G38" s="816"/>
      <c r="H38" s="773">
        <f>SUMIF(114:114,G38,115:115)-SUMIF(114:114,C38,115:115)+100</f>
        <v>100</v>
      </c>
      <c r="I38" s="1370"/>
      <c r="J38" s="773">
        <f>SUMIF(114:114,I38,115:115)-SUMIF(114:114,C38,115:115)+100</f>
        <v>100</v>
      </c>
      <c r="K38" s="1386"/>
      <c r="L38" s="913"/>
      <c r="M38" s="897"/>
      <c r="N38" s="897"/>
      <c r="O38" s="897"/>
      <c r="P38" s="1322" t="s">
        <v>1416</v>
      </c>
      <c r="Q38" s="863" t="str">
        <f t="shared" si="11"/>
        <v>物业管理</v>
      </c>
      <c r="R38" s="964" t="s">
        <v>1391</v>
      </c>
      <c r="S38" s="965">
        <f t="shared" si="12"/>
        <v>100</v>
      </c>
      <c r="T38" s="964" t="s">
        <v>1391</v>
      </c>
      <c r="U38" s="965">
        <f t="shared" si="13"/>
        <v>100</v>
      </c>
      <c r="V38" s="964" t="s">
        <v>1391</v>
      </c>
      <c r="W38" s="965">
        <f t="shared" si="14"/>
        <v>100</v>
      </c>
      <c r="X38" s="951"/>
      <c r="Y38" s="925" t="s">
        <v>1416</v>
      </c>
      <c r="Z38" s="937" t="str">
        <f t="shared" si="18"/>
        <v>物业管理</v>
      </c>
      <c r="AA38" s="980">
        <f t="shared" si="15"/>
        <v>1</v>
      </c>
      <c r="AB38" s="980">
        <f t="shared" si="16"/>
        <v>1</v>
      </c>
      <c r="AC38" s="980">
        <f t="shared" si="17"/>
        <v>1</v>
      </c>
    </row>
    <row r="39" ht="15.5" spans="1:29">
      <c r="A39" s="815"/>
      <c r="B39" s="761" t="s">
        <v>2125</v>
      </c>
      <c r="C39" s="816"/>
      <c r="D39" s="773">
        <v>100</v>
      </c>
      <c r="E39" s="1370"/>
      <c r="F39" s="1142">
        <f>SUMIF(116:116,E39,117:117)-SUMIF(116:116,C39,117:117)+100</f>
        <v>100</v>
      </c>
      <c r="G39" s="816"/>
      <c r="H39" s="773">
        <f>SUMIF(116:116,G39,117:117)-SUMIF(116:116,C39,117:117)+100</f>
        <v>100</v>
      </c>
      <c r="I39" s="1370"/>
      <c r="J39" s="773">
        <f>SUMIF(116:116,I39,117:117)-SUMIF(116:116,C39,117:117)+100</f>
        <v>100</v>
      </c>
      <c r="K39" s="1386"/>
      <c r="L39" s="913"/>
      <c r="M39" s="897"/>
      <c r="N39" s="897"/>
      <c r="O39" s="897"/>
      <c r="P39" s="1322"/>
      <c r="Q39" s="863" t="str">
        <f t="shared" si="11"/>
        <v>市政基础设施</v>
      </c>
      <c r="R39" s="964" t="s">
        <v>1391</v>
      </c>
      <c r="S39" s="965">
        <f t="shared" si="12"/>
        <v>100</v>
      </c>
      <c r="T39" s="964" t="s">
        <v>1391</v>
      </c>
      <c r="U39" s="965">
        <f t="shared" si="13"/>
        <v>100</v>
      </c>
      <c r="V39" s="964" t="s">
        <v>1391</v>
      </c>
      <c r="W39" s="965">
        <f t="shared" si="14"/>
        <v>100</v>
      </c>
      <c r="X39" s="951"/>
      <c r="Y39" s="925"/>
      <c r="Z39" s="937" t="str">
        <f t="shared" si="18"/>
        <v>市政基础设施</v>
      </c>
      <c r="AA39" s="980">
        <f t="shared" si="15"/>
        <v>1</v>
      </c>
      <c r="AB39" s="980">
        <f t="shared" si="16"/>
        <v>1</v>
      </c>
      <c r="AC39" s="980">
        <f t="shared" si="17"/>
        <v>1</v>
      </c>
    </row>
    <row r="40" ht="15.5" spans="1:29">
      <c r="A40" s="815"/>
      <c r="B40" s="761" t="s">
        <v>2126</v>
      </c>
      <c r="C40" s="816"/>
      <c r="D40" s="773">
        <v>100</v>
      </c>
      <c r="E40" s="1370"/>
      <c r="F40" s="1142">
        <f>SUMIF(118:118,E40,119:119)-SUMIF(118:118,C40,119:119)+100</f>
        <v>100</v>
      </c>
      <c r="G40" s="816"/>
      <c r="H40" s="773">
        <f>SUMIF(118:118,G40,119:119)-SUMIF(118:118,C40,119:119)+100</f>
        <v>100</v>
      </c>
      <c r="I40" s="1370"/>
      <c r="J40" s="773">
        <f>SUMIF(118:118,I40,119:119)-SUMIF(118:118,C40,119:119)+100</f>
        <v>100</v>
      </c>
      <c r="K40" s="1386"/>
      <c r="L40" s="913"/>
      <c r="M40" s="897"/>
      <c r="N40" s="897"/>
      <c r="O40" s="897"/>
      <c r="P40" s="1322"/>
      <c r="Q40" s="863" t="str">
        <f t="shared" si="11"/>
        <v>房型</v>
      </c>
      <c r="R40" s="964" t="s">
        <v>1391</v>
      </c>
      <c r="S40" s="965">
        <f t="shared" si="12"/>
        <v>100</v>
      </c>
      <c r="T40" s="964" t="s">
        <v>1391</v>
      </c>
      <c r="U40" s="965">
        <f t="shared" si="13"/>
        <v>100</v>
      </c>
      <c r="V40" s="964" t="s">
        <v>1391</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2127</v>
      </c>
      <c r="C41" s="1159"/>
      <c r="D41" s="763">
        <v>100</v>
      </c>
      <c r="E41" s="766"/>
      <c r="F41" s="1227">
        <f>SUMIF(120:120,E41,121:121)-SUMIF(120:120,C41,121:121)+100</f>
        <v>100</v>
      </c>
      <c r="G41" s="765"/>
      <c r="H41" s="763">
        <f>SUMIF(120:120,G41,121:121)-SUMIF(120:120,C41,121:121)+100</f>
        <v>100</v>
      </c>
      <c r="I41" s="804"/>
      <c r="J41" s="773">
        <f>SUMIF(120:120,I41,121:121)-SUMIF(120:120,C41,121:121)+100</f>
        <v>100</v>
      </c>
      <c r="K41" s="1387"/>
      <c r="L41" s="911"/>
      <c r="M41" s="923"/>
      <c r="N41" s="923"/>
      <c r="O41" s="923"/>
      <c r="P41" s="1322"/>
      <c r="Q41" s="1205" t="str">
        <f t="shared" si="11"/>
        <v>单套/主力户型建筑面积</v>
      </c>
      <c r="R41" s="966" t="s">
        <v>1391</v>
      </c>
      <c r="S41" s="967">
        <f t="shared" si="12"/>
        <v>100</v>
      </c>
      <c r="T41" s="966" t="s">
        <v>1391</v>
      </c>
      <c r="U41" s="967">
        <f t="shared" si="13"/>
        <v>100</v>
      </c>
      <c r="V41" s="966" t="s">
        <v>1391</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2128</v>
      </c>
      <c r="C42" s="816" t="s">
        <v>2129</v>
      </c>
      <c r="D42" s="773">
        <v>100</v>
      </c>
      <c r="E42" s="1370" t="s">
        <v>2130</v>
      </c>
      <c r="F42" s="1142">
        <f>SUMIF(122:122,E42,123:123)-SUMIF(122:122,C42,123:123)+100</f>
        <v>91</v>
      </c>
      <c r="G42" s="816" t="s">
        <v>2129</v>
      </c>
      <c r="H42" s="773">
        <f>SUMIF(122:122,G42,123:123)-SUMIF(122:122,C42,123:123)+100</f>
        <v>100</v>
      </c>
      <c r="I42" s="1370" t="s">
        <v>2129</v>
      </c>
      <c r="J42" s="773">
        <f>SUMIF(122:122,I42,123:123)-SUMIF(122:122,C42,123:123)+100</f>
        <v>100</v>
      </c>
      <c r="K42" s="1386">
        <v>3</v>
      </c>
      <c r="L42" s="913"/>
      <c r="M42" s="897"/>
      <c r="N42" s="897"/>
      <c r="O42" s="897"/>
      <c r="P42" s="1322"/>
      <c r="Q42" s="863" t="str">
        <f t="shared" si="11"/>
        <v>内部装修</v>
      </c>
      <c r="R42" s="964" t="s">
        <v>1391</v>
      </c>
      <c r="S42" s="965">
        <f t="shared" si="12"/>
        <v>91</v>
      </c>
      <c r="T42" s="964" t="s">
        <v>1391</v>
      </c>
      <c r="U42" s="965">
        <f t="shared" si="13"/>
        <v>100</v>
      </c>
      <c r="V42" s="964" t="s">
        <v>1391</v>
      </c>
      <c r="W42" s="965">
        <f t="shared" si="14"/>
        <v>100</v>
      </c>
      <c r="X42" s="951"/>
      <c r="Y42" s="925"/>
      <c r="Z42" s="937" t="str">
        <f t="shared" si="18"/>
        <v>内部装修</v>
      </c>
      <c r="AA42" s="980">
        <f t="shared" si="15"/>
        <v>1.0989010989011</v>
      </c>
      <c r="AB42" s="980">
        <f t="shared" si="16"/>
        <v>1</v>
      </c>
      <c r="AC42" s="980">
        <f t="shared" si="17"/>
        <v>1</v>
      </c>
    </row>
    <row r="43" ht="28" spans="1:29">
      <c r="A43" s="815"/>
      <c r="B43" s="761" t="s">
        <v>2131</v>
      </c>
      <c r="C43" s="816"/>
      <c r="D43" s="773">
        <v>100</v>
      </c>
      <c r="E43" s="1370"/>
      <c r="F43" s="1142">
        <f>SUMIF(124:124,E43,125:125)-SUMIF(124:124,C43,125:125)+100</f>
        <v>100</v>
      </c>
      <c r="G43" s="816"/>
      <c r="H43" s="773">
        <f>SUMIF(124:124,G43,125:125)-SUMIF(124:124,C43,125:125)+100</f>
        <v>100</v>
      </c>
      <c r="I43" s="1370"/>
      <c r="J43" s="773">
        <f>SUMIF(124:124,I43,125:125)-SUMIF(124:124,C43,125:125)+100</f>
        <v>100</v>
      </c>
      <c r="K43" s="1386"/>
      <c r="L43" s="913"/>
      <c r="M43" s="897"/>
      <c r="N43" s="897"/>
      <c r="O43" s="897"/>
      <c r="P43" s="1322"/>
      <c r="Q43" s="863" t="str">
        <f t="shared" si="11"/>
        <v>内部装修维护情况</v>
      </c>
      <c r="R43" s="964" t="s">
        <v>1391</v>
      </c>
      <c r="S43" s="965">
        <f t="shared" si="12"/>
        <v>100</v>
      </c>
      <c r="T43" s="964" t="s">
        <v>1391</v>
      </c>
      <c r="U43" s="965">
        <f t="shared" si="13"/>
        <v>100</v>
      </c>
      <c r="V43" s="964" t="s">
        <v>1391</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261">
        <v>111</v>
      </c>
      <c r="C44" s="1159"/>
      <c r="D44" s="763">
        <v>100</v>
      </c>
      <c r="E44" s="1159"/>
      <c r="F44" s="1227">
        <f>SUMIF(126:126,E44,127:127)-SUMIF(126:126,C44,127:127)+100</f>
        <v>100</v>
      </c>
      <c r="G44" s="1159"/>
      <c r="H44" s="763">
        <f>SUMIF(126:126,G44,127:127)-SUMIF(126:126,C44,127:127)+100</f>
        <v>100</v>
      </c>
      <c r="I44" s="1159"/>
      <c r="J44" s="763">
        <f>SUMIF(126:126,I44,127:127)-SUMIF(126:126,C44,127:127)+100</f>
        <v>100</v>
      </c>
      <c r="K44" s="1387"/>
      <c r="L44" s="902"/>
      <c r="M44" s="903"/>
      <c r="N44" s="903"/>
      <c r="O44" s="903"/>
      <c r="P44" s="1322"/>
      <c r="Q44" s="963">
        <f t="shared" si="11"/>
        <v>111</v>
      </c>
      <c r="R44" s="959" t="s">
        <v>1391</v>
      </c>
      <c r="S44" s="960">
        <f t="shared" si="12"/>
        <v>100</v>
      </c>
      <c r="T44" s="959" t="s">
        <v>1391</v>
      </c>
      <c r="U44" s="960">
        <f t="shared" si="13"/>
        <v>100</v>
      </c>
      <c r="V44" s="959" t="s">
        <v>1391</v>
      </c>
      <c r="W44" s="960">
        <f t="shared" si="14"/>
        <v>100</v>
      </c>
      <c r="X44" s="961"/>
      <c r="Y44" s="925"/>
      <c r="Z44" s="979">
        <f t="shared" si="18"/>
        <v>111</v>
      </c>
      <c r="AA44" s="978">
        <f t="shared" si="15"/>
        <v>1</v>
      </c>
      <c r="AB44" s="978">
        <f t="shared" si="16"/>
        <v>1</v>
      </c>
      <c r="AC44" s="978">
        <f t="shared" si="17"/>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1387"/>
      <c r="L45" s="913"/>
      <c r="M45" s="897"/>
      <c r="N45" s="897"/>
      <c r="O45" s="897"/>
      <c r="P45" s="1322"/>
      <c r="Q45" s="863">
        <f t="shared" si="11"/>
        <v>111</v>
      </c>
      <c r="R45" s="964" t="s">
        <v>1391</v>
      </c>
      <c r="S45" s="965">
        <f t="shared" si="12"/>
        <v>100</v>
      </c>
      <c r="T45" s="964" t="s">
        <v>1391</v>
      </c>
      <c r="U45" s="965">
        <f t="shared" si="13"/>
        <v>100</v>
      </c>
      <c r="V45" s="964" t="s">
        <v>1391</v>
      </c>
      <c r="W45" s="965">
        <f t="shared" si="14"/>
        <v>100</v>
      </c>
      <c r="X45" s="951"/>
      <c r="Y45" s="925"/>
      <c r="Z45" s="937">
        <f t="shared" si="18"/>
        <v>111</v>
      </c>
      <c r="AA45" s="980">
        <f t="shared" si="15"/>
        <v>1</v>
      </c>
      <c r="AB45" s="980">
        <f t="shared" si="16"/>
        <v>1</v>
      </c>
      <c r="AC45" s="980">
        <f t="shared" si="17"/>
        <v>1</v>
      </c>
    </row>
    <row r="46" ht="16.25" spans="1:29">
      <c r="A46" s="1241"/>
      <c r="B46" s="775">
        <v>111</v>
      </c>
      <c r="C46" s="776"/>
      <c r="D46" s="777">
        <v>100</v>
      </c>
      <c r="E46" s="776"/>
      <c r="F46" s="1242">
        <f>SUMIF(130:130,E46,131:131)-SUMIF(130:130,C46,131:131)+100</f>
        <v>100</v>
      </c>
      <c r="G46" s="776"/>
      <c r="H46" s="777">
        <f>SUMIF(130:130,G46,131:131)-SUMIF(130:130,C46,131:131)+100</f>
        <v>100</v>
      </c>
      <c r="I46" s="776"/>
      <c r="J46" s="777">
        <f>SUMIF(130:130,I46,131:131)-SUMIF(130:130,C46,131:131)+100</f>
        <v>100</v>
      </c>
      <c r="K46" s="1387"/>
      <c r="L46" s="913"/>
      <c r="M46" s="897"/>
      <c r="N46" s="897"/>
      <c r="O46" s="897"/>
      <c r="P46" s="1323"/>
      <c r="Q46" s="863">
        <f t="shared" si="11"/>
        <v>111</v>
      </c>
      <c r="R46" s="964" t="s">
        <v>1391</v>
      </c>
      <c r="S46" s="965">
        <f t="shared" si="12"/>
        <v>100</v>
      </c>
      <c r="T46" s="964" t="s">
        <v>1391</v>
      </c>
      <c r="U46" s="965">
        <f t="shared" si="13"/>
        <v>100</v>
      </c>
      <c r="V46" s="964" t="s">
        <v>1391</v>
      </c>
      <c r="W46" s="965">
        <f t="shared" si="14"/>
        <v>100</v>
      </c>
      <c r="X46" s="951"/>
      <c r="Y46" s="1279"/>
      <c r="Z46" s="937">
        <f t="shared" si="18"/>
        <v>111</v>
      </c>
      <c r="AA46" s="980">
        <f t="shared" si="15"/>
        <v>1</v>
      </c>
      <c r="AB46" s="980">
        <f t="shared" si="16"/>
        <v>1</v>
      </c>
      <c r="AC46" s="980">
        <f t="shared" si="17"/>
        <v>1</v>
      </c>
    </row>
    <row r="47" spans="1:29">
      <c r="A47" s="822" t="s">
        <v>2132</v>
      </c>
      <c r="B47" s="1243"/>
      <c r="C47" s="1162" t="s">
        <v>124</v>
      </c>
      <c r="D47" s="1163"/>
      <c r="E47" s="1164">
        <v>25262</v>
      </c>
      <c r="F47" s="1165"/>
      <c r="G47" s="1166">
        <v>23466</v>
      </c>
      <c r="H47" s="1167"/>
      <c r="I47" s="1164">
        <v>23343</v>
      </c>
      <c r="J47" s="1167"/>
      <c r="K47" s="1391"/>
      <c r="L47" s="929"/>
      <c r="M47" s="839"/>
      <c r="N47" s="897"/>
      <c r="O47" s="839"/>
      <c r="P47" s="863" t="str">
        <f>A47</f>
        <v>成交单价（元/平方米）</v>
      </c>
      <c r="Q47" s="863"/>
      <c r="R47" s="980">
        <f>E47</f>
        <v>25262</v>
      </c>
      <c r="S47" s="980"/>
      <c r="T47" s="980">
        <f>G47</f>
        <v>23466</v>
      </c>
      <c r="U47" s="980"/>
      <c r="V47" s="980">
        <f>I47</f>
        <v>23343</v>
      </c>
      <c r="W47" s="980"/>
      <c r="X47" s="885"/>
      <c r="Y47" s="982"/>
      <c r="Z47" s="885"/>
      <c r="AA47" s="885"/>
      <c r="AB47" s="885"/>
      <c r="AC47" s="885"/>
    </row>
    <row r="48" ht="14.75" spans="1:29">
      <c r="A48" s="830" t="s">
        <v>1427</v>
      </c>
      <c r="B48" s="1168"/>
      <c r="C48" s="1169">
        <f>R49</f>
        <v>26213</v>
      </c>
      <c r="D48" s="833" t="s">
        <v>1428</v>
      </c>
      <c r="E48" s="1170">
        <f>R48</f>
        <v>28949</v>
      </c>
      <c r="F48" s="834"/>
      <c r="G48" s="1169">
        <f>T48</f>
        <v>26805</v>
      </c>
      <c r="H48" s="834"/>
      <c r="I48" s="1170">
        <f>V48</f>
        <v>22885</v>
      </c>
      <c r="J48" s="834"/>
      <c r="K48" s="1392">
        <f>F48+H48+J48</f>
        <v>0</v>
      </c>
      <c r="L48" s="929"/>
      <c r="M48" s="839"/>
      <c r="N48" s="839"/>
      <c r="O48" s="839"/>
      <c r="P48" s="863" t="str">
        <f>A48</f>
        <v>比较价值（元/平方米）</v>
      </c>
      <c r="Q48" s="863"/>
      <c r="R48" s="980">
        <f>IF(F1="售价",ROUND(PRODUCT(R47,AA7:AA46),0),ROUND(PRODUCT(R47,AA7:AA46),1))</f>
        <v>28949</v>
      </c>
      <c r="S48" s="980"/>
      <c r="T48" s="980">
        <f>IF(F1="售价",ROUND(PRODUCT(T47,AB7:AB46),0),ROUND(PRODUCT(T47,AB7:AB46),1))</f>
        <v>26805</v>
      </c>
      <c r="U48" s="980"/>
      <c r="V48" s="980">
        <f>IF(F1="售价",ROUND(PRODUCT(V47,AC7:AC46),0),ROUND(PRODUCT(V47,AC7:AC46),1))</f>
        <v>22885</v>
      </c>
      <c r="W48" s="980"/>
      <c r="X48" s="885"/>
      <c r="Y48" s="885"/>
      <c r="Z48" s="885"/>
      <c r="AA48" s="885"/>
      <c r="AB48" s="885"/>
      <c r="AC48" s="885"/>
    </row>
    <row r="49" ht="14.75" spans="1:29">
      <c r="A49" s="836" t="s">
        <v>2133</v>
      </c>
      <c r="B49" s="837"/>
      <c r="C49" s="1375">
        <f>R49</f>
        <v>26213</v>
      </c>
      <c r="D49" s="1171"/>
      <c r="E49" s="1171"/>
      <c r="F49" s="1171"/>
      <c r="G49" s="1171"/>
      <c r="H49" s="1171"/>
      <c r="I49" s="1171"/>
      <c r="J49" s="1171"/>
      <c r="K49" s="1393"/>
      <c r="L49" s="929"/>
      <c r="M49" s="839"/>
      <c r="N49" s="839"/>
      <c r="O49" s="839"/>
      <c r="P49" s="932" t="str">
        <f>A49</f>
        <v>估价对象XX用房的比较价值（楼面单价，元/平方米）</v>
      </c>
      <c r="Q49" s="970"/>
      <c r="R49" s="1295">
        <f>IF(F1="售价",ROUND(IF(D48="简单平均",AVERAGE(R48:V48),R48*F48+T48*H48+V48*J48),0),ROUND(IF(D48="简单平均",AVERAGE(R48:V48),R48*F48+T48*H48+V48*J48),1))</f>
        <v>26213</v>
      </c>
      <c r="S49" s="1295"/>
      <c r="T49" s="1295"/>
      <c r="U49" s="1295"/>
      <c r="V49" s="1295"/>
      <c r="W49" s="1295"/>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1430</v>
      </c>
      <c r="D52" s="842"/>
      <c r="E52" s="843">
        <f>IF(E47&lt;E48,E48/E47-1,E47/E48-1)</f>
        <v>0.145950439395139</v>
      </c>
      <c r="F52" s="844" t="str">
        <f>IF(OR(E52&gt;=0.3,E52&lt;=-0.3),"超过30%","")</f>
        <v/>
      </c>
      <c r="G52" s="843">
        <f>IF(G47&lt;G48,G48/G47-1,G47/G48-1)</f>
        <v>0.142290974175403</v>
      </c>
      <c r="H52" s="844" t="str">
        <f>IF(OR(G52&gt;=0.3,G52&lt;=-0.3),"超过30%","")</f>
        <v/>
      </c>
      <c r="I52" s="843">
        <f>IF(I47&lt;I48,I48/I47-1,I47/I48-1)</f>
        <v>0.0200131090233777</v>
      </c>
      <c r="J52" s="844" t="str">
        <f>IF(OR(I52&gt;=0.3,I52&lt;=-0.3),"超过30%","")</f>
        <v/>
      </c>
      <c r="K52" s="933"/>
      <c r="L52" s="934"/>
      <c r="M52" s="839"/>
      <c r="N52" s="839"/>
      <c r="O52" s="839"/>
    </row>
    <row r="53" ht="13.5" customHeight="1" spans="1:15">
      <c r="A53" s="839"/>
      <c r="B53" s="839"/>
      <c r="C53" s="841" t="s">
        <v>1431</v>
      </c>
      <c r="D53" s="845"/>
      <c r="E53" s="843">
        <f>IF(E48&lt;G48,G48/E48-1,E48/G48-1)</f>
        <v>0.0799850774109307</v>
      </c>
      <c r="F53" s="844" t="str">
        <f>IF(OR(E53&gt;=0.2,E53&lt;=-0.2),"超过20%","")</f>
        <v/>
      </c>
      <c r="G53" s="843">
        <f>IF(G48&lt;I48,I48/G48-1,G48/I48-1)</f>
        <v>0.171291238802709</v>
      </c>
      <c r="H53" s="844" t="str">
        <f>IF(OR(G53&gt;=0.2,G53&lt;=-0.2),"超过20%","")</f>
        <v/>
      </c>
      <c r="I53" s="843">
        <f>IF(I48&lt;E48,E48/I48-1,I48/E48-1)</f>
        <v>0.264977059209089</v>
      </c>
      <c r="J53" s="844" t="str">
        <f>IF(OR(I53&gt;=0.2,I53&lt;=-0.2),"超过20%","")</f>
        <v>超过20%</v>
      </c>
      <c r="K53" s="933"/>
      <c r="L53" s="934"/>
      <c r="M53" s="839"/>
      <c r="N53" s="839"/>
      <c r="O53" s="839"/>
    </row>
    <row r="54" s="714" customFormat="1" ht="13.5" customHeight="1" spans="1:16">
      <c r="A54" s="846"/>
      <c r="B54" s="846"/>
      <c r="C54" s="841" t="s">
        <v>1432</v>
      </c>
      <c r="D54" s="845"/>
      <c r="E54" s="843">
        <f>IF(E47&lt;G47,G47/E47-1,E47/G47-1)</f>
        <v>0.0765362652348078</v>
      </c>
      <c r="F54" s="844" t="str">
        <f>IF(OR(E54&gt;=0.3,E54&lt;=-0.3),"超过30%","")</f>
        <v/>
      </c>
      <c r="G54" s="843">
        <f>IF(G47&lt;I47,I47/G47-1,G47/I47-1)</f>
        <v>0.00526924559825215</v>
      </c>
      <c r="H54" s="844" t="str">
        <f>IF(OR(G54&gt;=0.3,G54&lt;=-0.3),"超过30%","")</f>
        <v/>
      </c>
      <c r="I54" s="843">
        <f>IF(I47&lt;E47,E47/I47-1,I47/E47-1)</f>
        <v>0.0822087992117551</v>
      </c>
      <c r="J54" s="844" t="str">
        <f>IF(OR(I54&gt;=0.3,I54&lt;=-0.3),"超过30%","")</f>
        <v/>
      </c>
      <c r="K54" s="935"/>
      <c r="L54" s="936"/>
      <c r="M54" s="846"/>
      <c r="N54" s="846"/>
      <c r="O54" s="846"/>
      <c r="P54" s="1394"/>
    </row>
    <row r="55" s="714" customFormat="1" spans="1:16">
      <c r="A55" s="846"/>
      <c r="B55" s="847"/>
      <c r="C55" s="1172"/>
      <c r="D55" s="846"/>
      <c r="E55" s="846"/>
      <c r="F55" s="846"/>
      <c r="G55" s="846"/>
      <c r="H55" s="846"/>
      <c r="I55" s="846"/>
      <c r="J55" s="846"/>
      <c r="K55" s="935"/>
      <c r="L55" s="936"/>
      <c r="M55" s="846"/>
      <c r="N55" s="846"/>
      <c r="O55" s="846"/>
      <c r="P55" s="1394"/>
    </row>
    <row r="56" spans="1:15">
      <c r="A56" s="839"/>
      <c r="B56" s="847"/>
      <c r="C56" s="1172"/>
      <c r="D56" s="839"/>
      <c r="E56" s="839"/>
      <c r="F56" s="839"/>
      <c r="G56" s="839"/>
      <c r="H56" s="839"/>
      <c r="I56" s="839"/>
      <c r="J56" s="839"/>
      <c r="K56" s="933"/>
      <c r="L56" s="934"/>
      <c r="M56" s="839"/>
      <c r="N56" s="839"/>
      <c r="O56" s="839"/>
    </row>
    <row r="57" ht="21.75" spans="1:17">
      <c r="A57" s="884" t="s">
        <v>1456</v>
      </c>
      <c r="B57" s="885"/>
      <c r="C57" s="886"/>
      <c r="D57" s="886"/>
      <c r="E57" s="886"/>
      <c r="F57" s="887"/>
      <c r="G57" s="887"/>
      <c r="H57" s="886"/>
      <c r="I57" s="886"/>
      <c r="J57" s="886"/>
      <c r="K57" s="1194"/>
      <c r="L57" s="1195"/>
      <c r="M57" s="946"/>
      <c r="N57" s="946"/>
      <c r="O57" s="946"/>
      <c r="P57" s="1395"/>
      <c r="Q57" s="1285"/>
    </row>
    <row r="58" s="716" customFormat="1" spans="1:16">
      <c r="A58" s="1175" t="s">
        <v>1389</v>
      </c>
      <c r="B58" s="1176"/>
      <c r="C58" s="1376" t="str">
        <f>YEAR(C7)&amp;"-"&amp;MONTH(C7)</f>
        <v>2024-12</v>
      </c>
      <c r="D58" s="1178">
        <f>EDATE(C58,-1)</f>
        <v>45597</v>
      </c>
      <c r="E58" s="1178">
        <f>EDATE(D58,-1)</f>
        <v>45566</v>
      </c>
      <c r="F58" s="1178">
        <f t="shared" ref="F58:O58" si="19">EDATE(E58,-1)</f>
        <v>45536</v>
      </c>
      <c r="G58" s="1178">
        <f t="shared" si="19"/>
        <v>45505</v>
      </c>
      <c r="H58" s="1178">
        <f t="shared" si="19"/>
        <v>45474</v>
      </c>
      <c r="I58" s="1178">
        <f t="shared" si="19"/>
        <v>45444</v>
      </c>
      <c r="J58" s="1178">
        <f t="shared" si="19"/>
        <v>45413</v>
      </c>
      <c r="K58" s="1178">
        <f t="shared" si="19"/>
        <v>45383</v>
      </c>
      <c r="L58" s="1178">
        <f t="shared" si="19"/>
        <v>45352</v>
      </c>
      <c r="M58" s="1178">
        <f t="shared" si="19"/>
        <v>45323</v>
      </c>
      <c r="N58" s="1178">
        <f t="shared" si="19"/>
        <v>45292</v>
      </c>
      <c r="O58" s="1178">
        <f t="shared" si="19"/>
        <v>45261</v>
      </c>
      <c r="P58" s="1396"/>
    </row>
    <row r="59" s="711" customFormat="1" spans="1:16">
      <c r="A59" s="1179"/>
      <c r="B59" s="1377"/>
      <c r="C59" s="1244">
        <v>100</v>
      </c>
      <c r="D59" s="1314"/>
      <c r="E59" s="999"/>
      <c r="F59" s="999"/>
      <c r="G59" s="999"/>
      <c r="H59" s="999"/>
      <c r="I59" s="999"/>
      <c r="J59" s="999"/>
      <c r="K59" s="999"/>
      <c r="L59" s="999"/>
      <c r="M59" s="1198"/>
      <c r="N59" s="999"/>
      <c r="O59" s="1198"/>
      <c r="P59" s="1397"/>
    </row>
    <row r="60" s="711" customFormat="1" ht="14.75" spans="1:17">
      <c r="A60" s="990" t="s">
        <v>1459</v>
      </c>
      <c r="B60" s="991"/>
      <c r="C60" s="992"/>
      <c r="D60" s="993"/>
      <c r="E60" s="993"/>
      <c r="F60" s="993"/>
      <c r="G60" s="993"/>
      <c r="H60" s="993"/>
      <c r="I60" s="993"/>
      <c r="J60" s="993"/>
      <c r="K60" s="993"/>
      <c r="L60" s="993"/>
      <c r="M60" s="1041"/>
      <c r="N60" s="993"/>
      <c r="O60" s="1041"/>
      <c r="P60" s="1397"/>
      <c r="Q60" s="1285"/>
    </row>
    <row r="61" s="711" customFormat="1" spans="1:17">
      <c r="A61" s="994" t="s">
        <v>1392</v>
      </c>
      <c r="B61" s="995"/>
      <c r="C61" s="996" t="s">
        <v>1393</v>
      </c>
      <c r="D61" s="997"/>
      <c r="E61" s="997"/>
      <c r="F61" s="997"/>
      <c r="G61" s="997"/>
      <c r="H61" s="997"/>
      <c r="I61" s="997"/>
      <c r="J61" s="997"/>
      <c r="K61" s="997"/>
      <c r="L61" s="1043"/>
      <c r="M61" s="1044"/>
      <c r="N61" s="1288"/>
      <c r="O61" s="1288"/>
      <c r="P61" s="1398"/>
      <c r="Q61" s="1285"/>
    </row>
    <row r="62" s="711" customFormat="1" ht="14.75" spans="1:17">
      <c r="A62" s="994"/>
      <c r="B62" s="995"/>
      <c r="C62" s="1314">
        <v>100</v>
      </c>
      <c r="D62" s="999"/>
      <c r="E62" s="999"/>
      <c r="F62" s="999"/>
      <c r="G62" s="999"/>
      <c r="H62" s="999"/>
      <c r="I62" s="999"/>
      <c r="J62" s="999"/>
      <c r="K62" s="999"/>
      <c r="L62" s="999"/>
      <c r="M62" s="1047"/>
      <c r="N62" s="1288"/>
      <c r="O62" s="1288"/>
      <c r="P62" s="1397"/>
      <c r="Q62" s="1285"/>
    </row>
    <row r="63" spans="1:17">
      <c r="A63" s="1000" t="s">
        <v>1460</v>
      </c>
      <c r="B63" s="1001" t="s">
        <v>1397</v>
      </c>
      <c r="C63" s="1023" t="str">
        <f>C9</f>
        <v>住宅</v>
      </c>
      <c r="D63" s="926"/>
      <c r="E63" s="926"/>
      <c r="F63" s="926"/>
      <c r="G63" s="926"/>
      <c r="H63" s="926"/>
      <c r="I63" s="926"/>
      <c r="J63" s="926"/>
      <c r="K63" s="1048"/>
      <c r="L63" s="1049"/>
      <c r="M63" s="1050"/>
      <c r="N63" s="1290"/>
      <c r="O63" s="1290"/>
      <c r="P63" s="1399"/>
      <c r="Q63" s="1285"/>
    </row>
    <row r="64" ht="14.75" spans="1:17">
      <c r="A64" s="1002"/>
      <c r="B64" s="1003"/>
      <c r="C64" s="1004">
        <v>100</v>
      </c>
      <c r="D64" s="1004"/>
      <c r="E64" s="1004"/>
      <c r="F64" s="1004"/>
      <c r="G64" s="1004"/>
      <c r="H64" s="1004"/>
      <c r="I64" s="1004"/>
      <c r="J64" s="1004"/>
      <c r="K64" s="1004"/>
      <c r="L64" s="1004"/>
      <c r="M64" s="1053"/>
      <c r="N64" s="1292"/>
      <c r="O64" s="1292"/>
      <c r="P64" s="1399"/>
      <c r="Q64" s="1285"/>
    </row>
    <row r="65" ht="28.75" spans="1:17">
      <c r="A65" s="1002"/>
      <c r="B65" s="1005" t="s">
        <v>1400</v>
      </c>
      <c r="C65" s="1403" t="s">
        <v>2111</v>
      </c>
      <c r="D65" s="1403" t="s">
        <v>2134</v>
      </c>
      <c r="E65" s="1030"/>
      <c r="F65" s="1030"/>
      <c r="G65" s="1030"/>
      <c r="H65" s="1030"/>
      <c r="I65" s="1030"/>
      <c r="J65" s="1030"/>
      <c r="K65" s="1030"/>
      <c r="L65" s="1030"/>
      <c r="M65" s="1030"/>
      <c r="N65" s="1292"/>
      <c r="O65" s="1292"/>
      <c r="P65" s="1399"/>
      <c r="Q65" s="1285"/>
    </row>
    <row r="66" ht="14.75" spans="1:17">
      <c r="A66" s="1002"/>
      <c r="B66" s="1007"/>
      <c r="C66" s="1404">
        <v>100</v>
      </c>
      <c r="D66" s="1404">
        <v>98</v>
      </c>
      <c r="E66" s="1004"/>
      <c r="F66" s="1004"/>
      <c r="G66" s="1004"/>
      <c r="H66" s="1004"/>
      <c r="I66" s="1004"/>
      <c r="J66" s="1004"/>
      <c r="K66" s="1004"/>
      <c r="L66" s="1004"/>
      <c r="M66" s="1053"/>
      <c r="N66" s="1292"/>
      <c r="O66" s="1292"/>
      <c r="P66" s="1399"/>
      <c r="Q66" s="1285"/>
    </row>
    <row r="67" ht="14.75" spans="1:17">
      <c r="A67" s="1002"/>
      <c r="B67" s="1009" t="s">
        <v>1401</v>
      </c>
      <c r="C67" s="1010" t="str">
        <f>C68&amp;"（含）"&amp;"-"&amp;D68</f>
        <v>0（含）-1</v>
      </c>
      <c r="D67" s="1010" t="str">
        <f t="shared" ref="D67:L67" si="20">D68&amp;"（含）"&amp;"-"&amp;E68</f>
        <v>1（含）-2</v>
      </c>
      <c r="E67" s="1010" t="str">
        <f t="shared" si="20"/>
        <v>2（含）-3</v>
      </c>
      <c r="F67" s="1010" t="str">
        <f t="shared" si="20"/>
        <v>3（含）-4</v>
      </c>
      <c r="G67" s="1010" t="str">
        <f t="shared" si="20"/>
        <v>4（含）-5</v>
      </c>
      <c r="H67" s="1010" t="str">
        <f t="shared" si="20"/>
        <v>5（含）-</v>
      </c>
      <c r="I67" s="1010" t="str">
        <f t="shared" si="20"/>
        <v>（含）-</v>
      </c>
      <c r="J67" s="1010" t="str">
        <f t="shared" si="20"/>
        <v>（含）-</v>
      </c>
      <c r="K67" s="1010" t="str">
        <f t="shared" si="20"/>
        <v>（含）-</v>
      </c>
      <c r="L67" s="1010" t="str">
        <f t="shared" si="20"/>
        <v>（含）-</v>
      </c>
      <c r="M67" s="785" t="str">
        <f>M68&amp;"（含）"&amp;"-"&amp;P68</f>
        <v>（含）-</v>
      </c>
      <c r="N67" s="1292"/>
      <c r="O67" s="1292"/>
      <c r="P67" s="1399"/>
      <c r="Q67" s="1285"/>
    </row>
    <row r="68" spans="1:17">
      <c r="A68" s="1002"/>
      <c r="B68" s="1011"/>
      <c r="C68" s="770">
        <v>0</v>
      </c>
      <c r="D68" s="770">
        <v>1</v>
      </c>
      <c r="E68" s="770">
        <v>2</v>
      </c>
      <c r="F68" s="770">
        <v>3</v>
      </c>
      <c r="G68" s="770">
        <v>4</v>
      </c>
      <c r="H68" s="770">
        <v>5</v>
      </c>
      <c r="I68" s="770"/>
      <c r="J68" s="770"/>
      <c r="K68" s="1059"/>
      <c r="L68" s="1060"/>
      <c r="M68" s="1061"/>
      <c r="N68" s="1290"/>
      <c r="O68" s="1290"/>
      <c r="P68" s="1399"/>
      <c r="Q68" s="1285"/>
    </row>
    <row r="69" ht="14.75" spans="1:17">
      <c r="A69" s="1002"/>
      <c r="B69" s="1003"/>
      <c r="C69" s="1008">
        <v>100</v>
      </c>
      <c r="D69" s="1008">
        <f t="shared" ref="D69:M69" si="21">C69-$K11</f>
        <v>95</v>
      </c>
      <c r="E69" s="1008">
        <f t="shared" si="21"/>
        <v>90</v>
      </c>
      <c r="F69" s="1008">
        <f t="shared" si="21"/>
        <v>85</v>
      </c>
      <c r="G69" s="1008">
        <f t="shared" si="21"/>
        <v>80</v>
      </c>
      <c r="H69" s="1008">
        <f t="shared" si="21"/>
        <v>75</v>
      </c>
      <c r="I69" s="1008">
        <f t="shared" si="21"/>
        <v>70</v>
      </c>
      <c r="J69" s="1008">
        <f t="shared" si="21"/>
        <v>65</v>
      </c>
      <c r="K69" s="1008">
        <f t="shared" si="21"/>
        <v>60</v>
      </c>
      <c r="L69" s="1008">
        <f t="shared" si="21"/>
        <v>55</v>
      </c>
      <c r="M69" s="1058">
        <f t="shared" si="21"/>
        <v>50</v>
      </c>
      <c r="N69" s="1292"/>
      <c r="O69" s="1292"/>
      <c r="P69" s="1399"/>
      <c r="Q69" s="1285"/>
    </row>
    <row r="70" s="713" customFormat="1" ht="14.75" spans="1:17">
      <c r="A70" s="1012"/>
      <c r="B70" s="1005">
        <f>B12</f>
        <v>111</v>
      </c>
      <c r="C70" s="1013"/>
      <c r="D70" s="1013"/>
      <c r="E70" s="1013"/>
      <c r="F70" s="1013"/>
      <c r="G70" s="1013"/>
      <c r="H70" s="1014"/>
      <c r="I70" s="1014"/>
      <c r="J70" s="1014"/>
      <c r="K70" s="1014"/>
      <c r="L70" s="1062"/>
      <c r="M70" s="1063"/>
      <c r="N70" s="1293"/>
      <c r="O70" s="1293"/>
      <c r="P70" s="1411"/>
      <c r="Q70" s="1296"/>
    </row>
    <row r="71" s="713" customFormat="1" ht="14.75" spans="1:17">
      <c r="A71" s="1012"/>
      <c r="B71" s="1007"/>
      <c r="C71" s="1015"/>
      <c r="D71" s="1004"/>
      <c r="E71" s="1004"/>
      <c r="F71" s="1004"/>
      <c r="G71" s="1004"/>
      <c r="H71" s="1004"/>
      <c r="I71" s="1004"/>
      <c r="J71" s="1004"/>
      <c r="K71" s="1004"/>
      <c r="L71" s="1004"/>
      <c r="M71" s="1053"/>
      <c r="N71" s="1292"/>
      <c r="O71" s="1292"/>
      <c r="P71" s="1411"/>
      <c r="Q71" s="1296"/>
    </row>
    <row r="72" s="713" customFormat="1" ht="14.75" spans="1:17">
      <c r="A72" s="1012"/>
      <c r="B72" s="1005">
        <f>B13</f>
        <v>111</v>
      </c>
      <c r="C72" s="1013"/>
      <c r="D72" s="1013"/>
      <c r="E72" s="1013"/>
      <c r="F72" s="1013"/>
      <c r="G72" s="1013"/>
      <c r="H72" s="1014"/>
      <c r="I72" s="1014"/>
      <c r="J72" s="1014"/>
      <c r="K72" s="1014"/>
      <c r="L72" s="1062"/>
      <c r="M72" s="1063"/>
      <c r="N72" s="1293"/>
      <c r="O72" s="1293"/>
      <c r="P72" s="1412"/>
      <c r="Q72" s="1302"/>
    </row>
    <row r="73" s="713" customFormat="1" ht="14.75" spans="1:17">
      <c r="A73" s="1012"/>
      <c r="B73" s="1007"/>
      <c r="C73" s="1015"/>
      <c r="D73" s="1015"/>
      <c r="E73" s="1015"/>
      <c r="F73" s="1015"/>
      <c r="G73" s="1015"/>
      <c r="H73" s="1016"/>
      <c r="I73" s="1016"/>
      <c r="J73" s="1016"/>
      <c r="K73" s="1016"/>
      <c r="L73" s="1016"/>
      <c r="M73" s="1066"/>
      <c r="N73" s="1293"/>
      <c r="O73" s="1293"/>
      <c r="P73" s="1411"/>
      <c r="Q73" s="1296"/>
    </row>
    <row r="74" s="713" customFormat="1" ht="14.75" spans="1:17">
      <c r="A74" s="1012"/>
      <c r="B74" s="1009">
        <f>B14</f>
        <v>111</v>
      </c>
      <c r="C74" s="1013"/>
      <c r="D74" s="1013"/>
      <c r="E74" s="1013"/>
      <c r="F74" s="1013"/>
      <c r="G74" s="997"/>
      <c r="H74" s="1017"/>
      <c r="I74" s="1017"/>
      <c r="J74" s="1017"/>
      <c r="K74" s="1017"/>
      <c r="L74" s="1067"/>
      <c r="M74" s="1068"/>
      <c r="N74" s="1293"/>
      <c r="O74" s="1293"/>
      <c r="P74" s="1413"/>
      <c r="Q74" s="1296"/>
    </row>
    <row r="75" s="713" customFormat="1" ht="14.75" spans="1:17">
      <c r="A75" s="1018"/>
      <c r="B75" s="1019"/>
      <c r="C75" s="1020"/>
      <c r="D75" s="1020"/>
      <c r="E75" s="1020"/>
      <c r="F75" s="1020"/>
      <c r="G75" s="1020"/>
      <c r="H75" s="1021"/>
      <c r="I75" s="1021"/>
      <c r="J75" s="1021"/>
      <c r="K75" s="1021"/>
      <c r="L75" s="1021"/>
      <c r="M75" s="1070"/>
      <c r="N75" s="1293"/>
      <c r="O75" s="1293"/>
      <c r="P75" s="1411"/>
      <c r="Q75" s="1296"/>
    </row>
    <row r="76" spans="1:17">
      <c r="A76" s="1000" t="s">
        <v>1403</v>
      </c>
      <c r="B76" s="1001" t="s">
        <v>1404</v>
      </c>
      <c r="C76" s="1022" t="s">
        <v>1271</v>
      </c>
      <c r="D76" s="1022" t="s">
        <v>1272</v>
      </c>
      <c r="E76" s="1022" t="s">
        <v>1273</v>
      </c>
      <c r="F76" s="1022" t="s">
        <v>1274</v>
      </c>
      <c r="G76" s="1022" t="s">
        <v>1275</v>
      </c>
      <c r="H76" s="1023"/>
      <c r="I76" s="1023"/>
      <c r="J76" s="1023"/>
      <c r="K76" s="1071"/>
      <c r="L76" s="1072"/>
      <c r="M76" s="1073"/>
      <c r="N76" s="1290"/>
      <c r="O76" s="1290"/>
      <c r="P76" s="1414"/>
      <c r="Q76" s="1285"/>
    </row>
    <row r="77" ht="14.75" spans="1:17">
      <c r="A77" s="1002"/>
      <c r="B77" s="1007"/>
      <c r="C77" s="1008">
        <v>100</v>
      </c>
      <c r="D77" s="1008">
        <f>C77-$K15</f>
        <v>98</v>
      </c>
      <c r="E77" s="1008">
        <f>D77-$K15</f>
        <v>96</v>
      </c>
      <c r="F77" s="1008">
        <f>E77-$K15</f>
        <v>94</v>
      </c>
      <c r="G77" s="1008">
        <f>F77-$K15</f>
        <v>92</v>
      </c>
      <c r="H77" s="1008"/>
      <c r="I77" s="1008"/>
      <c r="J77" s="1008"/>
      <c r="K77" s="1008"/>
      <c r="L77" s="1008"/>
      <c r="M77" s="1058"/>
      <c r="N77" s="1292"/>
      <c r="O77" s="1292"/>
      <c r="P77" s="1399"/>
      <c r="Q77" s="1285"/>
    </row>
    <row r="78" ht="14.75" spans="1:17">
      <c r="A78" s="1002"/>
      <c r="B78" s="1005" t="s">
        <v>1408</v>
      </c>
      <c r="C78" s="1024" t="s">
        <v>1271</v>
      </c>
      <c r="D78" s="1024" t="s">
        <v>1272</v>
      </c>
      <c r="E78" s="1024" t="s">
        <v>1273</v>
      </c>
      <c r="F78" s="1024" t="s">
        <v>1274</v>
      </c>
      <c r="G78" s="1024" t="s">
        <v>1275</v>
      </c>
      <c r="H78" s="1006"/>
      <c r="I78" s="1006"/>
      <c r="J78" s="1006"/>
      <c r="K78" s="1055"/>
      <c r="L78" s="1056"/>
      <c r="M78" s="1057"/>
      <c r="N78" s="1290"/>
      <c r="O78" s="1290"/>
      <c r="P78" s="1399"/>
      <c r="Q78" s="1285"/>
    </row>
    <row r="79" ht="14.75" spans="1:17">
      <c r="A79" s="1002"/>
      <c r="B79" s="1007"/>
      <c r="C79" s="1008">
        <v>100</v>
      </c>
      <c r="D79" s="1008">
        <f>C79-$K17</f>
        <v>98</v>
      </c>
      <c r="E79" s="1008">
        <f>D79-$K17</f>
        <v>96</v>
      </c>
      <c r="F79" s="1008">
        <f>E79-$K17</f>
        <v>94</v>
      </c>
      <c r="G79" s="1008">
        <f>F79-$K17</f>
        <v>92</v>
      </c>
      <c r="H79" s="1008"/>
      <c r="I79" s="1008"/>
      <c r="J79" s="1008"/>
      <c r="K79" s="1008"/>
      <c r="L79" s="1008"/>
      <c r="M79" s="1058"/>
      <c r="N79" s="1292"/>
      <c r="O79" s="1292"/>
      <c r="P79" s="1399"/>
      <c r="Q79" s="1285"/>
    </row>
    <row r="80" ht="14.75" spans="1:17">
      <c r="A80" s="1002"/>
      <c r="B80" s="1005" t="s">
        <v>1411</v>
      </c>
      <c r="C80" s="1024" t="s">
        <v>1271</v>
      </c>
      <c r="D80" s="1024" t="s">
        <v>1272</v>
      </c>
      <c r="E80" s="1024" t="s">
        <v>1273</v>
      </c>
      <c r="F80" s="1024" t="s">
        <v>1274</v>
      </c>
      <c r="G80" s="1024" t="s">
        <v>1275</v>
      </c>
      <c r="H80" s="1006"/>
      <c r="I80" s="1006"/>
      <c r="J80" s="1006"/>
      <c r="K80" s="1055"/>
      <c r="L80" s="1056"/>
      <c r="M80" s="1057"/>
      <c r="N80" s="1290"/>
      <c r="O80" s="1290"/>
      <c r="P80" s="1399"/>
      <c r="Q80" s="1285"/>
    </row>
    <row r="81" ht="14.75" spans="1:17">
      <c r="A81" s="1002"/>
      <c r="B81" s="1007"/>
      <c r="C81" s="1008">
        <v>100</v>
      </c>
      <c r="D81" s="1008">
        <f>C81-$K19</f>
        <v>98</v>
      </c>
      <c r="E81" s="1008">
        <f>D81-$K19</f>
        <v>96</v>
      </c>
      <c r="F81" s="1008">
        <f>E81-$K19</f>
        <v>94</v>
      </c>
      <c r="G81" s="1008">
        <f>F81-$K19</f>
        <v>92</v>
      </c>
      <c r="H81" s="1008"/>
      <c r="I81" s="1008"/>
      <c r="J81" s="1008"/>
      <c r="K81" s="1008"/>
      <c r="L81" s="1008"/>
      <c r="M81" s="1058"/>
      <c r="N81" s="1292"/>
      <c r="O81" s="1292"/>
      <c r="P81" s="1399"/>
      <c r="Q81" s="1285"/>
    </row>
    <row r="82" ht="14.75" spans="1:17">
      <c r="A82" s="1002"/>
      <c r="B82" s="1009" t="s">
        <v>1412</v>
      </c>
      <c r="C82" s="1006" t="s">
        <v>1463</v>
      </c>
      <c r="D82" s="1006" t="s">
        <v>1464</v>
      </c>
      <c r="E82" s="1006" t="s">
        <v>1465</v>
      </c>
      <c r="F82" s="1006" t="s">
        <v>1466</v>
      </c>
      <c r="G82" s="1006" t="s">
        <v>1467</v>
      </c>
      <c r="H82" s="1006"/>
      <c r="I82" s="1006"/>
      <c r="J82" s="1006"/>
      <c r="K82" s="1006"/>
      <c r="L82" s="1006"/>
      <c r="M82" s="1212"/>
      <c r="N82" s="1292"/>
      <c r="O82" s="1292"/>
      <c r="P82" s="1399"/>
      <c r="Q82" s="1285"/>
    </row>
    <row r="83" ht="14.75" spans="1:17">
      <c r="A83" s="1002"/>
      <c r="B83" s="1009"/>
      <c r="C83" s="1029">
        <v>100</v>
      </c>
      <c r="D83" s="1029">
        <f>C83-$K21</f>
        <v>98</v>
      </c>
      <c r="E83" s="1029">
        <f t="shared" ref="E83:G83" si="22">D83-$K21</f>
        <v>96</v>
      </c>
      <c r="F83" s="1029">
        <f t="shared" si="22"/>
        <v>94</v>
      </c>
      <c r="G83" s="1029">
        <f t="shared" si="22"/>
        <v>92</v>
      </c>
      <c r="H83" s="1029"/>
      <c r="I83" s="1029"/>
      <c r="J83" s="1029"/>
      <c r="K83" s="1029"/>
      <c r="L83" s="1029"/>
      <c r="M83" s="787"/>
      <c r="N83" s="1292"/>
      <c r="O83" s="1292"/>
      <c r="P83" s="1399"/>
      <c r="Q83" s="1285"/>
    </row>
    <row r="84" ht="14.75" spans="1:17">
      <c r="A84" s="1002"/>
      <c r="B84" s="1005" t="s">
        <v>2112</v>
      </c>
      <c r="C84" s="1024" t="s">
        <v>1271</v>
      </c>
      <c r="D84" s="1024" t="s">
        <v>1272</v>
      </c>
      <c r="E84" s="1024" t="s">
        <v>1273</v>
      </c>
      <c r="F84" s="1024" t="s">
        <v>1274</v>
      </c>
      <c r="G84" s="1024" t="s">
        <v>1275</v>
      </c>
      <c r="H84" s="1006"/>
      <c r="I84" s="1006"/>
      <c r="J84" s="1006"/>
      <c r="K84" s="1055"/>
      <c r="L84" s="1056"/>
      <c r="M84" s="1057"/>
      <c r="N84" s="1290"/>
      <c r="O84" s="1290"/>
      <c r="P84" s="1399"/>
      <c r="Q84" s="1285"/>
    </row>
    <row r="85" ht="14.75" spans="1:17">
      <c r="A85" s="1002"/>
      <c r="B85" s="1007"/>
      <c r="C85" s="1008">
        <v>100</v>
      </c>
      <c r="D85" s="1008">
        <f>C85-$K23</f>
        <v>98</v>
      </c>
      <c r="E85" s="1008">
        <f>D85-$K23</f>
        <v>96</v>
      </c>
      <c r="F85" s="1008">
        <f>E85-$K23</f>
        <v>94</v>
      </c>
      <c r="G85" s="1008">
        <f>F85-$K23</f>
        <v>92</v>
      </c>
      <c r="H85" s="1008"/>
      <c r="I85" s="1008"/>
      <c r="J85" s="1008"/>
      <c r="K85" s="1008"/>
      <c r="L85" s="1008"/>
      <c r="M85" s="1058"/>
      <c r="N85" s="1292"/>
      <c r="O85" s="1292"/>
      <c r="P85" s="1399"/>
      <c r="Q85" s="1285"/>
    </row>
    <row r="86" s="711" customFormat="1" ht="14.75" spans="1:17">
      <c r="A86" s="1025"/>
      <c r="B86" s="1005" t="s">
        <v>2113</v>
      </c>
      <c r="C86" s="1013"/>
      <c r="D86" s="1013"/>
      <c r="E86" s="1013"/>
      <c r="F86" s="1013"/>
      <c r="G86" s="1013"/>
      <c r="H86" s="1013"/>
      <c r="I86" s="1013"/>
      <c r="J86" s="1013"/>
      <c r="K86" s="1013"/>
      <c r="L86" s="1213"/>
      <c r="M86" s="1214"/>
      <c r="N86" s="1288"/>
      <c r="O86" s="1288"/>
      <c r="P86" s="1399"/>
      <c r="Q86" s="1285"/>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2"/>
      <c r="O87" s="1292"/>
      <c r="P87" s="1399"/>
      <c r="Q87" s="1285"/>
    </row>
    <row r="88" s="711" customFormat="1" ht="14.75" spans="1:17">
      <c r="A88" s="1025"/>
      <c r="B88" s="1005" t="s">
        <v>2114</v>
      </c>
      <c r="C88" s="1013"/>
      <c r="D88" s="1013"/>
      <c r="E88" s="1013"/>
      <c r="F88" s="1337"/>
      <c r="G88" s="1013"/>
      <c r="H88" s="1013"/>
      <c r="I88" s="1013"/>
      <c r="J88" s="1013"/>
      <c r="K88" s="1013"/>
      <c r="L88" s="1013"/>
      <c r="M88" s="1214"/>
      <c r="N88" s="1288"/>
      <c r="O88" s="1288"/>
      <c r="P88" s="1399"/>
      <c r="Q88" s="1285"/>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2"/>
      <c r="O89" s="1292"/>
      <c r="P89" s="1399"/>
      <c r="Q89" s="1285"/>
    </row>
    <row r="90" s="713" customFormat="1" ht="14.75" spans="1:17">
      <c r="A90" s="1012"/>
      <c r="B90" s="1005">
        <f>B27</f>
        <v>111</v>
      </c>
      <c r="C90" s="1013"/>
      <c r="D90" s="1013"/>
      <c r="E90" s="1013"/>
      <c r="F90" s="1013"/>
      <c r="G90" s="1013"/>
      <c r="H90" s="1014"/>
      <c r="I90" s="1014"/>
      <c r="J90" s="1014"/>
      <c r="K90" s="1014"/>
      <c r="L90" s="1062"/>
      <c r="M90" s="1063"/>
      <c r="N90" s="1293"/>
      <c r="O90" s="1293"/>
      <c r="P90" s="1411"/>
      <c r="Q90" s="1296"/>
    </row>
    <row r="91" s="713" customFormat="1" ht="14.75" spans="1:17">
      <c r="A91" s="1012"/>
      <c r="B91" s="1007"/>
      <c r="C91" s="1015"/>
      <c r="D91" s="1015"/>
      <c r="E91" s="1015"/>
      <c r="F91" s="1015"/>
      <c r="G91" s="1015"/>
      <c r="H91" s="1016"/>
      <c r="I91" s="1016"/>
      <c r="J91" s="1016"/>
      <c r="K91" s="1016"/>
      <c r="L91" s="1016"/>
      <c r="M91" s="1066"/>
      <c r="N91" s="1293"/>
      <c r="O91" s="1293"/>
      <c r="P91" s="1411"/>
      <c r="Q91" s="1296"/>
    </row>
    <row r="92" ht="14.75" spans="1:17">
      <c r="A92" s="1002"/>
      <c r="B92" s="1005">
        <f>B28</f>
        <v>111</v>
      </c>
      <c r="C92" s="1013"/>
      <c r="D92" s="1013"/>
      <c r="E92" s="1013"/>
      <c r="F92" s="1013"/>
      <c r="G92" s="1030"/>
      <c r="H92" s="1030"/>
      <c r="I92" s="1030"/>
      <c r="J92" s="1030"/>
      <c r="K92" s="1081"/>
      <c r="L92" s="1082"/>
      <c r="M92" s="1083"/>
      <c r="N92" s="1290"/>
      <c r="O92" s="1290"/>
      <c r="P92" s="1399"/>
      <c r="Q92" s="1285"/>
    </row>
    <row r="93" ht="14.75" spans="1:17">
      <c r="A93" s="1002"/>
      <c r="B93" s="1007"/>
      <c r="C93" s="1015"/>
      <c r="D93" s="1004"/>
      <c r="E93" s="1004"/>
      <c r="F93" s="1004"/>
      <c r="G93" s="1004"/>
      <c r="H93" s="1004"/>
      <c r="I93" s="1004"/>
      <c r="J93" s="1004"/>
      <c r="K93" s="1004"/>
      <c r="L93" s="1004"/>
      <c r="M93" s="1053"/>
      <c r="N93" s="1292"/>
      <c r="O93" s="1292"/>
      <c r="P93" s="1399"/>
      <c r="Q93" s="1285"/>
    </row>
    <row r="94" ht="14.75" spans="1:17">
      <c r="A94" s="1002"/>
      <c r="B94" s="1005">
        <f>B29</f>
        <v>111</v>
      </c>
      <c r="C94" s="1013"/>
      <c r="D94" s="1013"/>
      <c r="E94" s="1013"/>
      <c r="F94" s="1013"/>
      <c r="G94" s="1030"/>
      <c r="H94" s="1030"/>
      <c r="I94" s="1030"/>
      <c r="J94" s="1030"/>
      <c r="K94" s="1081"/>
      <c r="L94" s="1082"/>
      <c r="M94" s="1083"/>
      <c r="N94" s="1290"/>
      <c r="O94" s="1290"/>
      <c r="P94" s="1399"/>
      <c r="Q94" s="1285"/>
    </row>
    <row r="95" ht="14.75" spans="1:17">
      <c r="A95" s="1002"/>
      <c r="B95" s="1007"/>
      <c r="C95" s="1015"/>
      <c r="D95" s="1015"/>
      <c r="E95" s="1015"/>
      <c r="F95" s="1015"/>
      <c r="G95" s="1004"/>
      <c r="H95" s="1004"/>
      <c r="I95" s="1004"/>
      <c r="J95" s="1004"/>
      <c r="K95" s="1004"/>
      <c r="L95" s="1004"/>
      <c r="M95" s="1053"/>
      <c r="N95" s="1292"/>
      <c r="O95" s="1292"/>
      <c r="P95" s="1399"/>
      <c r="Q95" s="1285"/>
    </row>
    <row r="96" ht="14.75" spans="1:17">
      <c r="A96" s="1002"/>
      <c r="B96" s="1005">
        <f>B30</f>
        <v>111</v>
      </c>
      <c r="C96" s="1013"/>
      <c r="D96" s="1013"/>
      <c r="E96" s="1013"/>
      <c r="F96" s="1013"/>
      <c r="G96" s="1030"/>
      <c r="H96" s="1030"/>
      <c r="I96" s="1030"/>
      <c r="J96" s="1030"/>
      <c r="K96" s="1081"/>
      <c r="L96" s="1082"/>
      <c r="M96" s="1083"/>
      <c r="N96" s="1290"/>
      <c r="O96" s="1290"/>
      <c r="P96" s="1399"/>
      <c r="Q96" s="1285"/>
    </row>
    <row r="97" ht="14.75" spans="1:17">
      <c r="A97" s="1002"/>
      <c r="B97" s="1007"/>
      <c r="C97" s="1020"/>
      <c r="D97" s="1020"/>
      <c r="E97" s="1020"/>
      <c r="F97" s="1020"/>
      <c r="G97" s="1004"/>
      <c r="H97" s="1004"/>
      <c r="I97" s="1004"/>
      <c r="J97" s="1004"/>
      <c r="K97" s="1004"/>
      <c r="L97" s="1004"/>
      <c r="M97" s="1053"/>
      <c r="N97" s="1292"/>
      <c r="O97" s="1292"/>
      <c r="P97" s="1399"/>
      <c r="Q97" s="1285"/>
    </row>
    <row r="98" ht="14.75" spans="1:17">
      <c r="A98" s="1002"/>
      <c r="B98" s="1009">
        <f>B31</f>
        <v>111</v>
      </c>
      <c r="C98" s="1031"/>
      <c r="D98" s="1031"/>
      <c r="E98" s="1031"/>
      <c r="F98" s="1031"/>
      <c r="G98" s="1031"/>
      <c r="H98" s="1031"/>
      <c r="I98" s="1031"/>
      <c r="J98" s="1031"/>
      <c r="K98" s="1084"/>
      <c r="L98" s="1085"/>
      <c r="M98" s="1086"/>
      <c r="N98" s="1290"/>
      <c r="O98" s="1290"/>
      <c r="P98" s="1399"/>
      <c r="Q98" s="1285"/>
    </row>
    <row r="99" ht="14.75" spans="1:17">
      <c r="A99" s="1297"/>
      <c r="B99" s="1019"/>
      <c r="C99" s="1032"/>
      <c r="D99" s="1032"/>
      <c r="E99" s="1032"/>
      <c r="F99" s="1032"/>
      <c r="G99" s="1032"/>
      <c r="H99" s="1032"/>
      <c r="I99" s="1032"/>
      <c r="J99" s="1032"/>
      <c r="K99" s="1032"/>
      <c r="L99" s="1032"/>
      <c r="M99" s="1087"/>
      <c r="N99" s="1292"/>
      <c r="O99" s="1292"/>
      <c r="P99" s="1399"/>
      <c r="Q99" s="1285"/>
    </row>
    <row r="100" ht="28" spans="1:17">
      <c r="A100" s="1000" t="s">
        <v>1417</v>
      </c>
      <c r="B100" s="1001" t="s">
        <v>2115</v>
      </c>
      <c r="C100" s="1405" t="s">
        <v>2116</v>
      </c>
      <c r="D100" s="1406" t="s">
        <v>2117</v>
      </c>
      <c r="E100" s="926"/>
      <c r="F100" s="926"/>
      <c r="G100" s="926"/>
      <c r="H100" s="926"/>
      <c r="I100" s="926"/>
      <c r="J100" s="926"/>
      <c r="K100" s="1048"/>
      <c r="L100" s="1049"/>
      <c r="M100" s="1050"/>
      <c r="N100" s="1290"/>
      <c r="O100" s="1290"/>
      <c r="P100" s="1399"/>
      <c r="Q100" s="1285"/>
    </row>
    <row r="101" ht="14.75" spans="1:17">
      <c r="A101" s="1002"/>
      <c r="B101" s="1007"/>
      <c r="C101" s="1008">
        <v>100</v>
      </c>
      <c r="D101" s="1008">
        <f t="shared" ref="D101:M101" si="25">C101-$K32</f>
        <v>95</v>
      </c>
      <c r="E101" s="1008">
        <f t="shared" si="25"/>
        <v>90</v>
      </c>
      <c r="F101" s="1008">
        <f t="shared" si="25"/>
        <v>85</v>
      </c>
      <c r="G101" s="1008">
        <f t="shared" si="25"/>
        <v>80</v>
      </c>
      <c r="H101" s="1008">
        <f t="shared" si="25"/>
        <v>75</v>
      </c>
      <c r="I101" s="1008">
        <f t="shared" si="25"/>
        <v>70</v>
      </c>
      <c r="J101" s="1008">
        <f t="shared" si="25"/>
        <v>65</v>
      </c>
      <c r="K101" s="1008">
        <f t="shared" si="25"/>
        <v>60</v>
      </c>
      <c r="L101" s="1008">
        <f t="shared" si="25"/>
        <v>55</v>
      </c>
      <c r="M101" s="1008">
        <f t="shared" si="25"/>
        <v>50</v>
      </c>
      <c r="N101" s="1292"/>
      <c r="O101" s="1292"/>
      <c r="P101" s="1399"/>
      <c r="Q101" s="1285"/>
    </row>
    <row r="102" ht="28.75" spans="1:17">
      <c r="A102" s="1002"/>
      <c r="B102" s="1005" t="s">
        <v>2118</v>
      </c>
      <c r="C102" s="1024" t="str">
        <f>C103&amp;"(含)"&amp;"-"&amp;D103</f>
        <v>0(含)-100000</v>
      </c>
      <c r="D102" s="1024" t="str">
        <f t="shared" ref="D102:L102" si="26">D103&amp;"(含)"&amp;"-"&amp;E103</f>
        <v>100000(含)-200000</v>
      </c>
      <c r="E102" s="1024" t="str">
        <f t="shared" si="26"/>
        <v>200000(含)-300000</v>
      </c>
      <c r="F102" s="1024" t="str">
        <f t="shared" si="26"/>
        <v>300000(含)-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8"/>
      <c r="O102" s="1288"/>
      <c r="P102" s="1399"/>
      <c r="Q102" s="1285"/>
    </row>
    <row r="103" s="713" customFormat="1" spans="1:17">
      <c r="A103" s="1033"/>
      <c r="B103" s="1034"/>
      <c r="C103" s="1407">
        <v>0</v>
      </c>
      <c r="D103" s="1407">
        <v>100000</v>
      </c>
      <c r="E103" s="1407">
        <v>200000</v>
      </c>
      <c r="F103" s="1407">
        <v>300000</v>
      </c>
      <c r="G103" s="989"/>
      <c r="H103" s="989"/>
      <c r="I103" s="989"/>
      <c r="J103" s="1088"/>
      <c r="K103" s="1088"/>
      <c r="L103" s="1089"/>
      <c r="M103" s="1090"/>
      <c r="N103" s="1293"/>
      <c r="O103" s="1293"/>
      <c r="P103" s="1411"/>
      <c r="Q103" s="1296"/>
    </row>
    <row r="104" s="713" customFormat="1" ht="14.75" spans="1:17">
      <c r="A104" s="1012"/>
      <c r="B104" s="1007"/>
      <c r="C104" s="1408">
        <v>100</v>
      </c>
      <c r="D104" s="1404">
        <v>101</v>
      </c>
      <c r="E104" s="1404">
        <v>102</v>
      </c>
      <c r="F104" s="1404">
        <v>103</v>
      </c>
      <c r="G104" s="1004"/>
      <c r="H104" s="1004"/>
      <c r="I104" s="1004"/>
      <c r="J104" s="1004"/>
      <c r="K104" s="1004"/>
      <c r="L104" s="1004"/>
      <c r="M104" s="1004"/>
      <c r="N104" s="1292"/>
      <c r="O104" s="1292"/>
      <c r="P104" s="1411"/>
      <c r="Q104" s="1296"/>
    </row>
    <row r="105" ht="14.75" spans="1:17">
      <c r="A105" s="1036"/>
      <c r="B105" s="1005" t="s">
        <v>2119</v>
      </c>
      <c r="C105" s="1013"/>
      <c r="D105" s="1013"/>
      <c r="E105" s="1030"/>
      <c r="F105" s="1030"/>
      <c r="G105" s="1030"/>
      <c r="H105" s="1030"/>
      <c r="I105" s="1030"/>
      <c r="J105" s="1030"/>
      <c r="K105" s="1081"/>
      <c r="L105" s="1082"/>
      <c r="M105" s="1083"/>
      <c r="N105" s="1290"/>
      <c r="O105" s="1290"/>
      <c r="P105" s="1399"/>
      <c r="Q105" s="1285"/>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2"/>
      <c r="O106" s="1292"/>
      <c r="P106" s="1399"/>
      <c r="Q106" s="1285"/>
    </row>
    <row r="107" ht="14.75" spans="1:17">
      <c r="A107" s="1036"/>
      <c r="B107" s="1005" t="s">
        <v>2120</v>
      </c>
      <c r="C107" s="1409" t="s">
        <v>2121</v>
      </c>
      <c r="D107" s="1409" t="s">
        <v>2122</v>
      </c>
      <c r="E107" s="1030"/>
      <c r="F107" s="1030"/>
      <c r="G107" s="1030"/>
      <c r="H107" s="1030"/>
      <c r="I107" s="1030"/>
      <c r="J107" s="1030"/>
      <c r="K107" s="1081"/>
      <c r="L107" s="1082"/>
      <c r="M107" s="1083"/>
      <c r="N107" s="1290"/>
      <c r="O107" s="1290"/>
      <c r="P107" s="1399"/>
      <c r="Q107" s="1285"/>
    </row>
    <row r="108" ht="14.75" spans="1:17">
      <c r="A108" s="1002"/>
      <c r="B108" s="1007"/>
      <c r="C108" s="1008">
        <v>100</v>
      </c>
      <c r="D108" s="1008">
        <f t="shared" ref="D108:M108" si="28">C108-$K35</f>
        <v>97</v>
      </c>
      <c r="E108" s="1008">
        <f t="shared" si="28"/>
        <v>94</v>
      </c>
      <c r="F108" s="1008">
        <f t="shared" si="28"/>
        <v>91</v>
      </c>
      <c r="G108" s="1008">
        <f t="shared" si="28"/>
        <v>88</v>
      </c>
      <c r="H108" s="1008">
        <f t="shared" si="28"/>
        <v>85</v>
      </c>
      <c r="I108" s="1008">
        <f t="shared" si="28"/>
        <v>82</v>
      </c>
      <c r="J108" s="1008">
        <f t="shared" si="28"/>
        <v>79</v>
      </c>
      <c r="K108" s="1008">
        <f t="shared" si="28"/>
        <v>76</v>
      </c>
      <c r="L108" s="1008">
        <f t="shared" si="28"/>
        <v>73</v>
      </c>
      <c r="M108" s="1008">
        <f t="shared" si="28"/>
        <v>70</v>
      </c>
      <c r="N108" s="1292"/>
      <c r="O108" s="1292"/>
      <c r="P108" s="1399"/>
      <c r="Q108" s="1285"/>
    </row>
    <row r="109" ht="14.75" spans="1:17">
      <c r="A109" s="1036"/>
      <c r="B109" s="1005" t="s">
        <v>2123</v>
      </c>
      <c r="C109" s="1013"/>
      <c r="D109" s="1013"/>
      <c r="E109" s="1013"/>
      <c r="F109" s="1030"/>
      <c r="G109" s="1030"/>
      <c r="H109" s="1030"/>
      <c r="I109" s="1030"/>
      <c r="J109" s="1030"/>
      <c r="K109" s="1081"/>
      <c r="L109" s="1082"/>
      <c r="M109" s="1083"/>
      <c r="N109" s="1290"/>
      <c r="O109" s="1290"/>
      <c r="P109" s="1399"/>
      <c r="Q109" s="1285"/>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2"/>
      <c r="O110" s="1292"/>
      <c r="P110" s="1399"/>
      <c r="Q110" s="1285"/>
    </row>
    <row r="111" s="713" customFormat="1" ht="14.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93"/>
      <c r="O111" s="1293"/>
      <c r="P111" s="1411"/>
      <c r="Q111" s="1296"/>
    </row>
    <row r="112" s="713" customFormat="1" spans="1:17">
      <c r="A112" s="1033"/>
      <c r="B112" s="1009"/>
      <c r="C112" s="988">
        <v>0.5</v>
      </c>
      <c r="D112" s="988">
        <v>0.6</v>
      </c>
      <c r="E112" s="988">
        <v>0.7</v>
      </c>
      <c r="F112" s="988">
        <v>0.8</v>
      </c>
      <c r="G112" s="988">
        <v>0.9</v>
      </c>
      <c r="H112" s="988">
        <v>1.0001</v>
      </c>
      <c r="I112" s="988"/>
      <c r="J112" s="1415"/>
      <c r="K112" s="1415"/>
      <c r="L112" s="1416"/>
      <c r="M112" s="1417"/>
      <c r="N112" s="1293"/>
      <c r="O112" s="1293"/>
      <c r="P112" s="1411"/>
      <c r="Q112" s="1296"/>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93"/>
      <c r="O113" s="1293"/>
      <c r="P113" s="1411"/>
      <c r="Q113" s="1296"/>
    </row>
    <row r="114" ht="14.75" spans="1:17">
      <c r="A114" s="1036"/>
      <c r="B114" s="1005" t="s">
        <v>2124</v>
      </c>
      <c r="C114" s="1013"/>
      <c r="D114" s="1013"/>
      <c r="E114" s="1030"/>
      <c r="F114" s="1030"/>
      <c r="G114" s="1030"/>
      <c r="H114" s="1030"/>
      <c r="I114" s="1030"/>
      <c r="J114" s="1030"/>
      <c r="K114" s="1081"/>
      <c r="L114" s="1082"/>
      <c r="M114" s="1083"/>
      <c r="N114" s="1290"/>
      <c r="O114" s="1290"/>
      <c r="P114" s="1399"/>
      <c r="Q114" s="1285"/>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2"/>
      <c r="O115" s="1292"/>
      <c r="P115" s="1399"/>
      <c r="Q115" s="1285"/>
    </row>
    <row r="116" ht="14.75" spans="1:17">
      <c r="A116" s="1036"/>
      <c r="B116" s="1005" t="s">
        <v>2125</v>
      </c>
      <c r="C116" s="1013"/>
      <c r="D116" s="1013"/>
      <c r="E116" s="1013"/>
      <c r="F116" s="1013"/>
      <c r="G116" s="1013"/>
      <c r="H116" s="1030"/>
      <c r="I116" s="1030"/>
      <c r="J116" s="1030"/>
      <c r="K116" s="1081"/>
      <c r="L116" s="1082"/>
      <c r="M116" s="1083"/>
      <c r="N116" s="1290"/>
      <c r="O116" s="1290"/>
      <c r="P116" s="1399"/>
      <c r="Q116" s="1285"/>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2"/>
      <c r="O117" s="1292"/>
      <c r="P117" s="1399"/>
      <c r="Q117" s="1285"/>
    </row>
    <row r="118" ht="14.75" spans="1:17">
      <c r="A118" s="1036"/>
      <c r="B118" s="1005" t="s">
        <v>2126</v>
      </c>
      <c r="C118" s="1030"/>
      <c r="D118" s="1030"/>
      <c r="E118" s="1030"/>
      <c r="F118" s="1030"/>
      <c r="G118" s="1030"/>
      <c r="H118" s="1030"/>
      <c r="I118" s="1030"/>
      <c r="J118" s="1030"/>
      <c r="K118" s="1081"/>
      <c r="L118" s="1082"/>
      <c r="M118" s="1083"/>
      <c r="N118" s="1290"/>
      <c r="O118" s="1290"/>
      <c r="P118" s="1399"/>
      <c r="Q118" s="1285"/>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2"/>
      <c r="O119" s="1292"/>
      <c r="P119" s="1399"/>
      <c r="Q119" s="1285"/>
    </row>
    <row r="120" s="713" customFormat="1" ht="28.75" spans="1:17">
      <c r="A120" s="1033"/>
      <c r="B120" s="1005" t="s">
        <v>2127</v>
      </c>
      <c r="C120" s="1013"/>
      <c r="D120" s="1013"/>
      <c r="E120" s="1013"/>
      <c r="F120" s="1013"/>
      <c r="G120" s="1013"/>
      <c r="H120" s="1013"/>
      <c r="I120" s="1013"/>
      <c r="J120" s="1013"/>
      <c r="K120" s="1013"/>
      <c r="L120" s="1213"/>
      <c r="M120" s="1214"/>
      <c r="N120" s="1293"/>
      <c r="O120" s="1293"/>
      <c r="P120" s="1411"/>
      <c r="Q120" s="1296"/>
    </row>
    <row r="121" s="713" customFormat="1" ht="14.75" spans="1:17">
      <c r="A121" s="1012"/>
      <c r="B121" s="1003"/>
      <c r="C121" s="1015"/>
      <c r="D121" s="1004"/>
      <c r="E121" s="1004"/>
      <c r="F121" s="1004"/>
      <c r="G121" s="1004"/>
      <c r="H121" s="1004"/>
      <c r="I121" s="1004"/>
      <c r="J121" s="1004"/>
      <c r="K121" s="1004"/>
      <c r="L121" s="1004"/>
      <c r="M121" s="1004"/>
      <c r="N121" s="1293"/>
      <c r="O121" s="1293"/>
      <c r="P121" s="1411"/>
      <c r="Q121" s="1296"/>
    </row>
    <row r="122" ht="14.75" spans="1:17">
      <c r="A122" s="1036"/>
      <c r="B122" s="1005" t="s">
        <v>2128</v>
      </c>
      <c r="C122" s="1209" t="s">
        <v>2129</v>
      </c>
      <c r="D122" s="1209" t="s">
        <v>2135</v>
      </c>
      <c r="E122" s="1209" t="s">
        <v>2136</v>
      </c>
      <c r="F122" s="1410" t="s">
        <v>2130</v>
      </c>
      <c r="G122" s="1030"/>
      <c r="H122" s="1030"/>
      <c r="I122" s="1030"/>
      <c r="J122" s="1030"/>
      <c r="K122" s="1081"/>
      <c r="L122" s="1082"/>
      <c r="M122" s="1083"/>
      <c r="N122" s="1290"/>
      <c r="O122" s="1290"/>
      <c r="P122" s="1399"/>
      <c r="Q122" s="1285"/>
    </row>
    <row r="123" ht="14.75" spans="1:17">
      <c r="A123" s="1002"/>
      <c r="B123" s="1007"/>
      <c r="C123" s="1008">
        <v>100</v>
      </c>
      <c r="D123" s="1008">
        <f t="shared" ref="D123:M123" si="32">C123-$K42</f>
        <v>97</v>
      </c>
      <c r="E123" s="1008">
        <f t="shared" si="32"/>
        <v>94</v>
      </c>
      <c r="F123" s="1008">
        <f t="shared" si="32"/>
        <v>91</v>
      </c>
      <c r="G123" s="1008">
        <f t="shared" si="32"/>
        <v>88</v>
      </c>
      <c r="H123" s="1008">
        <f t="shared" si="32"/>
        <v>85</v>
      </c>
      <c r="I123" s="1008">
        <f t="shared" si="32"/>
        <v>82</v>
      </c>
      <c r="J123" s="1008">
        <f t="shared" si="32"/>
        <v>79</v>
      </c>
      <c r="K123" s="1008">
        <f t="shared" si="32"/>
        <v>76</v>
      </c>
      <c r="L123" s="1008">
        <f t="shared" si="32"/>
        <v>73</v>
      </c>
      <c r="M123" s="1008">
        <f t="shared" si="32"/>
        <v>70</v>
      </c>
      <c r="N123" s="1292"/>
      <c r="O123" s="1292"/>
      <c r="P123" s="1399"/>
      <c r="Q123" s="1285"/>
    </row>
    <row r="124" ht="28.75" spans="1:17">
      <c r="A124" s="1036"/>
      <c r="B124" s="1005" t="s">
        <v>2131</v>
      </c>
      <c r="C124" s="1024" t="s">
        <v>1271</v>
      </c>
      <c r="D124" s="1024" t="s">
        <v>1272</v>
      </c>
      <c r="E124" s="1024" t="s">
        <v>1273</v>
      </c>
      <c r="F124" s="1024" t="s">
        <v>1274</v>
      </c>
      <c r="G124" s="1024" t="s">
        <v>1275</v>
      </c>
      <c r="H124" s="1006"/>
      <c r="I124" s="1006"/>
      <c r="J124" s="1006"/>
      <c r="K124" s="1055"/>
      <c r="L124" s="1056"/>
      <c r="M124" s="1057"/>
      <c r="N124" s="1290"/>
      <c r="O124" s="1290"/>
      <c r="P124" s="1411"/>
      <c r="Q124" s="1285"/>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2"/>
      <c r="O125" s="1292"/>
      <c r="P125" s="1399"/>
      <c r="Q125" s="1285"/>
    </row>
    <row r="126" s="713" customFormat="1" ht="14.75" spans="1:17">
      <c r="A126" s="1033"/>
      <c r="B126" s="1005">
        <f>B44</f>
        <v>111</v>
      </c>
      <c r="C126" s="1013"/>
      <c r="D126" s="1013"/>
      <c r="E126" s="1013"/>
      <c r="F126" s="1013"/>
      <c r="G126" s="1013"/>
      <c r="H126" s="1014"/>
      <c r="I126" s="1014"/>
      <c r="J126" s="1014"/>
      <c r="K126" s="1014"/>
      <c r="L126" s="1062"/>
      <c r="M126" s="1063"/>
      <c r="N126" s="1293"/>
      <c r="O126" s="1293"/>
      <c r="P126" s="1411"/>
      <c r="Q126" s="1296"/>
    </row>
    <row r="127" s="713" customFormat="1" ht="14.75" spans="1:17">
      <c r="A127" s="1012"/>
      <c r="B127" s="1007"/>
      <c r="C127" s="1015"/>
      <c r="D127" s="1004"/>
      <c r="E127" s="1004"/>
      <c r="F127" s="1004"/>
      <c r="G127" s="1015"/>
      <c r="H127" s="1016"/>
      <c r="I127" s="1016"/>
      <c r="J127" s="1016"/>
      <c r="K127" s="1016"/>
      <c r="L127" s="1016"/>
      <c r="M127" s="1066"/>
      <c r="N127" s="1293"/>
      <c r="O127" s="1293"/>
      <c r="P127" s="1411"/>
      <c r="Q127" s="1296"/>
    </row>
    <row r="128" ht="14.75" spans="1:17">
      <c r="A128" s="1036"/>
      <c r="B128" s="1005">
        <f>B45</f>
        <v>111</v>
      </c>
      <c r="C128" s="1013"/>
      <c r="D128" s="1013"/>
      <c r="E128" s="1013"/>
      <c r="F128" s="1013"/>
      <c r="G128" s="1030"/>
      <c r="H128" s="1030"/>
      <c r="I128" s="1030"/>
      <c r="J128" s="1030"/>
      <c r="K128" s="1081"/>
      <c r="L128" s="1082"/>
      <c r="M128" s="1083"/>
      <c r="N128" s="1290"/>
      <c r="O128" s="1290"/>
      <c r="P128" s="1399"/>
      <c r="Q128" s="1285"/>
    </row>
    <row r="129" ht="14.75" spans="1:17">
      <c r="A129" s="1002"/>
      <c r="B129" s="1007"/>
      <c r="C129" s="1015"/>
      <c r="D129" s="1015"/>
      <c r="E129" s="1015"/>
      <c r="F129" s="1015"/>
      <c r="G129" s="1004"/>
      <c r="H129" s="1004"/>
      <c r="I129" s="1004"/>
      <c r="J129" s="1004"/>
      <c r="K129" s="1004"/>
      <c r="L129" s="1004"/>
      <c r="M129" s="1053"/>
      <c r="N129" s="1292"/>
      <c r="O129" s="1292"/>
      <c r="P129" s="1399"/>
      <c r="Q129" s="1285"/>
    </row>
    <row r="130" ht="14.75" spans="1:17">
      <c r="A130" s="1036"/>
      <c r="B130" s="1009">
        <f>B46</f>
        <v>111</v>
      </c>
      <c r="C130" s="1013"/>
      <c r="D130" s="1013"/>
      <c r="E130" s="1013"/>
      <c r="F130" s="1013"/>
      <c r="G130" s="1031"/>
      <c r="H130" s="1031"/>
      <c r="I130" s="1031"/>
      <c r="J130" s="1031"/>
      <c r="K130" s="997"/>
      <c r="L130" s="1043"/>
      <c r="M130" s="1086"/>
      <c r="N130" s="1290"/>
      <c r="O130" s="1290"/>
      <c r="P130" s="1399"/>
      <c r="Q130" s="1285"/>
    </row>
    <row r="131" ht="14.75" spans="1:17">
      <c r="A131" s="1297"/>
      <c r="B131" s="1019"/>
      <c r="C131" s="1020"/>
      <c r="D131" s="1020"/>
      <c r="E131" s="1020"/>
      <c r="F131" s="1020"/>
      <c r="G131" s="1032"/>
      <c r="H131" s="1032"/>
      <c r="I131" s="1032"/>
      <c r="J131" s="1032"/>
      <c r="K131" s="1032"/>
      <c r="L131" s="1032"/>
      <c r="M131" s="1087"/>
      <c r="N131" s="1292"/>
      <c r="O131" s="1292"/>
      <c r="P131" s="1399"/>
      <c r="Q131" s="1285"/>
    </row>
    <row r="136" ht="14.75" spans="2:2">
      <c r="B136" s="1418" t="s">
        <v>2137</v>
      </c>
    </row>
    <row r="137" ht="15.5" spans="2:11">
      <c r="B137" s="1419" t="s">
        <v>2138</v>
      </c>
      <c r="C137" s="1420"/>
      <c r="D137" s="1420"/>
      <c r="E137" s="1420"/>
      <c r="F137" s="1420"/>
      <c r="G137" s="1421"/>
      <c r="H137" s="1422"/>
      <c r="I137" s="1445" t="s">
        <v>2139</v>
      </c>
      <c r="J137" s="1420"/>
      <c r="K137" s="1446"/>
    </row>
    <row r="138" ht="15.5" spans="2:11">
      <c r="B138" s="1423"/>
      <c r="C138" s="1424" t="s">
        <v>2140</v>
      </c>
      <c r="D138" s="1424" t="s">
        <v>2141</v>
      </c>
      <c r="E138" s="1425" t="s">
        <v>2142</v>
      </c>
      <c r="F138" s="1426" t="s">
        <v>2143</v>
      </c>
      <c r="G138" s="1424" t="s">
        <v>2141</v>
      </c>
      <c r="H138" s="1427" t="s">
        <v>2142</v>
      </c>
      <c r="I138" s="1447"/>
      <c r="J138" s="1424" t="s">
        <v>2144</v>
      </c>
      <c r="K138" s="1427" t="s">
        <v>2145</v>
      </c>
    </row>
    <row r="139" ht="15.5" spans="2:11">
      <c r="B139" s="1428">
        <v>6</v>
      </c>
      <c r="C139" s="1429">
        <v>96</v>
      </c>
      <c r="D139" s="1430" t="s">
        <v>2146</v>
      </c>
      <c r="E139" s="1431">
        <v>100</v>
      </c>
      <c r="F139" s="1432">
        <v>102.5</v>
      </c>
      <c r="G139" s="1430" t="s">
        <v>2146</v>
      </c>
      <c r="H139" s="1433">
        <v>105</v>
      </c>
      <c r="I139" s="1448" t="s">
        <v>2147</v>
      </c>
      <c r="J139" s="1429">
        <v>20</v>
      </c>
      <c r="K139" s="1449">
        <f>C145/(J139-2)</f>
        <v>0.00405555555555556</v>
      </c>
    </row>
    <row r="140" ht="15.5" spans="2:11">
      <c r="B140" s="1434">
        <v>5</v>
      </c>
      <c r="C140" s="1435">
        <v>100</v>
      </c>
      <c r="D140" s="1435"/>
      <c r="E140" s="1436"/>
      <c r="F140" s="1437">
        <v>102</v>
      </c>
      <c r="G140" s="1435"/>
      <c r="H140" s="1438"/>
      <c r="I140" s="1450" t="s">
        <v>2148</v>
      </c>
      <c r="J140" s="473">
        <f>ROUNDUP((J139-1)/2,0)</f>
        <v>10</v>
      </c>
      <c r="K140" s="1451">
        <v>100</v>
      </c>
    </row>
    <row r="141" ht="15.5" spans="2:11">
      <c r="B141" s="1434">
        <v>4</v>
      </c>
      <c r="C141" s="1435">
        <v>102</v>
      </c>
      <c r="D141" s="1435"/>
      <c r="E141" s="1436"/>
      <c r="F141" s="1437">
        <v>101.5</v>
      </c>
      <c r="G141" s="1435"/>
      <c r="H141" s="1438"/>
      <c r="I141" s="1450" t="s">
        <v>2149</v>
      </c>
      <c r="J141" s="473">
        <v>1</v>
      </c>
      <c r="K141" s="1452">
        <f>ROUND(100+(J141-J140)*K139*100,1)</f>
        <v>96.4</v>
      </c>
    </row>
    <row r="142" ht="15.5" spans="2:11">
      <c r="B142" s="1434">
        <v>3</v>
      </c>
      <c r="C142" s="1435">
        <v>103</v>
      </c>
      <c r="D142" s="1435"/>
      <c r="E142" s="1436"/>
      <c r="F142" s="1437">
        <v>101</v>
      </c>
      <c r="G142" s="1435"/>
      <c r="H142" s="1438"/>
      <c r="I142" s="1450" t="s">
        <v>2150</v>
      </c>
      <c r="J142" s="473">
        <f>J139</f>
        <v>20</v>
      </c>
      <c r="K142" s="1453">
        <v>95</v>
      </c>
    </row>
    <row r="143" ht="15.5" spans="2:11">
      <c r="B143" s="1434">
        <v>2</v>
      </c>
      <c r="C143" s="1435">
        <v>100</v>
      </c>
      <c r="D143" s="1435"/>
      <c r="E143" s="1436"/>
      <c r="F143" s="1437">
        <v>100.5</v>
      </c>
      <c r="G143" s="1435"/>
      <c r="H143" s="1438"/>
      <c r="I143" s="1450" t="s">
        <v>2151</v>
      </c>
      <c r="J143" s="1435">
        <v>15</v>
      </c>
      <c r="K143" s="1452">
        <f>ROUND(100+(J143-J140)*K139*100,1)</f>
        <v>102</v>
      </c>
    </row>
    <row r="144" ht="15.5" spans="2:11">
      <c r="B144" s="1434">
        <v>1</v>
      </c>
      <c r="C144" s="1435">
        <v>98</v>
      </c>
      <c r="D144" s="1439" t="s">
        <v>2152</v>
      </c>
      <c r="E144" s="1436">
        <v>102</v>
      </c>
      <c r="F144" s="1440">
        <v>100</v>
      </c>
      <c r="G144" s="1439" t="s">
        <v>2152</v>
      </c>
      <c r="H144" s="1438">
        <v>105</v>
      </c>
      <c r="I144" s="1450" t="s">
        <v>2151</v>
      </c>
      <c r="J144" s="1435">
        <v>18</v>
      </c>
      <c r="K144" s="1452">
        <f>ROUND(100+(J144-J140)*K139*100,1)</f>
        <v>103.2</v>
      </c>
    </row>
    <row r="145" ht="16.25" spans="2:11">
      <c r="B145" s="1441" t="s">
        <v>2153</v>
      </c>
      <c r="C145" s="1442">
        <f>ROUND(MAX(C139:C144)/MIN(C139:C144)-1,3)</f>
        <v>0.073</v>
      </c>
      <c r="D145" s="1443"/>
      <c r="E145" s="1443"/>
      <c r="F145" s="1444" t="s">
        <v>2154</v>
      </c>
      <c r="G145" s="1331"/>
      <c r="H145" s="1336"/>
      <c r="I145" s="1454" t="s">
        <v>2151</v>
      </c>
      <c r="J145" s="1455">
        <v>8</v>
      </c>
      <c r="K145" s="1456">
        <f>ROUND(100+(J145-J140)*K139*100,1)</f>
        <v>99.2</v>
      </c>
    </row>
    <row r="147" spans="2:2">
      <c r="B147" s="1418" t="s">
        <v>2155</v>
      </c>
    </row>
    <row r="148" spans="2:2">
      <c r="B148" s="1418" t="s">
        <v>2156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342" t="s">
        <v>2157</v>
      </c>
      <c r="C1" s="1247" t="s">
        <v>2105</v>
      </c>
      <c r="D1" s="1104"/>
      <c r="E1" s="1343"/>
      <c r="F1" s="1106"/>
      <c r="G1" s="1224" t="s">
        <v>1378</v>
      </c>
      <c r="H1" s="1225"/>
      <c r="I1" s="1225"/>
      <c r="J1" s="1225"/>
      <c r="K1" s="1245"/>
      <c r="L1" s="1246"/>
      <c r="M1" s="1247"/>
      <c r="N1" s="1247"/>
      <c r="O1" s="1247"/>
      <c r="P1" s="1350"/>
      <c r="Q1" s="1359"/>
      <c r="R1" s="1359"/>
      <c r="S1" s="1359"/>
      <c r="T1" s="1359"/>
      <c r="U1" s="1359"/>
      <c r="V1" s="1359"/>
      <c r="W1" s="1359"/>
      <c r="X1" s="1359"/>
      <c r="Y1" s="1359"/>
      <c r="Z1" s="1359"/>
      <c r="AA1" s="1359"/>
      <c r="AB1" s="1359"/>
      <c r="AC1" s="1360"/>
    </row>
    <row r="2" s="710" customFormat="1" ht="28.5" customHeight="1" spans="1:29">
      <c r="A2" s="1109" t="s">
        <v>1003</v>
      </c>
      <c r="B2" s="1110" t="b">
        <f ca="1">IF(E1="项目模式",IF(C2="——",ROUND(C49*D3/10000,0),ROUND(C49*D3/10000,0)-D2),IF(E1="单套模式",IF(C2="——",ROUND(C49*D3/10000,4),ROUND(C49*D3/10000,4)-D2)))</f>
        <v>0</v>
      </c>
      <c r="C2" s="1111"/>
      <c r="D2" s="1304" t="e">
        <f ca="1">IF(E1="项目模式",SUMIF(INDIRECT("'"&amp;F2&amp;"'"&amp;"!A:A"),"承租人权益价值",INDIRECT("'"&amp;F2&amp;"'"&amp;"!c:c")),SUMIF(INDIRECT("'"&amp;F2&amp;"'"&amp;"!A:A"),"承租人权益价值（单套）",INDIRECT("'"&amp;F2&amp;"'"&amp;"!c:c")))</f>
        <v>#REF!</v>
      </c>
      <c r="E2" s="1113" t="s">
        <v>1004</v>
      </c>
      <c r="F2" s="1114"/>
      <c r="G2" s="726"/>
      <c r="H2" s="726"/>
      <c r="I2" s="726"/>
      <c r="J2" s="726"/>
      <c r="K2" s="726"/>
      <c r="L2" s="893"/>
      <c r="M2" s="894"/>
      <c r="N2" s="894"/>
      <c r="O2" s="894"/>
      <c r="P2" s="1351"/>
      <c r="Q2" s="1265"/>
      <c r="R2" s="1265"/>
      <c r="S2" s="1265"/>
      <c r="T2" s="1265"/>
      <c r="U2" s="1265"/>
      <c r="V2" s="1265"/>
      <c r="W2" s="1265"/>
      <c r="X2" s="1265"/>
      <c r="Y2" s="1265"/>
      <c r="Z2" s="1265"/>
      <c r="AA2" s="1265"/>
      <c r="AB2" s="1265"/>
      <c r="AC2" s="1361"/>
    </row>
    <row r="3" s="710" customFormat="1" ht="28.5" customHeight="1" spans="1:29">
      <c r="A3" s="396" t="s">
        <v>1005</v>
      </c>
      <c r="B3" s="728">
        <f ca="1">IF(C2="——",C49,ROUND(B2*10000/D3,0))</f>
        <v>0</v>
      </c>
      <c r="C3" s="1115" t="s">
        <v>1108</v>
      </c>
      <c r="D3" s="1116">
        <f>IF(D1="",'数据-汇总表'!E3,SUMIF('数据-汇总表'!$C19:$C33,D1,'数据-汇总表'!$E19:$E33))</f>
        <v>68156.19</v>
      </c>
      <c r="E3" s="1305"/>
      <c r="F3" s="727"/>
      <c r="G3" s="726"/>
      <c r="H3" s="726"/>
      <c r="I3" s="726"/>
      <c r="J3" s="726"/>
      <c r="K3" s="892"/>
      <c r="L3" s="893"/>
      <c r="M3" s="894"/>
      <c r="N3" s="894"/>
      <c r="O3" s="894"/>
      <c r="P3" s="1351"/>
      <c r="Q3" s="1265"/>
      <c r="R3" s="1265"/>
      <c r="S3" s="1265"/>
      <c r="T3" s="1265"/>
      <c r="U3" s="1265"/>
      <c r="V3" s="1265"/>
      <c r="W3" s="1265"/>
      <c r="X3" s="1265"/>
      <c r="Y3" s="1265"/>
      <c r="Z3" s="1265"/>
      <c r="AA3" s="1265"/>
      <c r="AB3" s="1265"/>
      <c r="AC3" s="130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37" t="s">
        <v>1382</v>
      </c>
      <c r="AC4" s="976" t="s">
        <v>1383</v>
      </c>
    </row>
    <row r="5" spans="1:29">
      <c r="A5" s="736"/>
      <c r="B5" s="737"/>
      <c r="C5" s="738" t="s">
        <v>1386</v>
      </c>
      <c r="D5" s="739"/>
      <c r="E5" s="740" t="s">
        <v>2158</v>
      </c>
      <c r="F5" s="741"/>
      <c r="G5" s="738" t="s">
        <v>2159</v>
      </c>
      <c r="H5" s="739"/>
      <c r="I5" s="738" t="s">
        <v>2160</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37"/>
      <c r="AC6" s="977"/>
    </row>
    <row r="7" s="711" customFormat="1" ht="14.75" spans="1:29">
      <c r="A7" s="748" t="s">
        <v>1389</v>
      </c>
      <c r="B7" s="749"/>
      <c r="C7" s="750">
        <f>'数据-取费表'!B2</f>
        <v>45644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46" si="3">D8/F8</f>
        <v>1</v>
      </c>
      <c r="AB8" s="978">
        <f t="shared" ref="AB8:AB46" si="4">D8/H8</f>
        <v>1</v>
      </c>
      <c r="AC8" s="978">
        <f t="shared" ref="AC8:AC46" si="5">D8/J8</f>
        <v>1</v>
      </c>
    </row>
    <row r="9" s="711" customFormat="1" spans="1:29">
      <c r="A9" s="756" t="s">
        <v>1396</v>
      </c>
      <c r="B9" s="757" t="s">
        <v>1397</v>
      </c>
      <c r="C9" s="1256"/>
      <c r="D9" s="759">
        <v>100</v>
      </c>
      <c r="E9" s="1257"/>
      <c r="F9" s="1226">
        <f>SUMIF(63:63,E9,64:64)-SUMIF(63:63,C9,64:64)+100</f>
        <v>100</v>
      </c>
      <c r="G9" s="1257"/>
      <c r="H9" s="759">
        <f>SUMIF(63:63,G9,64:64)-SUMIF(63:63,C9,64:64)+100</f>
        <v>100</v>
      </c>
      <c r="I9" s="1257"/>
      <c r="J9" s="759">
        <f>SUMIF(63:63,I9,64:64)-SUMIF(63:63,C9,64:64)+100</f>
        <v>100</v>
      </c>
      <c r="K9" s="901"/>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c r="D10" s="763">
        <v>100</v>
      </c>
      <c r="E10" s="1129"/>
      <c r="F10" s="1227">
        <f>SUMIF(65:65,E10,66:66)-SUMIF(65:65,C10,66:66)+100</f>
        <v>100</v>
      </c>
      <c r="G10" s="1128"/>
      <c r="H10" s="763">
        <f>SUMIF(65:65,G10,66:66)-SUMIF(65:65,C10,66:66)+100</f>
        <v>100</v>
      </c>
      <c r="I10" s="1128"/>
      <c r="J10" s="763">
        <f>SUMIF(65:65,I10,66:66)-SUMIF(65:65,C10,66:66)+100</f>
        <v>100</v>
      </c>
      <c r="K10" s="901"/>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c r="D11" s="763">
        <v>100</v>
      </c>
      <c r="E11" s="766"/>
      <c r="F11" s="122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1391</v>
      </c>
      <c r="S11" s="960" t="e">
        <f t="shared" si="0"/>
        <v>#N/A</v>
      </c>
      <c r="T11" s="959" t="s">
        <v>1391</v>
      </c>
      <c r="U11" s="960" t="e">
        <f t="shared" si="1"/>
        <v>#N/A</v>
      </c>
      <c r="V11" s="959" t="s">
        <v>1391</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22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242">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1229" t="s">
        <v>1406</v>
      </c>
      <c r="C15" s="1344" t="str">
        <f>估价对象房地状况!C4</f>
        <v>估价对象位于XX商圈，周边商业氛围成熟，人流量大，商业繁华度好</v>
      </c>
      <c r="D15" s="781">
        <v>100</v>
      </c>
      <c r="E15" s="782"/>
      <c r="F15" s="1134">
        <f>SUMIF(76:76,E16,77:77)-SUMIF(76:76,C16,77:77)+100</f>
        <v>100</v>
      </c>
      <c r="G15" s="914"/>
      <c r="H15" s="781">
        <f>SUMIF(76:76,G16,77:77)-SUMIF(76:76,C16,77:77)+100</f>
        <v>100</v>
      </c>
      <c r="I15" s="782"/>
      <c r="J15" s="781">
        <f>SUMIF(76:76,I16,77:77)-SUMIF(76:76,C16,77:77)+100</f>
        <v>100</v>
      </c>
      <c r="K15" s="1187"/>
      <c r="L15" s="913"/>
      <c r="M15" s="897"/>
      <c r="N15" s="897"/>
      <c r="O15" s="897"/>
      <c r="P15" s="1319" t="s">
        <v>1405</v>
      </c>
      <c r="Q15" s="863" t="str">
        <f t="shared" si="6"/>
        <v>商业繁华度</v>
      </c>
      <c r="R15" s="964" t="s">
        <v>1391</v>
      </c>
      <c r="S15" s="965">
        <f t="shared" si="0"/>
        <v>100</v>
      </c>
      <c r="T15" s="964" t="s">
        <v>1391</v>
      </c>
      <c r="U15" s="965">
        <f t="shared" si="1"/>
        <v>100</v>
      </c>
      <c r="V15" s="964" t="s">
        <v>1391</v>
      </c>
      <c r="W15" s="965">
        <f t="shared" si="2"/>
        <v>100</v>
      </c>
      <c r="X15" s="951"/>
      <c r="Y15" s="915" t="s">
        <v>1405</v>
      </c>
      <c r="Z15" s="937" t="str">
        <f t="shared" si="7"/>
        <v>商业繁华度</v>
      </c>
      <c r="AA15" s="980">
        <f t="shared" si="3"/>
        <v>1</v>
      </c>
      <c r="AB15" s="980">
        <f t="shared" si="4"/>
        <v>1</v>
      </c>
      <c r="AC15" s="980">
        <f t="shared" si="5"/>
        <v>1</v>
      </c>
    </row>
    <row r="16" ht="15.5" spans="1:29">
      <c r="A16" s="764"/>
      <c r="B16" s="1230"/>
      <c r="C16" s="784"/>
      <c r="D16" s="785"/>
      <c r="E16" s="784"/>
      <c r="F16" s="1136"/>
      <c r="G16" s="784"/>
      <c r="H16" s="787"/>
      <c r="I16" s="784"/>
      <c r="J16" s="785"/>
      <c r="K16" s="1188"/>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1408</v>
      </c>
      <c r="C17" s="789" t="str">
        <f>估价对象房地状况!C6</f>
        <v>估价对象周边道路状况、公共交通通达情况、停车便捷程度，综合评价交通便捷度较好</v>
      </c>
      <c r="D17" s="787">
        <v>100</v>
      </c>
      <c r="E17" s="790"/>
      <c r="F17" s="1141">
        <f>SUMIF(78:78,E18,79:79)-SUMIF(78:78,C18,79:79)+100</f>
        <v>100</v>
      </c>
      <c r="G17" s="917"/>
      <c r="H17" s="791">
        <f>SUMIF(78:78,G18,79:79)-SUMIF(78:78,C18,79:79)+100</f>
        <v>100</v>
      </c>
      <c r="I17" s="790"/>
      <c r="J17" s="791">
        <f>SUMIF(78:78,I18,79:79)-SUMIF(78:78,C18,79:79)+100</f>
        <v>100</v>
      </c>
      <c r="K17" s="1187"/>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估价对象房地状况!C7</f>
        <v>估价对象所在区域公共配套设施齐备情况</v>
      </c>
      <c r="D19" s="791">
        <v>100</v>
      </c>
      <c r="E19" s="1137"/>
      <c r="F19" s="1138">
        <f>SUMIF(80:80,E20,81:81)-SUMIF(80:80,C20,81:81)+100</f>
        <v>100</v>
      </c>
      <c r="G19" s="1139"/>
      <c r="H19" s="787">
        <f>SUMIF(80:80,G20,81:81)-SUMIF(80:80,C20,81:81)+100</f>
        <v>100</v>
      </c>
      <c r="I19" s="1137"/>
      <c r="J19" s="787">
        <f>SUMIF(80:80,I20,81:81)-SUMIF(80:80,C20,81:81)+100</f>
        <v>100</v>
      </c>
      <c r="K19" s="1187"/>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1412</v>
      </c>
      <c r="C21" s="789" t="str">
        <f>估价对象房地状况!C8</f>
        <v>估价对象所在区域基础设施水平</v>
      </c>
      <c r="D21" s="791">
        <v>100</v>
      </c>
      <c r="E21" s="1137"/>
      <c r="F21" s="1138">
        <f>SUMIF(82:82,E22,83:83)-SUMIF(82:82,C22,83:83)+100</f>
        <v>100</v>
      </c>
      <c r="G21" s="1139"/>
      <c r="H21" s="787">
        <f>SUMIF(82:82,G22,83:83)-SUMIF(82:82,C22,83:83)+100</f>
        <v>100</v>
      </c>
      <c r="I21" s="1137"/>
      <c r="J21" s="787">
        <f>SUMIF(82:82,I22,83:83)-SUMIF(82:82,C22,83:83)+100</f>
        <v>100</v>
      </c>
      <c r="K21" s="1187"/>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2112</v>
      </c>
      <c r="C23" s="1345" t="str">
        <f>估价对象房地状况!C9</f>
        <v>区域自然环境：；人文环境；综合评价环境状况一般</v>
      </c>
      <c r="D23" s="787">
        <v>100</v>
      </c>
      <c r="E23" s="790"/>
      <c r="F23" s="1141">
        <f>SUMIF(84:84,E24,85:85)-SUMIF(84:84,C24,85:85)+100</f>
        <v>100</v>
      </c>
      <c r="G23" s="917"/>
      <c r="H23" s="787">
        <f>SUMIF(84:84,G24,85:85)-SUMIF(84:84,C24,85:85)+100</f>
        <v>100</v>
      </c>
      <c r="I23" s="790"/>
      <c r="J23" s="787">
        <f>SUMIF(84:84,I24,85:85)-SUMIF(84:84,C24,85:85)+100</f>
        <v>100</v>
      </c>
      <c r="K23" s="1187"/>
      <c r="L23" s="913"/>
      <c r="M23" s="897"/>
      <c r="N23" s="897"/>
      <c r="O23" s="897"/>
      <c r="P23" s="1320"/>
      <c r="Q23" s="863" t="str">
        <f>B23</f>
        <v>自然及人文环境</v>
      </c>
      <c r="R23" s="964" t="s">
        <v>1391</v>
      </c>
      <c r="S23" s="965">
        <f>F23</f>
        <v>100</v>
      </c>
      <c r="T23" s="964" t="s">
        <v>1391</v>
      </c>
      <c r="U23" s="965">
        <f>H23</f>
        <v>100</v>
      </c>
      <c r="V23" s="964" t="s">
        <v>1391</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36"/>
      <c r="G24" s="918"/>
      <c r="H24" s="785"/>
      <c r="I24" s="793"/>
      <c r="J24" s="785"/>
      <c r="K24" s="1188"/>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1413</v>
      </c>
      <c r="C25" s="798"/>
      <c r="D25" s="773">
        <v>100</v>
      </c>
      <c r="E25" s="798"/>
      <c r="F25" s="1142">
        <f>SUMIF(86:86,E25,87:87)-SUMIF(86:86,C25,87:87)+100</f>
        <v>100</v>
      </c>
      <c r="G25" s="798"/>
      <c r="H25" s="773">
        <f>SUMIF(86:86,G25,87:87)-SUMIF(86:86,C25,87:87)+100</f>
        <v>100</v>
      </c>
      <c r="I25" s="798"/>
      <c r="J25" s="773">
        <f>SUMIF(86:86,I25,87:87)-SUMIF(86:86,C25,87:87)+100</f>
        <v>100</v>
      </c>
      <c r="K25" s="921"/>
      <c r="L25" s="913"/>
      <c r="M25" s="897"/>
      <c r="N25" s="897"/>
      <c r="O25" s="897"/>
      <c r="P25" s="1320"/>
      <c r="Q25" s="863" t="str">
        <f t="shared" ref="Q25:Q46" si="11">B25</f>
        <v>临街状况</v>
      </c>
      <c r="R25" s="964" t="s">
        <v>1391</v>
      </c>
      <c r="S25" s="965">
        <f>F25</f>
        <v>100</v>
      </c>
      <c r="T25" s="964" t="s">
        <v>1391</v>
      </c>
      <c r="U25" s="965">
        <f>H25</f>
        <v>100</v>
      </c>
      <c r="V25" s="964" t="s">
        <v>1391</v>
      </c>
      <c r="W25" s="965">
        <f>J25</f>
        <v>100</v>
      </c>
      <c r="X25" s="951"/>
      <c r="Y25" s="916"/>
      <c r="Z25" s="937" t="str">
        <f>Q25</f>
        <v>临街状况</v>
      </c>
      <c r="AA25" s="980">
        <f t="shared" si="3"/>
        <v>1</v>
      </c>
      <c r="AB25" s="980">
        <f t="shared" si="4"/>
        <v>1</v>
      </c>
      <c r="AC25" s="980">
        <f t="shared" si="5"/>
        <v>1</v>
      </c>
    </row>
    <row r="26" ht="15.5" spans="1:29">
      <c r="A26" s="764"/>
      <c r="B26" s="1261" t="s">
        <v>2161</v>
      </c>
      <c r="C26" s="772"/>
      <c r="D26" s="773">
        <v>100</v>
      </c>
      <c r="E26" s="772"/>
      <c r="F26" s="1142">
        <f>SUMIF(88:88,E26,89:89)-SUMIF(88:88,C26,89:89)+100</f>
        <v>100</v>
      </c>
      <c r="G26" s="772"/>
      <c r="H26" s="773">
        <f>SUMIF(88:88,G26,89:89)-SUMIF(88:88,C26,89:89)+100</f>
        <v>100</v>
      </c>
      <c r="I26" s="772"/>
      <c r="J26" s="773">
        <f>SUMIF(88:88,I26,89:89)-SUMIF(88:88,C26,89:89)+100</f>
        <v>100</v>
      </c>
      <c r="K26" s="920"/>
      <c r="L26" s="913"/>
      <c r="M26" s="897"/>
      <c r="N26" s="897"/>
      <c r="O26" s="897"/>
      <c r="P26" s="1320"/>
      <c r="Q26" s="863" t="str">
        <f t="shared" si="11"/>
        <v>平面位置/可视性</v>
      </c>
      <c r="R26" s="964" t="s">
        <v>1391</v>
      </c>
      <c r="S26" s="965">
        <f>F26</f>
        <v>100</v>
      </c>
      <c r="T26" s="964" t="s">
        <v>1391</v>
      </c>
      <c r="U26" s="965">
        <f>H26</f>
        <v>100</v>
      </c>
      <c r="V26" s="964" t="s">
        <v>1391</v>
      </c>
      <c r="W26" s="965">
        <f>J26</f>
        <v>100</v>
      </c>
      <c r="X26" s="951"/>
      <c r="Y26" s="916"/>
      <c r="Z26" s="937" t="str">
        <f>Q26</f>
        <v>平面位置/可视性</v>
      </c>
      <c r="AA26" s="980">
        <f t="shared" si="3"/>
        <v>1</v>
      </c>
      <c r="AB26" s="980">
        <f t="shared" si="4"/>
        <v>1</v>
      </c>
      <c r="AC26" s="980">
        <f t="shared" si="5"/>
        <v>1</v>
      </c>
    </row>
    <row r="27" s="711" customFormat="1" ht="15.5" spans="1:29">
      <c r="A27" s="767"/>
      <c r="B27" s="1231" t="s">
        <v>2162</v>
      </c>
      <c r="C27" s="1312"/>
      <c r="D27" s="1262">
        <v>100</v>
      </c>
      <c r="E27" s="1312"/>
      <c r="F27" s="1263">
        <f>SUMIF(90:90,E27,91:91)-SUMIF(90:90,C27,91:91)+100</f>
        <v>100</v>
      </c>
      <c r="G27" s="1312"/>
      <c r="H27" s="1262">
        <f>SUMIF(90:90,G27,91:91)-SUMIF(90:90,C27,91:91)+100</f>
        <v>100</v>
      </c>
      <c r="I27" s="1312"/>
      <c r="J27" s="1262">
        <f>SUMIF(90:90,I27,91:91)-SUMIF(90:90,C27,91:91)+100</f>
        <v>100</v>
      </c>
      <c r="K27" s="921"/>
      <c r="L27" s="902"/>
      <c r="M27" s="903"/>
      <c r="N27" s="903"/>
      <c r="O27" s="903"/>
      <c r="P27" s="1320"/>
      <c r="Q27" s="963" t="str">
        <f t="shared" si="11"/>
        <v>人流量</v>
      </c>
      <c r="R27" s="959" t="s">
        <v>1391</v>
      </c>
      <c r="S27" s="960">
        <f>F27</f>
        <v>100</v>
      </c>
      <c r="T27" s="959" t="s">
        <v>1391</v>
      </c>
      <c r="U27" s="960">
        <f>H27</f>
        <v>100</v>
      </c>
      <c r="V27" s="959" t="s">
        <v>1391</v>
      </c>
      <c r="W27" s="960">
        <f>J27</f>
        <v>100</v>
      </c>
      <c r="X27" s="961"/>
      <c r="Y27" s="916"/>
      <c r="Z27" s="979" t="str">
        <f>Q27</f>
        <v>人流量</v>
      </c>
      <c r="AA27" s="980">
        <f t="shared" si="3"/>
        <v>1</v>
      </c>
      <c r="AB27" s="980">
        <f t="shared" si="4"/>
        <v>1</v>
      </c>
      <c r="AC27" s="980">
        <f t="shared" si="5"/>
        <v>1</v>
      </c>
    </row>
    <row r="28" ht="15.5" spans="1:29">
      <c r="A28" s="764"/>
      <c r="B28" s="761" t="s">
        <v>2163</v>
      </c>
      <c r="C28" s="798"/>
      <c r="D28" s="773">
        <v>100</v>
      </c>
      <c r="E28" s="798"/>
      <c r="F28" s="1142">
        <f>SUMIF(92:92,E28,93:93)-SUMIF(92:92,C28,93:93)+100</f>
        <v>100</v>
      </c>
      <c r="G28" s="798"/>
      <c r="H28" s="773">
        <f>SUMIF(92:92,G28,93:93)-SUMIF(92:92,C28,93:93)+100</f>
        <v>100</v>
      </c>
      <c r="I28" s="798"/>
      <c r="J28" s="773">
        <f>SUMIF(92:92,I28,93:93)-SUMIF(92:92,C28,93:93)+100</f>
        <v>100</v>
      </c>
      <c r="K28" s="920"/>
      <c r="L28" s="913"/>
      <c r="M28" s="897"/>
      <c r="N28" s="897"/>
      <c r="O28" s="897"/>
      <c r="P28" s="1320"/>
      <c r="Q28" s="863" t="str">
        <f t="shared" si="11"/>
        <v>楼层</v>
      </c>
      <c r="R28" s="964" t="s">
        <v>1391</v>
      </c>
      <c r="S28" s="965">
        <f t="shared" ref="S28:S46" si="12">F28</f>
        <v>100</v>
      </c>
      <c r="T28" s="964" t="s">
        <v>1391</v>
      </c>
      <c r="U28" s="965">
        <f t="shared" ref="U28:U46" si="13">H28</f>
        <v>100</v>
      </c>
      <c r="V28" s="964" t="s">
        <v>1391</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261">
        <v>111</v>
      </c>
      <c r="C29" s="772"/>
      <c r="D29" s="773">
        <v>100</v>
      </c>
      <c r="E29" s="772"/>
      <c r="F29" s="1142">
        <f>SUMIF(94:94,E29,95:95)-SUMIF(94:94,C29,95:95)+100</f>
        <v>100</v>
      </c>
      <c r="G29" s="772"/>
      <c r="H29" s="773">
        <f>SUMIF(94:94,G29,95:95)-SUMIF(94:94,C29,95:95)+100</f>
        <v>100</v>
      </c>
      <c r="I29" s="772"/>
      <c r="J29" s="773">
        <f>SUMIF(94:94,I29,95:95)-SUMIF(94:94,C29,95:95)+100</f>
        <v>100</v>
      </c>
      <c r="K29" s="920"/>
      <c r="L29" s="913"/>
      <c r="M29" s="897"/>
      <c r="N29" s="897"/>
      <c r="O29" s="897"/>
      <c r="P29" s="1320"/>
      <c r="Q29" s="863">
        <f t="shared" si="11"/>
        <v>111</v>
      </c>
      <c r="R29" s="964" t="s">
        <v>1391</v>
      </c>
      <c r="S29" s="965">
        <f t="shared" si="12"/>
        <v>100</v>
      </c>
      <c r="T29" s="964" t="s">
        <v>1391</v>
      </c>
      <c r="U29" s="965">
        <f t="shared" si="13"/>
        <v>100</v>
      </c>
      <c r="V29" s="964" t="s">
        <v>1391</v>
      </c>
      <c r="W29" s="965">
        <f t="shared" si="14"/>
        <v>100</v>
      </c>
      <c r="X29" s="951"/>
      <c r="Y29" s="916"/>
      <c r="Z29" s="937">
        <f t="shared" si="15"/>
        <v>111</v>
      </c>
      <c r="AA29" s="980">
        <f t="shared" si="3"/>
        <v>1</v>
      </c>
      <c r="AB29" s="980">
        <f t="shared" si="4"/>
        <v>1</v>
      </c>
      <c r="AC29" s="980">
        <f t="shared" si="5"/>
        <v>1</v>
      </c>
    </row>
    <row r="30" ht="15.5" spans="1:29">
      <c r="A30" s="764"/>
      <c r="B30" s="1261">
        <v>111</v>
      </c>
      <c r="C30" s="772"/>
      <c r="D30" s="773">
        <v>100</v>
      </c>
      <c r="E30" s="772"/>
      <c r="F30" s="1142">
        <f>SUMIF(96:96,E30,97:97)-SUMIF(96:96,C30,97:97)+100</f>
        <v>100</v>
      </c>
      <c r="G30" s="772"/>
      <c r="H30" s="773">
        <f>SUMIF(96:96,G30,97:97)-SUMIF(96:96,C30,97:97)+100</f>
        <v>100</v>
      </c>
      <c r="I30" s="772"/>
      <c r="J30" s="773">
        <f>SUMIF(96:96,I30,97:97)-SUMIF(96:96,C30,97:97)+100</f>
        <v>100</v>
      </c>
      <c r="K30" s="920"/>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5"/>
        <v>111</v>
      </c>
      <c r="AA30" s="980">
        <f t="shared" si="3"/>
        <v>1</v>
      </c>
      <c r="AB30" s="980">
        <f t="shared" si="4"/>
        <v>1</v>
      </c>
      <c r="AC30" s="980">
        <f t="shared" si="5"/>
        <v>1</v>
      </c>
    </row>
    <row r="31" ht="16.25" spans="1:29">
      <c r="A31" s="774"/>
      <c r="B31" s="1261">
        <v>111</v>
      </c>
      <c r="C31" s="776"/>
      <c r="D31" s="777">
        <v>100</v>
      </c>
      <c r="E31" s="772"/>
      <c r="F31" s="1242">
        <f>SUMIF(98:98,E31,99:99)-SUMIF(98:98,C31,99:99)+100</f>
        <v>100</v>
      </c>
      <c r="G31" s="772"/>
      <c r="H31" s="777">
        <f>SUMIF(98:98,G31,99:99)-SUMIF(98:98,C31,99:99)+100</f>
        <v>100</v>
      </c>
      <c r="I31" s="772"/>
      <c r="J31" s="777">
        <f>SUMIF(98:98,I31,99:99)-SUMIF(98:98,C31,99:99)+100</f>
        <v>100</v>
      </c>
      <c r="K31" s="920"/>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5"/>
        <v>111</v>
      </c>
      <c r="AA31" s="980">
        <f t="shared" si="3"/>
        <v>1</v>
      </c>
      <c r="AB31" s="980">
        <f t="shared" si="4"/>
        <v>1</v>
      </c>
      <c r="AC31" s="980">
        <f t="shared" si="5"/>
        <v>1</v>
      </c>
    </row>
    <row r="32" ht="15.5" spans="1:29">
      <c r="A32" s="778" t="s">
        <v>1417</v>
      </c>
      <c r="B32" s="757" t="s">
        <v>2164</v>
      </c>
      <c r="C32" s="1346"/>
      <c r="D32" s="814">
        <v>100</v>
      </c>
      <c r="E32" s="1346"/>
      <c r="F32" s="1142">
        <f>SUMIF(100:100,E32,101:101)-SUMIF(100:100,C32,101:101)+100</f>
        <v>100</v>
      </c>
      <c r="G32" s="1346"/>
      <c r="H32" s="773">
        <f>SUMIF(100:100,G32,101:101)-SUMIF(100:100,C32,101:101)+100</f>
        <v>100</v>
      </c>
      <c r="I32" s="1346"/>
      <c r="J32" s="814">
        <f>SUMIF(100:100,I32,101:101)-SUMIF(100:100,C32,101:101)+100</f>
        <v>100</v>
      </c>
      <c r="K32" s="921"/>
      <c r="L32" s="913"/>
      <c r="M32" s="897"/>
      <c r="N32" s="897"/>
      <c r="O32" s="897"/>
      <c r="P32" s="1321" t="s">
        <v>1416</v>
      </c>
      <c r="Q32" s="863" t="str">
        <f t="shared" si="11"/>
        <v>商业类型</v>
      </c>
      <c r="R32" s="964" t="s">
        <v>1391</v>
      </c>
      <c r="S32" s="965">
        <f t="shared" si="12"/>
        <v>100</v>
      </c>
      <c r="T32" s="964" t="s">
        <v>1391</v>
      </c>
      <c r="U32" s="965">
        <f t="shared" si="13"/>
        <v>100</v>
      </c>
      <c r="V32" s="964" t="s">
        <v>1391</v>
      </c>
      <c r="W32" s="965">
        <f t="shared" si="14"/>
        <v>100</v>
      </c>
      <c r="X32" s="951"/>
      <c r="Y32" s="925" t="s">
        <v>1416</v>
      </c>
      <c r="Z32" s="937" t="str">
        <f t="shared" si="15"/>
        <v>商业类型</v>
      </c>
      <c r="AA32" s="980">
        <f t="shared" si="3"/>
        <v>1</v>
      </c>
      <c r="AB32" s="980">
        <f t="shared" si="4"/>
        <v>1</v>
      </c>
      <c r="AC32" s="980">
        <f t="shared" si="5"/>
        <v>1</v>
      </c>
    </row>
    <row r="33" s="713" customFormat="1" ht="15.5" spans="1:29">
      <c r="A33" s="820"/>
      <c r="B33" s="761" t="s">
        <v>2118</v>
      </c>
      <c r="C33" s="1159"/>
      <c r="D33" s="763">
        <v>100</v>
      </c>
      <c r="E33" s="766"/>
      <c r="F33" s="122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2"/>
      <c r="Q33" s="1205" t="str">
        <f t="shared" si="11"/>
        <v>项目建筑规模</v>
      </c>
      <c r="R33" s="966" t="s">
        <v>1391</v>
      </c>
      <c r="S33" s="967" t="e">
        <f t="shared" si="12"/>
        <v>#N/A</v>
      </c>
      <c r="T33" s="966" t="s">
        <v>1391</v>
      </c>
      <c r="U33" s="967" t="e">
        <f t="shared" si="13"/>
        <v>#N/A</v>
      </c>
      <c r="V33" s="966" t="s">
        <v>1391</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2119</v>
      </c>
      <c r="C34" s="1347"/>
      <c r="D34" s="773">
        <v>100</v>
      </c>
      <c r="E34" s="1347"/>
      <c r="F34" s="1142">
        <f>SUMIF(105:105,E34,106:106)-SUMIF(105:105,C34,106:106)+100</f>
        <v>100</v>
      </c>
      <c r="G34" s="1347"/>
      <c r="H34" s="773">
        <f>SUMIF(105:105,G34,106:106)-SUMIF(105:105,C34,106:106)+100</f>
        <v>100</v>
      </c>
      <c r="I34" s="1347"/>
      <c r="J34" s="773">
        <f>SUMIF(105:105,I34,106:106)-SUMIF(105:105,C34,106:106)+100</f>
        <v>100</v>
      </c>
      <c r="K34" s="921"/>
      <c r="L34" s="913"/>
      <c r="M34" s="897"/>
      <c r="N34" s="897"/>
      <c r="O34" s="897"/>
      <c r="P34" s="1322"/>
      <c r="Q34" s="863" t="str">
        <f t="shared" si="11"/>
        <v>建筑结构</v>
      </c>
      <c r="R34" s="964" t="s">
        <v>1391</v>
      </c>
      <c r="S34" s="965">
        <f t="shared" si="12"/>
        <v>100</v>
      </c>
      <c r="T34" s="964" t="s">
        <v>1391</v>
      </c>
      <c r="U34" s="965">
        <f t="shared" si="13"/>
        <v>100</v>
      </c>
      <c r="V34" s="964" t="s">
        <v>1391</v>
      </c>
      <c r="W34" s="965">
        <f t="shared" si="14"/>
        <v>100</v>
      </c>
      <c r="X34" s="951"/>
      <c r="Y34" s="925"/>
      <c r="Z34" s="937" t="str">
        <f t="shared" si="15"/>
        <v>建筑结构</v>
      </c>
      <c r="AA34" s="980">
        <f t="shared" si="3"/>
        <v>1</v>
      </c>
      <c r="AB34" s="980">
        <f t="shared" si="4"/>
        <v>1</v>
      </c>
      <c r="AC34" s="980">
        <f t="shared" si="5"/>
        <v>1</v>
      </c>
    </row>
    <row r="35" ht="15.5" spans="1:29">
      <c r="A35" s="815"/>
      <c r="B35" s="761" t="s">
        <v>2123</v>
      </c>
      <c r="C35" s="816"/>
      <c r="D35" s="773">
        <v>100</v>
      </c>
      <c r="E35" s="816"/>
      <c r="F35" s="1142">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2"/>
      <c r="Q35" s="863" t="str">
        <f t="shared" si="11"/>
        <v>公共部分装修</v>
      </c>
      <c r="R35" s="964" t="s">
        <v>1391</v>
      </c>
      <c r="S35" s="965">
        <f t="shared" si="12"/>
        <v>100</v>
      </c>
      <c r="T35" s="964" t="s">
        <v>1391</v>
      </c>
      <c r="U35" s="965">
        <f t="shared" si="13"/>
        <v>100</v>
      </c>
      <c r="V35" s="964" t="s">
        <v>1391</v>
      </c>
      <c r="W35" s="965">
        <f t="shared" si="14"/>
        <v>100</v>
      </c>
      <c r="X35" s="951"/>
      <c r="Y35" s="925"/>
      <c r="Z35" s="937" t="str">
        <f t="shared" si="15"/>
        <v>公共部分装修</v>
      </c>
      <c r="AA35" s="980">
        <f t="shared" si="3"/>
        <v>1</v>
      </c>
      <c r="AB35" s="980">
        <f t="shared" si="4"/>
        <v>1</v>
      </c>
      <c r="AC35" s="980">
        <f t="shared" si="5"/>
        <v>1</v>
      </c>
    </row>
    <row r="36" ht="15.5" spans="1:29">
      <c r="A36" s="815"/>
      <c r="B36" s="761" t="s">
        <v>637</v>
      </c>
      <c r="C36" s="1156"/>
      <c r="D36" s="773">
        <v>100</v>
      </c>
      <c r="E36" s="1156"/>
      <c r="F36" s="1142" t="e">
        <f>LOOKUP(E36,110:110,111:111)-LOOKUP(C36,110:110,111:111)+100</f>
        <v>#N/A</v>
      </c>
      <c r="G36" s="1156"/>
      <c r="H36" s="1142" t="e">
        <f>LOOKUP(G36,110:110,111:111)-LOOKUP(C36,110:110,111:111)+100</f>
        <v>#N/A</v>
      </c>
      <c r="I36" s="1156"/>
      <c r="J36" s="773" t="e">
        <f>LOOKUP(I36,110:110,111:111)-LOOKUP(C36,110:110,111:111)+100</f>
        <v>#N/A</v>
      </c>
      <c r="K36" s="921"/>
      <c r="L36" s="913"/>
      <c r="M36" s="897"/>
      <c r="N36" s="897"/>
      <c r="O36" s="897"/>
      <c r="P36" s="1322"/>
      <c r="Q36" s="863" t="str">
        <f t="shared" si="11"/>
        <v>成新度</v>
      </c>
      <c r="R36" s="964" t="s">
        <v>1391</v>
      </c>
      <c r="S36" s="965" t="e">
        <f t="shared" si="12"/>
        <v>#N/A</v>
      </c>
      <c r="T36" s="964" t="s">
        <v>1391</v>
      </c>
      <c r="U36" s="965" t="e">
        <f t="shared" si="13"/>
        <v>#N/A</v>
      </c>
      <c r="V36" s="964" t="s">
        <v>1391</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2125</v>
      </c>
      <c r="C37" s="816"/>
      <c r="D37" s="763">
        <v>100</v>
      </c>
      <c r="E37" s="816"/>
      <c r="F37" s="1142">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2"/>
      <c r="Q37" s="963" t="str">
        <f t="shared" si="11"/>
        <v>市政基础设施</v>
      </c>
      <c r="R37" s="959" t="s">
        <v>1391</v>
      </c>
      <c r="S37" s="960">
        <f t="shared" si="12"/>
        <v>100</v>
      </c>
      <c r="T37" s="959" t="s">
        <v>1391</v>
      </c>
      <c r="U37" s="960">
        <f t="shared" si="13"/>
        <v>100</v>
      </c>
      <c r="V37" s="959" t="s">
        <v>1391</v>
      </c>
      <c r="W37" s="960">
        <f t="shared" si="14"/>
        <v>100</v>
      </c>
      <c r="X37" s="961"/>
      <c r="Y37" s="925"/>
      <c r="Z37" s="979" t="str">
        <f t="shared" si="15"/>
        <v>市政基础设施</v>
      </c>
      <c r="AA37" s="978">
        <f t="shared" si="3"/>
        <v>1</v>
      </c>
      <c r="AB37" s="978">
        <f t="shared" si="4"/>
        <v>1</v>
      </c>
      <c r="AC37" s="978">
        <f t="shared" si="5"/>
        <v>1</v>
      </c>
    </row>
    <row r="38" ht="15.5" spans="1:29">
      <c r="A38" s="815"/>
      <c r="B38" s="761" t="s">
        <v>2165</v>
      </c>
      <c r="C38" s="816"/>
      <c r="D38" s="773">
        <v>100</v>
      </c>
      <c r="E38" s="816"/>
      <c r="F38" s="1142">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2" t="s">
        <v>1416</v>
      </c>
      <c r="Q38" s="863" t="str">
        <f t="shared" si="11"/>
        <v>业态</v>
      </c>
      <c r="R38" s="964" t="s">
        <v>1391</v>
      </c>
      <c r="S38" s="965">
        <f t="shared" si="12"/>
        <v>100</v>
      </c>
      <c r="T38" s="964" t="s">
        <v>1391</v>
      </c>
      <c r="U38" s="965">
        <f t="shared" si="13"/>
        <v>100</v>
      </c>
      <c r="V38" s="964" t="s">
        <v>1391</v>
      </c>
      <c r="W38" s="965">
        <f t="shared" si="14"/>
        <v>100</v>
      </c>
      <c r="X38" s="951"/>
      <c r="Y38" s="925" t="s">
        <v>1416</v>
      </c>
      <c r="Z38" s="937" t="str">
        <f t="shared" si="15"/>
        <v>业态</v>
      </c>
      <c r="AA38" s="980">
        <f t="shared" si="3"/>
        <v>1</v>
      </c>
      <c r="AB38" s="980">
        <f t="shared" si="4"/>
        <v>1</v>
      </c>
      <c r="AC38" s="980">
        <f t="shared" si="5"/>
        <v>1</v>
      </c>
    </row>
    <row r="39" ht="15.5" spans="1:29">
      <c r="A39" s="815"/>
      <c r="B39" s="761" t="s">
        <v>2166</v>
      </c>
      <c r="C39" s="816"/>
      <c r="D39" s="773">
        <v>100</v>
      </c>
      <c r="E39" s="816"/>
      <c r="F39" s="1142">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2"/>
      <c r="Q39" s="863" t="str">
        <f t="shared" si="11"/>
        <v>层高</v>
      </c>
      <c r="R39" s="964" t="s">
        <v>1391</v>
      </c>
      <c r="S39" s="965">
        <f t="shared" si="12"/>
        <v>100</v>
      </c>
      <c r="T39" s="964" t="s">
        <v>1391</v>
      </c>
      <c r="U39" s="965">
        <f t="shared" si="13"/>
        <v>100</v>
      </c>
      <c r="V39" s="964" t="s">
        <v>1391</v>
      </c>
      <c r="W39" s="965">
        <f t="shared" si="14"/>
        <v>100</v>
      </c>
      <c r="X39" s="951"/>
      <c r="Y39" s="925"/>
      <c r="Z39" s="937" t="str">
        <f t="shared" si="15"/>
        <v>层高</v>
      </c>
      <c r="AA39" s="980">
        <f t="shared" si="3"/>
        <v>1</v>
      </c>
      <c r="AB39" s="980">
        <f t="shared" si="4"/>
        <v>1</v>
      </c>
      <c r="AC39" s="980">
        <f t="shared" si="5"/>
        <v>1</v>
      </c>
    </row>
    <row r="40" ht="15.5" spans="1:29">
      <c r="A40" s="815"/>
      <c r="B40" s="761" t="s">
        <v>2167</v>
      </c>
      <c r="C40" s="1348"/>
      <c r="D40" s="773">
        <v>100</v>
      </c>
      <c r="E40" s="1349"/>
      <c r="F40" s="1142">
        <f>SUMIF(118:118,E40,119:119)-SUMIF(118:118,C40,119:119)+100</f>
        <v>100</v>
      </c>
      <c r="G40" s="1349"/>
      <c r="H40" s="773">
        <f>SUMIF(118:118,G40,119:119)-SUMIF(118:118,C40,119:119)+100</f>
        <v>100</v>
      </c>
      <c r="I40" s="1349"/>
      <c r="J40" s="773">
        <f>SUMIF(118:118,I40,119:119)-SUMIF(118:118,C40,119:119)+100</f>
        <v>100</v>
      </c>
      <c r="K40" s="920"/>
      <c r="L40" s="913"/>
      <c r="M40" s="897"/>
      <c r="N40" s="897"/>
      <c r="O40" s="897"/>
      <c r="P40" s="1322"/>
      <c r="Q40" s="863" t="str">
        <f t="shared" si="11"/>
        <v>单套建筑面积</v>
      </c>
      <c r="R40" s="964" t="s">
        <v>1391</v>
      </c>
      <c r="S40" s="965">
        <f t="shared" si="12"/>
        <v>100</v>
      </c>
      <c r="T40" s="964" t="s">
        <v>1391</v>
      </c>
      <c r="U40" s="965">
        <f t="shared" si="13"/>
        <v>100</v>
      </c>
      <c r="V40" s="964" t="s">
        <v>1391</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2168</v>
      </c>
      <c r="C41" s="798"/>
      <c r="D41" s="773">
        <v>100</v>
      </c>
      <c r="E41" s="798"/>
      <c r="F41" s="1142">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2"/>
      <c r="Q41" s="1205" t="str">
        <f t="shared" si="11"/>
        <v>进深比</v>
      </c>
      <c r="R41" s="966" t="s">
        <v>1391</v>
      </c>
      <c r="S41" s="967">
        <f t="shared" si="12"/>
        <v>100</v>
      </c>
      <c r="T41" s="966" t="s">
        <v>1391</v>
      </c>
      <c r="U41" s="967">
        <f t="shared" si="13"/>
        <v>100</v>
      </c>
      <c r="V41" s="966" t="s">
        <v>1391</v>
      </c>
      <c r="W41" s="967">
        <f t="shared" si="14"/>
        <v>100</v>
      </c>
      <c r="X41" s="968"/>
      <c r="Y41" s="925"/>
      <c r="Z41" s="981" t="str">
        <f t="shared" si="15"/>
        <v>进深比</v>
      </c>
      <c r="AA41" s="980">
        <f t="shared" si="3"/>
        <v>1</v>
      </c>
      <c r="AB41" s="980">
        <f t="shared" si="4"/>
        <v>1</v>
      </c>
      <c r="AC41" s="980">
        <f t="shared" si="5"/>
        <v>1</v>
      </c>
    </row>
    <row r="42" ht="15.5" spans="1:29">
      <c r="A42" s="815"/>
      <c r="B42" s="761" t="s">
        <v>2128</v>
      </c>
      <c r="C42" s="816"/>
      <c r="D42" s="773">
        <v>100</v>
      </c>
      <c r="E42" s="816"/>
      <c r="F42" s="1142">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2"/>
      <c r="Q42" s="863" t="str">
        <f t="shared" si="11"/>
        <v>内部装修</v>
      </c>
      <c r="R42" s="964" t="s">
        <v>1391</v>
      </c>
      <c r="S42" s="965">
        <f t="shared" si="12"/>
        <v>100</v>
      </c>
      <c r="T42" s="964" t="s">
        <v>1391</v>
      </c>
      <c r="U42" s="965">
        <f t="shared" si="13"/>
        <v>100</v>
      </c>
      <c r="V42" s="964" t="s">
        <v>1391</v>
      </c>
      <c r="W42" s="965">
        <f t="shared" si="14"/>
        <v>100</v>
      </c>
      <c r="X42" s="951"/>
      <c r="Y42" s="925"/>
      <c r="Z42" s="937" t="str">
        <f t="shared" si="15"/>
        <v>内部装修</v>
      </c>
      <c r="AA42" s="980">
        <f t="shared" si="3"/>
        <v>1</v>
      </c>
      <c r="AB42" s="980">
        <f t="shared" si="4"/>
        <v>1</v>
      </c>
      <c r="AC42" s="980">
        <f t="shared" si="5"/>
        <v>1</v>
      </c>
    </row>
    <row r="43" ht="28" spans="1:29">
      <c r="A43" s="815"/>
      <c r="B43" s="761" t="s">
        <v>2131</v>
      </c>
      <c r="C43" s="816"/>
      <c r="D43" s="773">
        <v>100</v>
      </c>
      <c r="E43" s="816"/>
      <c r="F43" s="1142">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2"/>
      <c r="Q43" s="863" t="str">
        <f t="shared" si="11"/>
        <v>内部装修维护情况</v>
      </c>
      <c r="R43" s="964" t="s">
        <v>1391</v>
      </c>
      <c r="S43" s="965">
        <f t="shared" si="12"/>
        <v>100</v>
      </c>
      <c r="T43" s="964" t="s">
        <v>1391</v>
      </c>
      <c r="U43" s="965">
        <f t="shared" si="13"/>
        <v>100</v>
      </c>
      <c r="V43" s="964" t="s">
        <v>1391</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261">
        <v>111</v>
      </c>
      <c r="C44" s="1159"/>
      <c r="D44" s="763">
        <v>100</v>
      </c>
      <c r="E44" s="772"/>
      <c r="F44" s="122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2"/>
      <c r="Q44" s="963">
        <f t="shared" si="11"/>
        <v>111</v>
      </c>
      <c r="R44" s="959" t="s">
        <v>1391</v>
      </c>
      <c r="S44" s="960">
        <f t="shared" si="12"/>
        <v>100</v>
      </c>
      <c r="T44" s="959" t="s">
        <v>1391</v>
      </c>
      <c r="U44" s="960">
        <f t="shared" si="13"/>
        <v>100</v>
      </c>
      <c r="V44" s="959" t="s">
        <v>1391</v>
      </c>
      <c r="W44" s="960">
        <f t="shared" si="14"/>
        <v>100</v>
      </c>
      <c r="X44" s="961"/>
      <c r="Y44" s="925"/>
      <c r="Z44" s="979">
        <f t="shared" si="15"/>
        <v>111</v>
      </c>
      <c r="AA44" s="978">
        <f t="shared" si="3"/>
        <v>1</v>
      </c>
      <c r="AB44" s="978">
        <f t="shared" si="4"/>
        <v>1</v>
      </c>
      <c r="AC44" s="978">
        <f t="shared" si="5"/>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2"/>
      <c r="Q45" s="863">
        <f t="shared" si="11"/>
        <v>111</v>
      </c>
      <c r="R45" s="964" t="s">
        <v>1391</v>
      </c>
      <c r="S45" s="965">
        <f t="shared" si="12"/>
        <v>100</v>
      </c>
      <c r="T45" s="964" t="s">
        <v>1391</v>
      </c>
      <c r="U45" s="965">
        <f t="shared" si="13"/>
        <v>100</v>
      </c>
      <c r="V45" s="964" t="s">
        <v>1391</v>
      </c>
      <c r="W45" s="965">
        <f t="shared" si="14"/>
        <v>100</v>
      </c>
      <c r="X45" s="951"/>
      <c r="Y45" s="925"/>
      <c r="Z45" s="937">
        <f t="shared" si="15"/>
        <v>111</v>
      </c>
      <c r="AA45" s="980">
        <f t="shared" si="3"/>
        <v>1</v>
      </c>
      <c r="AB45" s="980">
        <f t="shared" si="4"/>
        <v>1</v>
      </c>
      <c r="AC45" s="980">
        <f t="shared" si="5"/>
        <v>1</v>
      </c>
    </row>
    <row r="46" ht="16.25" spans="1:29">
      <c r="A46" s="1241"/>
      <c r="B46" s="775">
        <v>111</v>
      </c>
      <c r="C46" s="776"/>
      <c r="D46" s="777">
        <v>100</v>
      </c>
      <c r="E46" s="772"/>
      <c r="F46" s="1242">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23"/>
      <c r="Q46" s="863">
        <f t="shared" si="11"/>
        <v>111</v>
      </c>
      <c r="R46" s="964" t="s">
        <v>1391</v>
      </c>
      <c r="S46" s="965">
        <f t="shared" si="12"/>
        <v>100</v>
      </c>
      <c r="T46" s="964" t="s">
        <v>1391</v>
      </c>
      <c r="U46" s="965">
        <f t="shared" si="13"/>
        <v>100</v>
      </c>
      <c r="V46" s="964" t="s">
        <v>1391</v>
      </c>
      <c r="W46" s="965">
        <f t="shared" si="14"/>
        <v>100</v>
      </c>
      <c r="X46" s="951"/>
      <c r="Y46" s="1279"/>
      <c r="Z46" s="937">
        <f t="shared" si="15"/>
        <v>111</v>
      </c>
      <c r="AA46" s="980">
        <f t="shared" si="3"/>
        <v>1</v>
      </c>
      <c r="AB46" s="980">
        <f t="shared" si="4"/>
        <v>1</v>
      </c>
      <c r="AC46" s="980">
        <f t="shared" si="5"/>
        <v>1</v>
      </c>
    </row>
    <row r="47" spans="1:29">
      <c r="A47" s="822" t="s">
        <v>2132</v>
      </c>
      <c r="B47" s="1243"/>
      <c r="C47" s="1162" t="s">
        <v>124</v>
      </c>
      <c r="D47" s="1163"/>
      <c r="E47" s="1164"/>
      <c r="F47" s="1165"/>
      <c r="G47" s="1166"/>
      <c r="H47" s="1167"/>
      <c r="I47" s="1164"/>
      <c r="J47" s="1167"/>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1427</v>
      </c>
      <c r="B48" s="1168"/>
      <c r="C48" s="1169" t="e">
        <f>R49</f>
        <v>#DIV/0!</v>
      </c>
      <c r="D48" s="833" t="s">
        <v>1428</v>
      </c>
      <c r="E48" s="1170" t="e">
        <f>R48</f>
        <v>#DIV/0!</v>
      </c>
      <c r="F48" s="834"/>
      <c r="G48" s="1169" t="e">
        <f>T48</f>
        <v>#DIV/0!</v>
      </c>
      <c r="H48" s="834"/>
      <c r="I48" s="1170"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2133</v>
      </c>
      <c r="B49" s="837"/>
      <c r="C49" s="1171" t="e">
        <f>R49</f>
        <v>#DIV/0!</v>
      </c>
      <c r="D49" s="1171"/>
      <c r="E49" s="1171"/>
      <c r="F49" s="1171"/>
      <c r="G49" s="1171"/>
      <c r="H49" s="1171"/>
      <c r="I49" s="1171"/>
      <c r="J49" s="1171"/>
      <c r="K49" s="931"/>
      <c r="L49" s="929"/>
      <c r="M49" s="839"/>
      <c r="N49" s="897"/>
      <c r="O49" s="839"/>
      <c r="P49" s="932" t="str">
        <f>A49</f>
        <v>估价对象XX用房的比较价值（楼面单价，元/平方米）</v>
      </c>
      <c r="Q49" s="970"/>
      <c r="R49" s="1295" t="e">
        <f>IF(F1="售价",ROUND(IF(D48="简单平均",AVERAGE(R48:V48),R48*F48+T48*H48+V48*J48),0),ROUND(IF(D48="简单平均",AVERAGE(R48:V48),R48*F48+T48*H48+V48*J48),1))</f>
        <v>#DIV/0!</v>
      </c>
      <c r="S49" s="1295"/>
      <c r="T49" s="1295"/>
      <c r="U49" s="1295"/>
      <c r="V49" s="1295"/>
      <c r="W49" s="1295"/>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2"/>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2"/>
      <c r="Q51" s="839"/>
      <c r="R51" s="839"/>
      <c r="S51" s="839"/>
      <c r="T51" s="839"/>
      <c r="U51" s="839"/>
      <c r="V51" s="839"/>
      <c r="W51" s="839"/>
      <c r="X51" s="839"/>
      <c r="Y51" s="839"/>
      <c r="Z51" s="839"/>
      <c r="AA51" s="839"/>
      <c r="AB51" s="839"/>
      <c r="AC51" s="839"/>
    </row>
    <row r="52" ht="13.5" customHeight="1" spans="1:29">
      <c r="A52" s="839"/>
      <c r="B52" s="839"/>
      <c r="C52" s="841" t="s">
        <v>1430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2"/>
      <c r="Q52" s="839"/>
      <c r="R52" s="839"/>
      <c r="S52" s="839"/>
      <c r="T52" s="839"/>
      <c r="U52" s="839"/>
      <c r="V52" s="839"/>
      <c r="W52" s="839"/>
      <c r="X52" s="839"/>
      <c r="Y52" s="839"/>
      <c r="Z52" s="839"/>
      <c r="AA52" s="839"/>
      <c r="AB52" s="839"/>
      <c r="AC52" s="839"/>
    </row>
    <row r="53" ht="13.5" customHeight="1" spans="1:29">
      <c r="A53" s="839"/>
      <c r="B53" s="839"/>
      <c r="C53" s="841" t="s">
        <v>1431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2"/>
      <c r="Q53" s="839"/>
      <c r="R53" s="839"/>
      <c r="S53" s="839"/>
      <c r="T53" s="839"/>
      <c r="U53" s="839"/>
      <c r="V53" s="839"/>
      <c r="W53" s="839"/>
      <c r="X53" s="839"/>
      <c r="Y53" s="839"/>
      <c r="Z53" s="839"/>
      <c r="AA53" s="839"/>
      <c r="AB53" s="839"/>
      <c r="AC53" s="839"/>
    </row>
    <row r="54" s="714" customFormat="1" ht="13.5" customHeight="1" spans="1:29">
      <c r="A54" s="846"/>
      <c r="B54" s="846"/>
      <c r="C54" s="841" t="s">
        <v>1432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53"/>
      <c r="Q54" s="846"/>
      <c r="R54" s="846"/>
      <c r="S54" s="846"/>
      <c r="T54" s="846"/>
      <c r="U54" s="846"/>
      <c r="V54" s="846"/>
      <c r="W54" s="846"/>
      <c r="X54" s="846"/>
      <c r="Y54" s="846"/>
      <c r="Z54" s="846"/>
      <c r="AA54" s="846"/>
      <c r="AB54" s="846"/>
      <c r="AC54" s="846"/>
    </row>
    <row r="55" s="714" customFormat="1" spans="1:29">
      <c r="A55" s="846"/>
      <c r="B55" s="847"/>
      <c r="C55" s="1172"/>
      <c r="D55" s="846"/>
      <c r="E55" s="846"/>
      <c r="F55" s="846"/>
      <c r="G55" s="846"/>
      <c r="H55" s="846"/>
      <c r="I55" s="846"/>
      <c r="J55" s="846"/>
      <c r="K55" s="935"/>
      <c r="L55" s="936"/>
      <c r="M55" s="846"/>
      <c r="N55" s="846"/>
      <c r="O55" s="846"/>
      <c r="P55" s="1353"/>
      <c r="Q55" s="846"/>
      <c r="R55" s="846"/>
      <c r="S55" s="846"/>
      <c r="T55" s="846"/>
      <c r="U55" s="846"/>
      <c r="V55" s="846"/>
      <c r="W55" s="846"/>
      <c r="X55" s="846"/>
      <c r="Y55" s="846"/>
      <c r="Z55" s="846"/>
      <c r="AA55" s="846"/>
      <c r="AB55" s="846"/>
      <c r="AC55" s="846"/>
    </row>
    <row r="56" spans="1:29">
      <c r="A56" s="839"/>
      <c r="B56" s="847"/>
      <c r="C56" s="1172"/>
      <c r="D56" s="839"/>
      <c r="E56" s="839"/>
      <c r="F56" s="839"/>
      <c r="G56" s="839"/>
      <c r="H56" s="839"/>
      <c r="I56" s="839"/>
      <c r="J56" s="839"/>
      <c r="K56" s="933"/>
      <c r="L56" s="934"/>
      <c r="M56" s="839"/>
      <c r="N56" s="839"/>
      <c r="O56" s="839"/>
      <c r="P56" s="1352"/>
      <c r="Q56" s="839"/>
      <c r="R56" s="839"/>
      <c r="S56" s="839"/>
      <c r="T56" s="839"/>
      <c r="U56" s="839"/>
      <c r="V56" s="839"/>
      <c r="W56" s="839"/>
      <c r="X56" s="839"/>
      <c r="Y56" s="839"/>
      <c r="Z56" s="839"/>
      <c r="AA56" s="839"/>
      <c r="AB56" s="839"/>
      <c r="AC56" s="839"/>
    </row>
    <row r="57" ht="21.75" spans="1:29">
      <c r="A57" s="884" t="s">
        <v>1456</v>
      </c>
      <c r="B57" s="885"/>
      <c r="C57" s="886"/>
      <c r="D57" s="886"/>
      <c r="E57" s="886"/>
      <c r="F57" s="887"/>
      <c r="G57" s="887"/>
      <c r="H57" s="886"/>
      <c r="I57" s="886"/>
      <c r="J57" s="886"/>
      <c r="K57" s="944"/>
      <c r="L57" s="1195"/>
      <c r="M57" s="946"/>
      <c r="N57" s="946"/>
      <c r="O57" s="946"/>
      <c r="P57" s="1354"/>
      <c r="Q57" s="972"/>
      <c r="R57" s="839"/>
      <c r="S57" s="839"/>
      <c r="T57" s="839"/>
      <c r="U57" s="839"/>
      <c r="V57" s="839"/>
      <c r="W57" s="839"/>
      <c r="X57" s="839"/>
      <c r="Y57" s="839"/>
      <c r="Z57" s="839"/>
      <c r="AA57" s="839"/>
      <c r="AB57" s="839"/>
      <c r="AC57" s="839"/>
    </row>
    <row r="58" s="716" customFormat="1" spans="1:29">
      <c r="A58" s="1175" t="s">
        <v>1389</v>
      </c>
      <c r="B58" s="1176"/>
      <c r="C58" s="1177" t="str">
        <f>YEAR(C7)&amp;"-"&amp;MONTH(C7)</f>
        <v>2024-12</v>
      </c>
      <c r="D58" s="1178">
        <f>EDATE(C58,-1)</f>
        <v>45597</v>
      </c>
      <c r="E58" s="1178">
        <f t="shared" ref="E58:O58" si="16">EDATE(D58,-1)</f>
        <v>45566</v>
      </c>
      <c r="F58" s="1178">
        <f t="shared" si="16"/>
        <v>45536</v>
      </c>
      <c r="G58" s="1178">
        <f t="shared" si="16"/>
        <v>45505</v>
      </c>
      <c r="H58" s="1178">
        <f t="shared" si="16"/>
        <v>45474</v>
      </c>
      <c r="I58" s="1178">
        <f t="shared" si="16"/>
        <v>45444</v>
      </c>
      <c r="J58" s="1178">
        <f t="shared" si="16"/>
        <v>45413</v>
      </c>
      <c r="K58" s="1178">
        <f t="shared" si="16"/>
        <v>45383</v>
      </c>
      <c r="L58" s="1178">
        <f t="shared" si="16"/>
        <v>45352</v>
      </c>
      <c r="M58" s="1178">
        <f t="shared" si="16"/>
        <v>45323</v>
      </c>
      <c r="N58" s="1178">
        <f t="shared" si="16"/>
        <v>45292</v>
      </c>
      <c r="O58" s="1178">
        <f t="shared" si="16"/>
        <v>45261</v>
      </c>
      <c r="P58" s="1355"/>
      <c r="Q58" s="1094"/>
      <c r="R58" s="1094"/>
      <c r="S58" s="1094"/>
      <c r="T58" s="1094"/>
      <c r="U58" s="1094"/>
      <c r="V58" s="1094"/>
      <c r="W58" s="1094"/>
      <c r="X58" s="1094"/>
      <c r="Y58" s="1094"/>
      <c r="Z58" s="1094"/>
      <c r="AA58" s="1094"/>
      <c r="AB58" s="1094"/>
      <c r="AC58" s="1094"/>
    </row>
    <row r="59" s="711" customFormat="1" spans="1:29">
      <c r="A59" s="1179"/>
      <c r="B59" s="995"/>
      <c r="C59" s="1244">
        <v>100</v>
      </c>
      <c r="D59" s="999"/>
      <c r="E59" s="999"/>
      <c r="F59" s="999"/>
      <c r="G59" s="999"/>
      <c r="H59" s="999"/>
      <c r="I59" s="999"/>
      <c r="J59" s="999"/>
      <c r="K59" s="999"/>
      <c r="L59" s="999"/>
      <c r="M59" s="1198"/>
      <c r="N59" s="999"/>
      <c r="O59" s="1198"/>
      <c r="P59" s="1356"/>
      <c r="Q59" s="1095"/>
      <c r="R59" s="1095"/>
      <c r="S59" s="1095"/>
      <c r="T59" s="1095"/>
      <c r="U59" s="1095"/>
      <c r="V59" s="1095"/>
      <c r="W59" s="1095"/>
      <c r="X59" s="1095"/>
      <c r="Y59" s="1095"/>
      <c r="Z59" s="1095"/>
      <c r="AA59" s="1095"/>
      <c r="AB59" s="1095"/>
      <c r="AC59" s="1095"/>
    </row>
    <row r="60" s="711" customFormat="1" ht="14.75" spans="1:29">
      <c r="A60" s="990" t="s">
        <v>1459</v>
      </c>
      <c r="B60" s="991"/>
      <c r="C60" s="992"/>
      <c r="D60" s="993"/>
      <c r="E60" s="993"/>
      <c r="F60" s="993"/>
      <c r="G60" s="993"/>
      <c r="H60" s="993"/>
      <c r="I60" s="993"/>
      <c r="J60" s="993"/>
      <c r="K60" s="993"/>
      <c r="L60" s="993"/>
      <c r="M60" s="1041"/>
      <c r="N60" s="993"/>
      <c r="O60" s="1041"/>
      <c r="P60" s="1356"/>
      <c r="Q60" s="972"/>
      <c r="R60" s="1095"/>
      <c r="S60" s="1095"/>
      <c r="T60" s="1095"/>
      <c r="U60" s="1095"/>
      <c r="V60" s="1095"/>
      <c r="W60" s="1095"/>
      <c r="X60" s="1095"/>
      <c r="Y60" s="1095"/>
      <c r="Z60" s="1095"/>
      <c r="AA60" s="1095"/>
      <c r="AB60" s="1095"/>
      <c r="AC60" s="1095"/>
    </row>
    <row r="61" s="711" customFormat="1" spans="1:29">
      <c r="A61" s="994" t="s">
        <v>1392</v>
      </c>
      <c r="B61" s="995"/>
      <c r="C61" s="996" t="s">
        <v>1393</v>
      </c>
      <c r="D61" s="997"/>
      <c r="E61" s="997"/>
      <c r="F61" s="997"/>
      <c r="G61" s="997"/>
      <c r="H61" s="997"/>
      <c r="I61" s="997"/>
      <c r="J61" s="997"/>
      <c r="K61" s="997"/>
      <c r="L61" s="1043"/>
      <c r="M61" s="1044"/>
      <c r="N61" s="1045"/>
      <c r="O61" s="1045"/>
      <c r="P61" s="1357"/>
      <c r="Q61" s="972"/>
      <c r="R61" s="1095"/>
      <c r="S61" s="1095"/>
      <c r="T61" s="1095"/>
      <c r="U61" s="1095"/>
      <c r="V61" s="1095"/>
      <c r="W61" s="1095"/>
      <c r="X61" s="1095"/>
      <c r="Y61" s="1095"/>
      <c r="Z61" s="1095"/>
      <c r="AA61" s="1095"/>
      <c r="AB61" s="1095"/>
      <c r="AC61" s="1095"/>
    </row>
    <row r="62" s="711" customFormat="1" ht="14.75" spans="1:29">
      <c r="A62" s="994"/>
      <c r="B62" s="995"/>
      <c r="C62" s="1314">
        <v>100</v>
      </c>
      <c r="D62" s="999"/>
      <c r="E62" s="999"/>
      <c r="F62" s="999"/>
      <c r="G62" s="999"/>
      <c r="H62" s="999"/>
      <c r="I62" s="999"/>
      <c r="J62" s="999"/>
      <c r="K62" s="999"/>
      <c r="L62" s="999"/>
      <c r="M62" s="1047"/>
      <c r="N62" s="1045"/>
      <c r="O62" s="1045"/>
      <c r="P62" s="1356"/>
      <c r="Q62" s="972"/>
      <c r="R62" s="1095"/>
      <c r="S62" s="1095"/>
      <c r="T62" s="1095"/>
      <c r="U62" s="1095"/>
      <c r="V62" s="1095"/>
      <c r="W62" s="1095"/>
      <c r="X62" s="1095"/>
      <c r="Y62" s="1095"/>
      <c r="Z62" s="1095"/>
      <c r="AA62" s="1095"/>
      <c r="AB62" s="1095"/>
      <c r="AC62" s="1095"/>
    </row>
    <row r="63" spans="1:29">
      <c r="A63" s="1000" t="s">
        <v>1460</v>
      </c>
      <c r="B63" s="1001" t="s">
        <v>1397</v>
      </c>
      <c r="C63" s="1023">
        <f>C9</f>
        <v>0</v>
      </c>
      <c r="D63" s="926"/>
      <c r="E63" s="926"/>
      <c r="F63" s="926"/>
      <c r="G63" s="926"/>
      <c r="H63" s="926"/>
      <c r="I63" s="926"/>
      <c r="J63" s="926"/>
      <c r="K63" s="1048"/>
      <c r="L63" s="1049"/>
      <c r="M63" s="1050"/>
      <c r="N63" s="1051"/>
      <c r="O63" s="1051"/>
      <c r="P63" s="1358"/>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58"/>
      <c r="Q64" s="972"/>
      <c r="R64" s="839"/>
      <c r="S64" s="839"/>
      <c r="T64" s="839"/>
      <c r="U64" s="839"/>
      <c r="V64" s="839"/>
      <c r="W64" s="839"/>
      <c r="X64" s="839"/>
      <c r="Y64" s="839"/>
      <c r="Z64" s="839"/>
      <c r="AA64" s="839"/>
      <c r="AB64" s="839"/>
      <c r="AC64" s="839"/>
    </row>
    <row r="65" ht="28.75" spans="1:29">
      <c r="A65" s="1002"/>
      <c r="B65" s="1005" t="s">
        <v>1400</v>
      </c>
      <c r="C65" s="1030"/>
      <c r="D65" s="1030"/>
      <c r="E65" s="1030"/>
      <c r="F65" s="1030"/>
      <c r="G65" s="1030"/>
      <c r="H65" s="1030"/>
      <c r="I65" s="1030"/>
      <c r="J65" s="1030"/>
      <c r="K65" s="1081"/>
      <c r="L65" s="1082"/>
      <c r="M65" s="1083"/>
      <c r="N65" s="1051"/>
      <c r="O65" s="1051"/>
      <c r="P65" s="1358"/>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58"/>
      <c r="Q66" s="972"/>
      <c r="R66" s="839"/>
      <c r="S66" s="839"/>
      <c r="T66" s="839"/>
      <c r="U66" s="839"/>
      <c r="V66" s="839"/>
      <c r="W66" s="839"/>
      <c r="X66" s="839"/>
      <c r="Y66" s="839"/>
      <c r="Z66" s="839"/>
      <c r="AA66" s="839"/>
      <c r="AB66" s="839"/>
      <c r="AC66" s="839"/>
    </row>
    <row r="67" ht="14.75" spans="1:29">
      <c r="A67" s="1002"/>
      <c r="B67" s="1009" t="s">
        <v>1401</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8"/>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58"/>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8"/>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63"/>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63"/>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64"/>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63"/>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65"/>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63"/>
      <c r="Q75" s="1096"/>
      <c r="R75" s="1097"/>
      <c r="S75" s="1097"/>
      <c r="T75" s="1097"/>
      <c r="U75" s="1097"/>
      <c r="V75" s="1097"/>
      <c r="W75" s="1097"/>
      <c r="X75" s="1097"/>
      <c r="Y75" s="1097"/>
      <c r="Z75" s="1097"/>
      <c r="AA75" s="1097"/>
      <c r="AB75" s="1097"/>
      <c r="AC75" s="1097"/>
    </row>
    <row r="76" spans="1:29">
      <c r="A76" s="1000" t="s">
        <v>1403</v>
      </c>
      <c r="B76" s="1001" t="s">
        <v>1404</v>
      </c>
      <c r="C76" s="1022" t="s">
        <v>1271</v>
      </c>
      <c r="D76" s="1022" t="s">
        <v>1272</v>
      </c>
      <c r="E76" s="1022" t="s">
        <v>1273</v>
      </c>
      <c r="F76" s="1022" t="s">
        <v>1274</v>
      </c>
      <c r="G76" s="1022" t="s">
        <v>1275</v>
      </c>
      <c r="H76" s="1023"/>
      <c r="I76" s="1023"/>
      <c r="J76" s="1023"/>
      <c r="K76" s="1071"/>
      <c r="L76" s="1072"/>
      <c r="M76" s="1073"/>
      <c r="N76" s="1051"/>
      <c r="O76" s="1051"/>
      <c r="P76" s="1366"/>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8"/>
      <c r="Q77" s="972"/>
      <c r="R77" s="839"/>
      <c r="S77" s="839"/>
      <c r="T77" s="839"/>
      <c r="U77" s="839"/>
      <c r="V77" s="839"/>
      <c r="W77" s="839"/>
      <c r="X77" s="839"/>
      <c r="Y77" s="839"/>
      <c r="Z77" s="839"/>
      <c r="AA77" s="839"/>
      <c r="AB77" s="839"/>
      <c r="AC77" s="839"/>
    </row>
    <row r="78" ht="14.75" spans="1:29">
      <c r="A78" s="1002"/>
      <c r="B78" s="1005" t="s">
        <v>1408</v>
      </c>
      <c r="C78" s="1024" t="s">
        <v>1271</v>
      </c>
      <c r="D78" s="1024" t="s">
        <v>1272</v>
      </c>
      <c r="E78" s="1024" t="s">
        <v>1273</v>
      </c>
      <c r="F78" s="1024" t="s">
        <v>1274</v>
      </c>
      <c r="G78" s="1024" t="s">
        <v>1275</v>
      </c>
      <c r="H78" s="1006"/>
      <c r="I78" s="1006"/>
      <c r="J78" s="1006"/>
      <c r="K78" s="1055"/>
      <c r="L78" s="1056"/>
      <c r="M78" s="1057"/>
      <c r="N78" s="1051"/>
      <c r="O78" s="1051"/>
      <c r="P78" s="1358"/>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8"/>
      <c r="Q79" s="972"/>
      <c r="R79" s="839"/>
      <c r="S79" s="839"/>
      <c r="T79" s="839"/>
      <c r="U79" s="839"/>
      <c r="V79" s="839"/>
      <c r="W79" s="839"/>
      <c r="X79" s="839"/>
      <c r="Y79" s="839"/>
      <c r="Z79" s="839"/>
      <c r="AA79" s="839"/>
      <c r="AB79" s="839"/>
      <c r="AC79" s="839"/>
    </row>
    <row r="80" ht="14.75" spans="1:29">
      <c r="A80" s="1002"/>
      <c r="B80" s="1005" t="s">
        <v>1411</v>
      </c>
      <c r="C80" s="1024" t="s">
        <v>1271</v>
      </c>
      <c r="D80" s="1024" t="s">
        <v>1272</v>
      </c>
      <c r="E80" s="1024" t="s">
        <v>1273</v>
      </c>
      <c r="F80" s="1024" t="s">
        <v>1274</v>
      </c>
      <c r="G80" s="1024" t="s">
        <v>1275</v>
      </c>
      <c r="H80" s="1006"/>
      <c r="I80" s="1006"/>
      <c r="J80" s="1006"/>
      <c r="K80" s="1055"/>
      <c r="L80" s="1056"/>
      <c r="M80" s="1057"/>
      <c r="N80" s="1051"/>
      <c r="O80" s="1051"/>
      <c r="P80" s="1358"/>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8"/>
      <c r="Q81" s="972"/>
      <c r="R81" s="839"/>
      <c r="S81" s="839"/>
      <c r="T81" s="839"/>
      <c r="U81" s="839"/>
      <c r="V81" s="839"/>
      <c r="W81" s="839"/>
      <c r="X81" s="839"/>
      <c r="Y81" s="839"/>
      <c r="Z81" s="839"/>
      <c r="AA81" s="839"/>
      <c r="AB81" s="839"/>
      <c r="AC81" s="839"/>
    </row>
    <row r="82" ht="14.75" spans="1:29">
      <c r="A82" s="1002"/>
      <c r="B82" s="1009" t="s">
        <v>1412</v>
      </c>
      <c r="C82" s="1029" t="s">
        <v>1463</v>
      </c>
      <c r="D82" s="1029" t="s">
        <v>1464</v>
      </c>
      <c r="E82" s="1029" t="s">
        <v>1465</v>
      </c>
      <c r="F82" s="1029" t="s">
        <v>1466</v>
      </c>
      <c r="G82" s="1029" t="s">
        <v>1467</v>
      </c>
      <c r="H82" s="1006"/>
      <c r="I82" s="1006"/>
      <c r="J82" s="1006"/>
      <c r="K82" s="1006"/>
      <c r="L82" s="1006"/>
      <c r="M82" s="1212"/>
      <c r="N82" s="1054"/>
      <c r="O82" s="1054"/>
      <c r="P82" s="1358"/>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8"/>
      <c r="Q83" s="972"/>
      <c r="R83" s="839"/>
      <c r="S83" s="839"/>
      <c r="T83" s="839"/>
      <c r="U83" s="839"/>
      <c r="V83" s="839"/>
      <c r="W83" s="839"/>
      <c r="X83" s="839"/>
      <c r="Y83" s="839"/>
      <c r="Z83" s="839"/>
      <c r="AA83" s="839"/>
      <c r="AB83" s="839"/>
      <c r="AC83" s="839"/>
    </row>
    <row r="84" ht="14.75" spans="1:29">
      <c r="A84" s="1002"/>
      <c r="B84" s="1005" t="s">
        <v>2112</v>
      </c>
      <c r="C84" s="1024" t="s">
        <v>1271</v>
      </c>
      <c r="D84" s="1024" t="s">
        <v>1272</v>
      </c>
      <c r="E84" s="1024" t="s">
        <v>1273</v>
      </c>
      <c r="F84" s="1024" t="s">
        <v>1274</v>
      </c>
      <c r="G84" s="1024" t="s">
        <v>1275</v>
      </c>
      <c r="H84" s="1006"/>
      <c r="I84" s="1006"/>
      <c r="J84" s="1006"/>
      <c r="K84" s="1055"/>
      <c r="L84" s="1056"/>
      <c r="M84" s="1057"/>
      <c r="N84" s="1051"/>
      <c r="O84" s="1051"/>
      <c r="P84" s="1358"/>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8"/>
      <c r="Q85" s="972"/>
      <c r="R85" s="839"/>
      <c r="S85" s="839"/>
      <c r="T85" s="839"/>
      <c r="U85" s="839"/>
      <c r="V85" s="839"/>
      <c r="W85" s="839"/>
      <c r="X85" s="839"/>
      <c r="Y85" s="839"/>
      <c r="Z85" s="839"/>
      <c r="AA85" s="839"/>
      <c r="AB85" s="839"/>
      <c r="AC85" s="839"/>
    </row>
    <row r="86" s="711" customFormat="1" ht="14.75" spans="1:29">
      <c r="A86" s="1025"/>
      <c r="B86" s="1005" t="s">
        <v>1413</v>
      </c>
      <c r="C86" s="1013"/>
      <c r="D86" s="1013"/>
      <c r="E86" s="1013"/>
      <c r="F86" s="1013"/>
      <c r="G86" s="1013"/>
      <c r="H86" s="1013"/>
      <c r="I86" s="1013"/>
      <c r="J86" s="1013"/>
      <c r="K86" s="1013"/>
      <c r="L86" s="1213"/>
      <c r="M86" s="1214"/>
      <c r="N86" s="1045"/>
      <c r="O86" s="1045"/>
      <c r="P86" s="1358"/>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8"/>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37"/>
      <c r="G88" s="1013"/>
      <c r="H88" s="1013"/>
      <c r="I88" s="1013"/>
      <c r="J88" s="1013"/>
      <c r="K88" s="1013"/>
      <c r="L88" s="1013"/>
      <c r="M88" s="1214"/>
      <c r="N88" s="1045"/>
      <c r="O88" s="1045"/>
      <c r="P88" s="1358"/>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58"/>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63"/>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63"/>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13"/>
      <c r="M92" s="1214"/>
      <c r="N92" s="1051"/>
      <c r="O92" s="1051"/>
      <c r="P92" s="1358"/>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58"/>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58"/>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58"/>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58"/>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58"/>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58"/>
      <c r="Q98" s="972"/>
      <c r="R98" s="839"/>
      <c r="S98" s="839"/>
      <c r="T98" s="839"/>
      <c r="U98" s="839"/>
      <c r="V98" s="839"/>
      <c r="W98" s="839"/>
      <c r="X98" s="839"/>
      <c r="Y98" s="839"/>
      <c r="Z98" s="839"/>
      <c r="AA98" s="839"/>
      <c r="AB98" s="839"/>
      <c r="AC98" s="839"/>
    </row>
    <row r="99" ht="14.75" spans="1:29">
      <c r="A99" s="1297"/>
      <c r="B99" s="1019"/>
      <c r="C99" s="1020"/>
      <c r="D99" s="1020"/>
      <c r="E99" s="1020"/>
      <c r="F99" s="1020"/>
      <c r="G99" s="1032"/>
      <c r="H99" s="1032"/>
      <c r="I99" s="1032"/>
      <c r="J99" s="1032"/>
      <c r="K99" s="1032"/>
      <c r="L99" s="1032"/>
      <c r="M99" s="1087"/>
      <c r="N99" s="1054"/>
      <c r="O99" s="1054"/>
      <c r="P99" s="1358"/>
      <c r="Q99" s="972"/>
      <c r="R99" s="839"/>
      <c r="S99" s="839"/>
      <c r="T99" s="839"/>
      <c r="U99" s="839"/>
      <c r="V99" s="839"/>
      <c r="W99" s="839"/>
      <c r="X99" s="839"/>
      <c r="Y99" s="839"/>
      <c r="Z99" s="839"/>
      <c r="AA99" s="839"/>
      <c r="AB99" s="839"/>
      <c r="AC99" s="839"/>
    </row>
    <row r="100" spans="1:29">
      <c r="A100" s="1000" t="s">
        <v>1417</v>
      </c>
      <c r="B100" s="1001" t="s">
        <v>2164</v>
      </c>
      <c r="C100" s="926"/>
      <c r="D100" s="926"/>
      <c r="E100" s="926"/>
      <c r="F100" s="926"/>
      <c r="G100" s="926"/>
      <c r="H100" s="926"/>
      <c r="I100" s="926"/>
      <c r="J100" s="926"/>
      <c r="K100" s="1048"/>
      <c r="L100" s="1049"/>
      <c r="M100" s="1050"/>
      <c r="N100" s="1051"/>
      <c r="O100" s="1051"/>
      <c r="P100" s="1358"/>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8"/>
      <c r="Q101" s="972"/>
      <c r="R101" s="839"/>
      <c r="S101" s="839"/>
      <c r="T101" s="839"/>
      <c r="U101" s="839"/>
      <c r="V101" s="839"/>
      <c r="W101" s="839"/>
      <c r="X101" s="839"/>
      <c r="Y101" s="839"/>
      <c r="Z101" s="839"/>
      <c r="AA101" s="839"/>
      <c r="AB101" s="839"/>
      <c r="AC101" s="839"/>
    </row>
    <row r="102" ht="14.75" spans="1:29">
      <c r="A102" s="1002"/>
      <c r="B102" s="1005" t="s">
        <v>2118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8"/>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63"/>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63"/>
      <c r="Q104" s="1096"/>
      <c r="R104" s="1097"/>
      <c r="S104" s="1097"/>
      <c r="T104" s="1097"/>
      <c r="U104" s="1097"/>
      <c r="V104" s="1097"/>
      <c r="W104" s="1097"/>
      <c r="X104" s="1097"/>
      <c r="Y104" s="1097"/>
      <c r="Z104" s="1097"/>
      <c r="AA104" s="1097"/>
      <c r="AB104" s="1097"/>
      <c r="AC104" s="1097"/>
    </row>
    <row r="105" ht="14.75" spans="1:29">
      <c r="A105" s="1036"/>
      <c r="B105" s="1005" t="s">
        <v>2119</v>
      </c>
      <c r="C105" s="1013"/>
      <c r="D105" s="1013"/>
      <c r="E105" s="1030"/>
      <c r="F105" s="1030"/>
      <c r="G105" s="1030"/>
      <c r="H105" s="1030"/>
      <c r="I105" s="1030"/>
      <c r="J105" s="1030"/>
      <c r="K105" s="1081"/>
      <c r="L105" s="1082"/>
      <c r="M105" s="1083"/>
      <c r="N105" s="1051"/>
      <c r="O105" s="1051"/>
      <c r="P105" s="1358"/>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8"/>
      <c r="Q106" s="972"/>
      <c r="R106" s="839"/>
      <c r="S106" s="839"/>
      <c r="T106" s="839"/>
      <c r="U106" s="839"/>
      <c r="V106" s="839"/>
      <c r="W106" s="839"/>
      <c r="X106" s="839"/>
      <c r="Y106" s="839"/>
      <c r="Z106" s="839"/>
      <c r="AA106" s="839"/>
      <c r="AB106" s="839"/>
      <c r="AC106" s="839"/>
    </row>
    <row r="107" ht="14.75" spans="1:29">
      <c r="A107" s="1036"/>
      <c r="B107" s="1005" t="s">
        <v>2123</v>
      </c>
      <c r="C107" s="1013"/>
      <c r="D107" s="1013"/>
      <c r="E107" s="1013"/>
      <c r="F107" s="1030"/>
      <c r="G107" s="1030"/>
      <c r="H107" s="1030"/>
      <c r="I107" s="1030"/>
      <c r="J107" s="1030"/>
      <c r="K107" s="1081"/>
      <c r="L107" s="1082"/>
      <c r="M107" s="1083"/>
      <c r="N107" s="1051"/>
      <c r="O107" s="1051"/>
      <c r="P107" s="1358"/>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8"/>
      <c r="Q108" s="972"/>
      <c r="R108" s="839"/>
      <c r="S108" s="839"/>
      <c r="T108" s="839"/>
      <c r="U108" s="839"/>
      <c r="V108" s="839"/>
      <c r="W108" s="839"/>
      <c r="X108" s="839"/>
      <c r="Y108" s="839"/>
      <c r="Z108" s="839"/>
      <c r="AA108" s="839"/>
      <c r="AB108" s="839"/>
      <c r="AC108" s="839"/>
    </row>
    <row r="109" ht="14.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8"/>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18"/>
      <c r="J110" s="1218"/>
      <c r="K110" s="1219"/>
      <c r="L110" s="1220"/>
      <c r="M110" s="1221"/>
      <c r="N110" s="1051"/>
      <c r="O110" s="1051"/>
      <c r="P110" s="1358"/>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8"/>
      <c r="Q111" s="972"/>
      <c r="R111" s="839"/>
      <c r="S111" s="839"/>
      <c r="T111" s="839"/>
      <c r="U111" s="839"/>
      <c r="V111" s="839"/>
      <c r="W111" s="839"/>
      <c r="X111" s="839"/>
      <c r="Y111" s="839"/>
      <c r="Z111" s="839"/>
      <c r="AA111" s="839"/>
      <c r="AB111" s="839"/>
      <c r="AC111" s="839"/>
    </row>
    <row r="112" s="713" customFormat="1" ht="14.75" spans="1:29">
      <c r="A112" s="1033"/>
      <c r="B112" s="1005" t="s">
        <v>2125</v>
      </c>
      <c r="C112" s="1013"/>
      <c r="D112" s="1013"/>
      <c r="E112" s="1013"/>
      <c r="F112" s="1013"/>
      <c r="G112" s="1013"/>
      <c r="H112" s="1030"/>
      <c r="I112" s="1030"/>
      <c r="J112" s="1030"/>
      <c r="K112" s="1081"/>
      <c r="L112" s="1082"/>
      <c r="M112" s="1083"/>
      <c r="N112" s="1064"/>
      <c r="O112" s="1064"/>
      <c r="P112" s="1363"/>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63"/>
      <c r="Q113" s="1096"/>
      <c r="R113" s="1097"/>
      <c r="S113" s="1097"/>
      <c r="T113" s="1097"/>
      <c r="U113" s="1097"/>
      <c r="V113" s="1097"/>
      <c r="W113" s="1097"/>
      <c r="X113" s="1097"/>
      <c r="Y113" s="1097"/>
      <c r="Z113" s="1097"/>
      <c r="AA113" s="1097"/>
      <c r="AB113" s="1097"/>
      <c r="AC113" s="1097"/>
    </row>
    <row r="114" ht="14.75" spans="1:29">
      <c r="A114" s="1036"/>
      <c r="B114" s="1005" t="s">
        <v>2165</v>
      </c>
      <c r="C114" s="1013"/>
      <c r="D114" s="1013"/>
      <c r="E114" s="1030"/>
      <c r="F114" s="1030"/>
      <c r="G114" s="1030"/>
      <c r="H114" s="1030"/>
      <c r="I114" s="1030"/>
      <c r="J114" s="1030"/>
      <c r="K114" s="1081"/>
      <c r="L114" s="1082"/>
      <c r="M114" s="1083"/>
      <c r="N114" s="1051"/>
      <c r="O114" s="1051"/>
      <c r="P114" s="1358"/>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8"/>
      <c r="Q115" s="972"/>
      <c r="R115" s="839"/>
      <c r="S115" s="839"/>
      <c r="T115" s="839"/>
      <c r="U115" s="839"/>
      <c r="V115" s="839"/>
      <c r="W115" s="839"/>
      <c r="X115" s="839"/>
      <c r="Y115" s="839"/>
      <c r="Z115" s="839"/>
      <c r="AA115" s="839"/>
      <c r="AB115" s="839"/>
      <c r="AC115" s="839"/>
    </row>
    <row r="116" ht="14.75" spans="1:29">
      <c r="A116" s="1036"/>
      <c r="B116" s="1005" t="s">
        <v>2166</v>
      </c>
      <c r="C116" s="1013"/>
      <c r="D116" s="1013"/>
      <c r="E116" s="1013"/>
      <c r="F116" s="1013"/>
      <c r="G116" s="1013"/>
      <c r="H116" s="1030"/>
      <c r="I116" s="1030"/>
      <c r="J116" s="1030"/>
      <c r="K116" s="1081"/>
      <c r="L116" s="1082"/>
      <c r="M116" s="1083"/>
      <c r="N116" s="1051"/>
      <c r="O116" s="1051"/>
      <c r="P116" s="1358"/>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8"/>
      <c r="Q117" s="972"/>
      <c r="R117" s="839"/>
      <c r="S117" s="839"/>
      <c r="T117" s="839"/>
      <c r="U117" s="839"/>
      <c r="V117" s="839"/>
      <c r="W117" s="839"/>
      <c r="X117" s="839"/>
      <c r="Y117" s="839"/>
      <c r="Z117" s="839"/>
      <c r="AA117" s="839"/>
      <c r="AB117" s="839"/>
      <c r="AC117" s="839"/>
    </row>
    <row r="118" ht="14.75" spans="1:29">
      <c r="A118" s="1036"/>
      <c r="B118" s="1005" t="s">
        <v>2167</v>
      </c>
      <c r="C118" s="1362"/>
      <c r="D118" s="1362"/>
      <c r="E118" s="1362"/>
      <c r="F118" s="1362"/>
      <c r="G118" s="1362"/>
      <c r="H118" s="1014"/>
      <c r="I118" s="1014"/>
      <c r="J118" s="1014"/>
      <c r="K118" s="1014"/>
      <c r="L118" s="1062"/>
      <c r="M118" s="1063"/>
      <c r="N118" s="1051"/>
      <c r="O118" s="1051"/>
      <c r="P118" s="1358"/>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58"/>
      <c r="Q119" s="972"/>
      <c r="R119" s="839"/>
      <c r="S119" s="839"/>
      <c r="T119" s="839"/>
      <c r="U119" s="839"/>
      <c r="V119" s="839"/>
      <c r="W119" s="839"/>
      <c r="X119" s="839"/>
      <c r="Y119" s="839"/>
      <c r="Z119" s="839"/>
      <c r="AA119" s="839"/>
      <c r="AB119" s="839"/>
      <c r="AC119" s="839"/>
    </row>
    <row r="120" s="713" customFormat="1" ht="14.75" spans="1:29">
      <c r="A120" s="1033"/>
      <c r="B120" s="1005" t="s">
        <v>2169</v>
      </c>
      <c r="C120" s="1030"/>
      <c r="D120" s="1030"/>
      <c r="E120" s="1030"/>
      <c r="F120" s="1030"/>
      <c r="G120" s="1014"/>
      <c r="H120" s="1014"/>
      <c r="I120" s="1014"/>
      <c r="J120" s="1014"/>
      <c r="K120" s="1014"/>
      <c r="L120" s="1062"/>
      <c r="M120" s="1063"/>
      <c r="N120" s="1064"/>
      <c r="O120" s="1064"/>
      <c r="P120" s="1363"/>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63"/>
      <c r="Q121" s="1096"/>
      <c r="R121" s="1097"/>
      <c r="S121" s="1097"/>
      <c r="T121" s="1097"/>
      <c r="U121" s="1097"/>
      <c r="V121" s="1097"/>
      <c r="W121" s="1097"/>
      <c r="X121" s="1097"/>
      <c r="Y121" s="1097"/>
      <c r="Z121" s="1097"/>
      <c r="AA121" s="1097"/>
      <c r="AB121" s="1097"/>
      <c r="AC121" s="1097"/>
    </row>
    <row r="122" ht="14.75" spans="1:29">
      <c r="A122" s="1036"/>
      <c r="B122" s="1005" t="s">
        <v>2128</v>
      </c>
      <c r="C122" s="1013"/>
      <c r="D122" s="1013"/>
      <c r="E122" s="1013"/>
      <c r="F122" s="1030"/>
      <c r="G122" s="1030"/>
      <c r="H122" s="1030"/>
      <c r="I122" s="1030"/>
      <c r="J122" s="1030"/>
      <c r="K122" s="1081"/>
      <c r="L122" s="1082"/>
      <c r="M122" s="1083"/>
      <c r="N122" s="1051"/>
      <c r="O122" s="1051"/>
      <c r="P122" s="1358"/>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8"/>
      <c r="Q123" s="972"/>
      <c r="R123" s="839"/>
      <c r="S123" s="839"/>
      <c r="T123" s="839"/>
      <c r="U123" s="839"/>
      <c r="V123" s="839"/>
      <c r="W123" s="839"/>
      <c r="X123" s="839"/>
      <c r="Y123" s="839"/>
      <c r="Z123" s="839"/>
      <c r="AA123" s="839"/>
      <c r="AB123" s="839"/>
      <c r="AC123" s="839"/>
    </row>
    <row r="124" ht="28.75" spans="1:29">
      <c r="A124" s="1036"/>
      <c r="B124" s="1005" t="s">
        <v>2131</v>
      </c>
      <c r="C124" s="1024" t="s">
        <v>1271</v>
      </c>
      <c r="D124" s="1024" t="s">
        <v>1272</v>
      </c>
      <c r="E124" s="1024" t="s">
        <v>1273</v>
      </c>
      <c r="F124" s="1024" t="s">
        <v>1274</v>
      </c>
      <c r="G124" s="1024" t="s">
        <v>1275</v>
      </c>
      <c r="H124" s="1006"/>
      <c r="I124" s="1006"/>
      <c r="J124" s="1006"/>
      <c r="K124" s="1055"/>
      <c r="L124" s="1056"/>
      <c r="M124" s="1057"/>
      <c r="N124" s="1051"/>
      <c r="O124" s="1051"/>
      <c r="P124" s="1363"/>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8"/>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63"/>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63"/>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58"/>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58"/>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58"/>
      <c r="Q130" s="972"/>
      <c r="R130" s="839"/>
      <c r="S130" s="839"/>
      <c r="T130" s="839"/>
      <c r="U130" s="839"/>
      <c r="V130" s="839"/>
      <c r="W130" s="839"/>
      <c r="X130" s="839"/>
      <c r="Y130" s="839"/>
      <c r="Z130" s="839"/>
      <c r="AA130" s="839"/>
      <c r="AB130" s="839"/>
      <c r="AC130" s="839"/>
    </row>
    <row r="131" ht="14.75" spans="1:29">
      <c r="A131" s="1297"/>
      <c r="B131" s="1019"/>
      <c r="C131" s="1020"/>
      <c r="D131" s="1020"/>
      <c r="E131" s="1020"/>
      <c r="F131" s="1020"/>
      <c r="G131" s="1032"/>
      <c r="H131" s="1032"/>
      <c r="I131" s="1032"/>
      <c r="J131" s="1032"/>
      <c r="K131" s="1032"/>
      <c r="L131" s="1032"/>
      <c r="M131" s="1087"/>
      <c r="N131" s="1054"/>
      <c r="O131" s="1054"/>
      <c r="P131" s="1358"/>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255" t="s">
        <v>2170</v>
      </c>
      <c r="C1" s="1103" t="s">
        <v>2105</v>
      </c>
      <c r="D1" s="1104"/>
      <c r="E1" s="1105"/>
      <c r="F1" s="1106"/>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t="b">
        <f ca="1">IF(E1="项目模式",IF(C2="——",ROUND(C50*D3/10000,0),ROUND(C50*D3/10000,0)-D2),IF(E1="单套模式",IF(C2="——",ROUND(C50*D3/10000,4),ROUND(C50*D3/10000,4)-D2)))</f>
        <v>0</v>
      </c>
      <c r="C2" s="1111"/>
      <c r="D2" s="1304" t="e">
        <f ca="1">IF(E1="项目模式",SUMIF(INDIRECT("'"&amp;F2&amp;"'"&amp;"!A:A"),"承租人权益价值",INDIRECT("'"&amp;F2&amp;"'"&amp;"!c:c")),SUMIF(INDIRECT("'"&amp;F2&amp;"'"&amp;"!A:A"),"承租人权益价值（单套）",INDIRECT("'"&amp;F2&amp;"'"&amp;"!c:c")))</f>
        <v>#REF!</v>
      </c>
      <c r="E2" s="1113" t="s">
        <v>1004</v>
      </c>
      <c r="F2" s="1114"/>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f ca="1">IF(C2="——",C50,ROUND(B2*10000/D3,0))</f>
        <v>0</v>
      </c>
      <c r="C3" s="1115" t="s">
        <v>1108</v>
      </c>
      <c r="D3" s="1116">
        <f>IF(D1="",'数据-汇总表'!E3,SUMIF('数据-汇总表'!$C19:$C33,D1,'数据-汇总表'!$E19:$E33))</f>
        <v>68156.19</v>
      </c>
      <c r="E3" s="1305"/>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1379</v>
      </c>
      <c r="B4" s="731"/>
      <c r="C4" s="732" t="s">
        <v>1380</v>
      </c>
      <c r="D4" s="733"/>
      <c r="E4" s="734" t="s">
        <v>1381</v>
      </c>
      <c r="F4" s="735"/>
      <c r="G4" s="732" t="s">
        <v>1382</v>
      </c>
      <c r="H4" s="733"/>
      <c r="I4" s="732" t="s">
        <v>1383</v>
      </c>
      <c r="J4" s="733"/>
      <c r="K4" s="895" t="s">
        <v>1384</v>
      </c>
      <c r="L4" s="896"/>
      <c r="M4" s="897"/>
      <c r="N4" s="897"/>
      <c r="O4" s="897"/>
      <c r="P4" s="1315" t="s">
        <v>1385</v>
      </c>
      <c r="Q4" s="1325"/>
      <c r="R4" s="1326" t="s">
        <v>1381</v>
      </c>
      <c r="S4" s="1327"/>
      <c r="T4" s="1326" t="s">
        <v>1382</v>
      </c>
      <c r="U4" s="1327"/>
      <c r="V4" s="854" t="s">
        <v>1383</v>
      </c>
      <c r="W4" s="854"/>
      <c r="X4" s="1328"/>
      <c r="Y4" s="1326" t="s">
        <v>1385</v>
      </c>
      <c r="Z4" s="1327"/>
      <c r="AA4" s="1328" t="s">
        <v>1381</v>
      </c>
      <c r="AB4" s="1328" t="s">
        <v>1382</v>
      </c>
      <c r="AC4" s="1332" t="s">
        <v>1383</v>
      </c>
    </row>
    <row r="5" spans="1:29">
      <c r="A5" s="736"/>
      <c r="B5" s="737"/>
      <c r="C5" s="738" t="s">
        <v>1386</v>
      </c>
      <c r="D5" s="739"/>
      <c r="E5" s="740" t="s">
        <v>2158</v>
      </c>
      <c r="F5" s="741"/>
      <c r="G5" s="738" t="s">
        <v>2159</v>
      </c>
      <c r="H5" s="739"/>
      <c r="I5" s="738" t="s">
        <v>2160</v>
      </c>
      <c r="J5" s="739"/>
      <c r="K5" s="895"/>
      <c r="L5" s="896"/>
      <c r="M5" s="897"/>
      <c r="N5" s="897"/>
      <c r="O5" s="897"/>
      <c r="P5" s="1316"/>
      <c r="Q5" s="952"/>
      <c r="R5" s="953"/>
      <c r="S5" s="954"/>
      <c r="T5" s="953"/>
      <c r="U5" s="954"/>
      <c r="V5" s="937"/>
      <c r="W5" s="937"/>
      <c r="X5" s="951"/>
      <c r="Y5" s="953"/>
      <c r="Z5" s="954"/>
      <c r="AA5" s="951"/>
      <c r="AB5" s="951"/>
      <c r="AC5" s="1135"/>
    </row>
    <row r="6" ht="14.75" spans="1:29">
      <c r="A6" s="742"/>
      <c r="B6" s="743"/>
      <c r="C6" s="1118" t="s">
        <v>1387</v>
      </c>
      <c r="D6" s="1119"/>
      <c r="E6" s="1120" t="s">
        <v>1387</v>
      </c>
      <c r="F6" s="1121"/>
      <c r="G6" s="1118" t="s">
        <v>1387</v>
      </c>
      <c r="H6" s="1119"/>
      <c r="I6" s="1118" t="s">
        <v>1387</v>
      </c>
      <c r="J6" s="1119"/>
      <c r="K6" s="895" t="s">
        <v>1388</v>
      </c>
      <c r="L6" s="896"/>
      <c r="M6" s="897"/>
      <c r="N6" s="897"/>
      <c r="O6" s="897"/>
      <c r="P6" s="1317"/>
      <c r="Q6" s="955"/>
      <c r="R6" s="953"/>
      <c r="S6" s="954"/>
      <c r="T6" s="956"/>
      <c r="U6" s="957"/>
      <c r="V6" s="937"/>
      <c r="W6" s="937"/>
      <c r="X6" s="951"/>
      <c r="Y6" s="956"/>
      <c r="Z6" s="957"/>
      <c r="AA6" s="977"/>
      <c r="AB6" s="977"/>
      <c r="AC6" s="1333"/>
    </row>
    <row r="7" s="711" customFormat="1" ht="14.75" spans="1:29">
      <c r="A7" s="748" t="s">
        <v>1389</v>
      </c>
      <c r="B7" s="749"/>
      <c r="C7" s="750">
        <f>'数据-取费表'!B2</f>
        <v>45644</v>
      </c>
      <c r="D7" s="751">
        <v>100</v>
      </c>
      <c r="E7" s="752"/>
      <c r="F7" s="753">
        <f>SUMIF(59:59,YEAR(E7)&amp;"-"&amp;MONTH(E7),60:60)</f>
        <v>0</v>
      </c>
      <c r="G7" s="752"/>
      <c r="H7" s="751">
        <f>SUMIF(59:59,YEAR(G7)&amp;"-"&amp;MONTH(G7),60:60)</f>
        <v>0</v>
      </c>
      <c r="I7" s="752"/>
      <c r="J7" s="751">
        <f>SUMIF(59:59,YEAR(I7)&amp;"-"&amp;MONTH(I7),60:60)</f>
        <v>0</v>
      </c>
      <c r="K7" s="901"/>
      <c r="L7" s="902"/>
      <c r="M7" s="903"/>
      <c r="N7" s="903"/>
      <c r="O7" s="903"/>
      <c r="P7" s="1318"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1334" t="e">
        <f>D7/J7</f>
        <v>#DIV/0!</v>
      </c>
    </row>
    <row r="8" s="711" customFormat="1" ht="14.75" spans="1:29">
      <c r="A8" s="748" t="s">
        <v>1392</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8" t="s">
        <v>1395</v>
      </c>
      <c r="Q8" s="962"/>
      <c r="R8" s="959" t="s">
        <v>1391</v>
      </c>
      <c r="S8" s="960">
        <f t="shared" si="0"/>
        <v>100</v>
      </c>
      <c r="T8" s="959" t="s">
        <v>1391</v>
      </c>
      <c r="U8" s="960">
        <f t="shared" si="1"/>
        <v>100</v>
      </c>
      <c r="V8" s="959" t="s">
        <v>1391</v>
      </c>
      <c r="W8" s="960">
        <f t="shared" si="2"/>
        <v>100</v>
      </c>
      <c r="X8" s="961"/>
      <c r="Y8" s="904" t="s">
        <v>1395</v>
      </c>
      <c r="Z8" s="962"/>
      <c r="AA8" s="978">
        <f t="shared" ref="AA8:AA47" si="3">D8/F8</f>
        <v>1</v>
      </c>
      <c r="AB8" s="978">
        <f t="shared" ref="AB8:AB47" si="4">D8/H8</f>
        <v>1</v>
      </c>
      <c r="AC8" s="1334">
        <f t="shared" ref="AC8:AC47" si="5">D8/J8</f>
        <v>1</v>
      </c>
    </row>
    <row r="9" s="711" customFormat="1" spans="1:29">
      <c r="A9" s="756" t="s">
        <v>1396</v>
      </c>
      <c r="B9" s="757" t="s">
        <v>1397</v>
      </c>
      <c r="C9" s="1256"/>
      <c r="D9" s="759">
        <v>100</v>
      </c>
      <c r="E9" s="1125"/>
      <c r="F9" s="759">
        <f>SUMIF(64:64,E9,65:65)-SUMIF(64:64,C9,65:65)+100</f>
        <v>100</v>
      </c>
      <c r="G9" s="1257"/>
      <c r="H9" s="759">
        <f>SUMIF(64:64,G9,65:65)-SUMIF(64:64,C9,65:65)+100</f>
        <v>100</v>
      </c>
      <c r="I9" s="1257"/>
      <c r="J9" s="759">
        <f>SUMIF(64:64,I9,65:65)-SUMIF(64:64,C9,65:65)+100</f>
        <v>100</v>
      </c>
      <c r="K9" s="901"/>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1334">
        <f t="shared" si="5"/>
        <v>1</v>
      </c>
    </row>
    <row r="10" s="712" customFormat="1" ht="28" spans="1:29">
      <c r="A10" s="760"/>
      <c r="B10" s="761" t="s">
        <v>1400</v>
      </c>
      <c r="C10" s="1128"/>
      <c r="D10" s="763">
        <v>100</v>
      </c>
      <c r="E10" s="1128"/>
      <c r="F10" s="763">
        <f>SUMIF(66:66,E10,67:67)-SUMIF(66:66,C10,67:67)+100</f>
        <v>100</v>
      </c>
      <c r="G10" s="1129"/>
      <c r="H10" s="763">
        <f>SUMIF(66:66,G10,67:67)-SUMIF(66:66,C10,67:67)+100</f>
        <v>100</v>
      </c>
      <c r="I10" s="1128"/>
      <c r="J10" s="763">
        <f>SUMIF(66:66,I10,67:67)-SUMIF(66:66,C10,67:67)+100</f>
        <v>100</v>
      </c>
      <c r="K10" s="901"/>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1334">
        <f t="shared" si="5"/>
        <v>1</v>
      </c>
    </row>
    <row r="11" ht="15.5" spans="1:29">
      <c r="A11" s="764"/>
      <c r="B11" s="761" t="s">
        <v>1401</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1391</v>
      </c>
      <c r="S11" s="960">
        <f t="shared" si="0"/>
        <v>100</v>
      </c>
      <c r="T11" s="959" t="s">
        <v>1391</v>
      </c>
      <c r="U11" s="960">
        <f t="shared" si="1"/>
        <v>100</v>
      </c>
      <c r="V11" s="959" t="s">
        <v>1391</v>
      </c>
      <c r="W11" s="960">
        <f t="shared" si="2"/>
        <v>100</v>
      </c>
      <c r="X11" s="961"/>
      <c r="Y11" s="963"/>
      <c r="Z11" s="979" t="str">
        <f t="shared" si="7"/>
        <v>容积率</v>
      </c>
      <c r="AA11" s="978">
        <f t="shared" si="3"/>
        <v>1</v>
      </c>
      <c r="AB11" s="978">
        <f t="shared" si="4"/>
        <v>1</v>
      </c>
      <c r="AC11" s="1334">
        <f t="shared" si="5"/>
        <v>1</v>
      </c>
    </row>
    <row r="12" s="711" customFormat="1" ht="15.5" spans="1:29">
      <c r="A12" s="767"/>
      <c r="B12" s="768">
        <v>111</v>
      </c>
      <c r="C12" s="762"/>
      <c r="D12" s="769">
        <v>100</v>
      </c>
      <c r="E12" s="762"/>
      <c r="F12" s="763">
        <f>SUMIF(71:71,E12,72:72)-SUMIF(71:71,C12,72:72)+100</f>
        <v>100</v>
      </c>
      <c r="G12" s="1306"/>
      <c r="H12" s="763">
        <f>SUMIF(71:71,G12,72:72)-SUMIF(71:71,C12,72:72)+100</f>
        <v>100</v>
      </c>
      <c r="I12" s="762"/>
      <c r="J12" s="763">
        <f>SUMIF(71:71,I12,72:72)-SUMIF(71:71,C12,72:72)+100</f>
        <v>100</v>
      </c>
      <c r="K12" s="920"/>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1334">
        <f t="shared" si="5"/>
        <v>1</v>
      </c>
    </row>
    <row r="13" ht="15.5" spans="1:29">
      <c r="A13" s="764"/>
      <c r="B13" s="768">
        <v>111</v>
      </c>
      <c r="C13" s="772"/>
      <c r="D13" s="773">
        <v>100</v>
      </c>
      <c r="E13" s="762"/>
      <c r="F13" s="763">
        <f>SUMIF(73:73,E13,74:74)-SUMIF(73:73,C13,74:74)+100</f>
        <v>100</v>
      </c>
      <c r="G13" s="1306"/>
      <c r="H13" s="773">
        <f>SUMIF(73:73,G13,74:74)-SUMIF(73:73,C13,74:74)+100</f>
        <v>100</v>
      </c>
      <c r="I13" s="762"/>
      <c r="J13" s="773">
        <f>SUMIF(73:73,I13,74:74)-SUMIF(73:73,C13,74:74)+100</f>
        <v>100</v>
      </c>
      <c r="K13" s="920"/>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1334">
        <f t="shared" si="5"/>
        <v>1</v>
      </c>
    </row>
    <row r="14" ht="16.25" spans="1:29">
      <c r="A14" s="774"/>
      <c r="B14" s="775">
        <v>111</v>
      </c>
      <c r="C14" s="776"/>
      <c r="D14" s="777">
        <v>100</v>
      </c>
      <c r="E14" s="1146"/>
      <c r="F14" s="777">
        <f>SUMIF(75:75,E14,76:76)-SUMIF(75:75,C14,76:76)+100</f>
        <v>100</v>
      </c>
      <c r="G14" s="1306"/>
      <c r="H14" s="777">
        <f>SUMIF(75:75,G14,76:76)-SUMIF(75:75,C14,76:76)+100</f>
        <v>100</v>
      </c>
      <c r="I14" s="762"/>
      <c r="J14" s="777">
        <f>SUMIF(75:75,I14,76:76)-SUMIF(75:75,C14,76:76)+100</f>
        <v>100</v>
      </c>
      <c r="K14" s="920"/>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1334">
        <f t="shared" si="5"/>
        <v>1</v>
      </c>
    </row>
    <row r="15" ht="70" spans="1:29">
      <c r="A15" s="778" t="s">
        <v>1403</v>
      </c>
      <c r="B15" s="779" t="s">
        <v>1407</v>
      </c>
      <c r="C15" s="1307"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7"/>
      <c r="L15" s="913"/>
      <c r="M15" s="897"/>
      <c r="N15" s="897"/>
      <c r="O15" s="897"/>
      <c r="P15" s="1319" t="s">
        <v>1405</v>
      </c>
      <c r="Q15" s="863" t="str">
        <f t="shared" si="6"/>
        <v>办公集聚程度</v>
      </c>
      <c r="R15" s="964" t="s">
        <v>1391</v>
      </c>
      <c r="S15" s="965">
        <f t="shared" si="0"/>
        <v>100</v>
      </c>
      <c r="T15" s="964" t="s">
        <v>1391</v>
      </c>
      <c r="U15" s="965">
        <f t="shared" si="1"/>
        <v>100</v>
      </c>
      <c r="V15" s="964" t="s">
        <v>1391</v>
      </c>
      <c r="W15" s="965">
        <f t="shared" si="2"/>
        <v>100</v>
      </c>
      <c r="X15" s="951"/>
      <c r="Y15" s="915" t="s">
        <v>1405</v>
      </c>
      <c r="Z15" s="937" t="str">
        <f t="shared" si="7"/>
        <v>办公集聚程度</v>
      </c>
      <c r="AA15" s="980">
        <f t="shared" si="3"/>
        <v>1</v>
      </c>
      <c r="AB15" s="980">
        <f t="shared" si="4"/>
        <v>1</v>
      </c>
      <c r="AC15" s="1335">
        <f t="shared" si="5"/>
        <v>1</v>
      </c>
    </row>
    <row r="16" ht="15.5" spans="1:29">
      <c r="A16" s="764"/>
      <c r="B16" s="783"/>
      <c r="C16" s="786"/>
      <c r="D16" s="785"/>
      <c r="E16" s="784"/>
      <c r="F16" s="785"/>
      <c r="G16" s="786"/>
      <c r="H16" s="787"/>
      <c r="I16" s="784"/>
      <c r="J16" s="785"/>
      <c r="K16" s="1188"/>
      <c r="L16" s="913"/>
      <c r="M16" s="897"/>
      <c r="N16" s="897"/>
      <c r="O16" s="897"/>
      <c r="P16" s="1320"/>
      <c r="Q16" s="863"/>
      <c r="R16" s="964"/>
      <c r="S16" s="965"/>
      <c r="T16" s="964"/>
      <c r="U16" s="965"/>
      <c r="V16" s="964"/>
      <c r="W16" s="965"/>
      <c r="X16" s="951"/>
      <c r="Y16" s="916"/>
      <c r="Z16" s="937"/>
      <c r="AA16" s="980">
        <v>1</v>
      </c>
      <c r="AB16" s="980">
        <v>1</v>
      </c>
      <c r="AC16" s="1335">
        <v>1</v>
      </c>
    </row>
    <row r="17" ht="84" spans="1:29">
      <c r="A17" s="764"/>
      <c r="B17" s="788" t="s">
        <v>1408</v>
      </c>
      <c r="C17" s="1308"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7"/>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1335">
        <f t="shared" si="5"/>
        <v>1</v>
      </c>
    </row>
    <row r="18" ht="15.5" spans="1:29">
      <c r="A18" s="764"/>
      <c r="B18" s="792"/>
      <c r="C18" s="1309"/>
      <c r="D18" s="787"/>
      <c r="E18" s="1260"/>
      <c r="F18" s="787"/>
      <c r="G18" s="1259"/>
      <c r="H18" s="785"/>
      <c r="I18" s="1259"/>
      <c r="J18" s="785"/>
      <c r="K18" s="1188"/>
      <c r="L18" s="913"/>
      <c r="M18" s="897"/>
      <c r="N18" s="897"/>
      <c r="O18" s="897"/>
      <c r="P18" s="1320"/>
      <c r="Q18" s="863"/>
      <c r="R18" s="964"/>
      <c r="S18" s="965"/>
      <c r="T18" s="964"/>
      <c r="U18" s="965"/>
      <c r="V18" s="964"/>
      <c r="W18" s="965"/>
      <c r="X18" s="951"/>
      <c r="Y18" s="916"/>
      <c r="Z18" s="937"/>
      <c r="AA18" s="980">
        <v>1</v>
      </c>
      <c r="AB18" s="980">
        <v>1</v>
      </c>
      <c r="AC18" s="1335">
        <v>1</v>
      </c>
    </row>
    <row r="19" ht="42" spans="1:29">
      <c r="A19" s="764"/>
      <c r="B19" s="788" t="s">
        <v>1411</v>
      </c>
      <c r="C19" s="1308" t="str">
        <f>估价对象房地状况!C7</f>
        <v>估价对象所在区域公共配套设施齐备情况</v>
      </c>
      <c r="D19" s="791">
        <v>100</v>
      </c>
      <c r="E19" s="1139"/>
      <c r="F19" s="791">
        <f>SUMIF(81:81,E20,82:82)-SUMIF(81:81,C20,82:82)+100</f>
        <v>100</v>
      </c>
      <c r="G19" s="1137"/>
      <c r="H19" s="787">
        <f>SUMIF(81:81,G20,82:82)-SUMIF(81:81,C20,82:82)+100</f>
        <v>100</v>
      </c>
      <c r="I19" s="1137"/>
      <c r="J19" s="787">
        <f>SUMIF(81:81,I20,82:82)-SUMIF(81:81,C20,82:82)+100</f>
        <v>100</v>
      </c>
      <c r="K19" s="1187"/>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1335">
        <f t="shared" si="5"/>
        <v>1</v>
      </c>
    </row>
    <row r="20" ht="15.5" spans="1:29">
      <c r="A20" s="764"/>
      <c r="B20" s="792"/>
      <c r="C20" s="786"/>
      <c r="D20" s="785"/>
      <c r="E20" s="918"/>
      <c r="F20" s="785"/>
      <c r="G20" s="793"/>
      <c r="H20" s="785"/>
      <c r="I20" s="793"/>
      <c r="J20" s="785"/>
      <c r="K20" s="1188"/>
      <c r="L20" s="913"/>
      <c r="M20" s="897"/>
      <c r="N20" s="897"/>
      <c r="O20" s="897"/>
      <c r="P20" s="1320"/>
      <c r="Q20" s="863"/>
      <c r="R20" s="964"/>
      <c r="S20" s="965"/>
      <c r="T20" s="964"/>
      <c r="U20" s="965"/>
      <c r="V20" s="964"/>
      <c r="W20" s="965"/>
      <c r="X20" s="951"/>
      <c r="Y20" s="916"/>
      <c r="Z20" s="937"/>
      <c r="AA20" s="980">
        <v>1</v>
      </c>
      <c r="AB20" s="980">
        <v>1</v>
      </c>
      <c r="AC20" s="1335">
        <v>1</v>
      </c>
    </row>
    <row r="21" ht="28" spans="1:29">
      <c r="A21" s="764"/>
      <c r="B21" s="795" t="s">
        <v>1412</v>
      </c>
      <c r="C21" s="1308" t="str">
        <f>估价对象房地状况!C8</f>
        <v>估价对象所在区域基础设施水平</v>
      </c>
      <c r="D21" s="787">
        <v>100</v>
      </c>
      <c r="E21" s="1139"/>
      <c r="F21" s="791">
        <f>SUMIF(83:83,E22,84:84)-SUMIF(83:83,C22,84:84)+100</f>
        <v>100</v>
      </c>
      <c r="G21" s="1137"/>
      <c r="H21" s="787">
        <f>SUMIF(83:83,G22,84:84)-SUMIF(83:83,C22,84:84)+100</f>
        <v>100</v>
      </c>
      <c r="I21" s="1137"/>
      <c r="J21" s="787">
        <f>SUMIF(83:83,I22,84:84)-SUMIF(83:83,C22,84:84)+100</f>
        <v>100</v>
      </c>
      <c r="K21" s="1187"/>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1335">
        <f t="shared" ref="AC21" si="10">D21/J21</f>
        <v>1</v>
      </c>
    </row>
    <row r="22" ht="15.5" spans="1:29">
      <c r="A22" s="764"/>
      <c r="B22" s="795"/>
      <c r="C22" s="1309"/>
      <c r="D22" s="785"/>
      <c r="E22" s="784"/>
      <c r="F22" s="785"/>
      <c r="G22" s="786"/>
      <c r="H22" s="785"/>
      <c r="I22" s="786"/>
      <c r="J22" s="785"/>
      <c r="K22" s="1189"/>
      <c r="L22" s="913"/>
      <c r="M22" s="897"/>
      <c r="N22" s="897"/>
      <c r="O22" s="897"/>
      <c r="P22" s="1320"/>
      <c r="Q22" s="863"/>
      <c r="R22" s="964"/>
      <c r="S22" s="965"/>
      <c r="T22" s="964"/>
      <c r="U22" s="965"/>
      <c r="V22" s="964"/>
      <c r="W22" s="965"/>
      <c r="X22" s="951"/>
      <c r="Y22" s="916"/>
      <c r="Z22" s="937"/>
      <c r="AA22" s="980">
        <v>1</v>
      </c>
      <c r="AB22" s="980">
        <v>1</v>
      </c>
      <c r="AC22" s="1335">
        <v>1</v>
      </c>
    </row>
    <row r="23" ht="56" spans="1:29">
      <c r="A23" s="764"/>
      <c r="B23" s="788" t="s">
        <v>2171</v>
      </c>
      <c r="C23" s="1308"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7"/>
      <c r="L23" s="913"/>
      <c r="M23" s="897"/>
      <c r="N23" s="897"/>
      <c r="O23" s="897"/>
      <c r="P23" s="1320"/>
      <c r="Q23" s="863" t="str">
        <f>B23</f>
        <v>环境质量</v>
      </c>
      <c r="R23" s="964" t="s">
        <v>1391</v>
      </c>
      <c r="S23" s="965">
        <f>F23</f>
        <v>100</v>
      </c>
      <c r="T23" s="964" t="s">
        <v>1391</v>
      </c>
      <c r="U23" s="965">
        <f>H23</f>
        <v>100</v>
      </c>
      <c r="V23" s="964" t="s">
        <v>1391</v>
      </c>
      <c r="W23" s="965">
        <f>J23</f>
        <v>100</v>
      </c>
      <c r="X23" s="951"/>
      <c r="Y23" s="916"/>
      <c r="Z23" s="937" t="str">
        <f>Q23</f>
        <v>环境质量</v>
      </c>
      <c r="AA23" s="980">
        <f t="shared" si="3"/>
        <v>1</v>
      </c>
      <c r="AB23" s="980">
        <f t="shared" si="4"/>
        <v>1</v>
      </c>
      <c r="AC23" s="1335">
        <f t="shared" si="5"/>
        <v>1</v>
      </c>
    </row>
    <row r="24" ht="15.5" spans="1:29">
      <c r="A24" s="764"/>
      <c r="B24" s="795"/>
      <c r="C24" s="786"/>
      <c r="D24" s="785"/>
      <c r="E24" s="918"/>
      <c r="F24" s="785"/>
      <c r="G24" s="793"/>
      <c r="H24" s="785"/>
      <c r="I24" s="793"/>
      <c r="J24" s="785"/>
      <c r="K24" s="1188"/>
      <c r="L24" s="913"/>
      <c r="M24" s="897"/>
      <c r="N24" s="897"/>
      <c r="O24" s="897"/>
      <c r="P24" s="1320"/>
      <c r="Q24" s="863"/>
      <c r="R24" s="964"/>
      <c r="S24" s="965"/>
      <c r="T24" s="964"/>
      <c r="U24" s="965"/>
      <c r="V24" s="964"/>
      <c r="W24" s="965"/>
      <c r="X24" s="951"/>
      <c r="Y24" s="916"/>
      <c r="Z24" s="937"/>
      <c r="AA24" s="980">
        <v>1</v>
      </c>
      <c r="AB24" s="980">
        <v>1</v>
      </c>
      <c r="AC24" s="1335">
        <v>1</v>
      </c>
    </row>
    <row r="25" ht="28" spans="1:29">
      <c r="A25" s="736"/>
      <c r="B25" s="788" t="s">
        <v>1414</v>
      </c>
      <c r="C25" s="1310"/>
      <c r="D25" s="773">
        <v>100</v>
      </c>
      <c r="E25" s="772"/>
      <c r="F25" s="773">
        <f>SUMIF(87:87,E26,88:88)-SUMIF(87:87,C26,88:88)+100</f>
        <v>100</v>
      </c>
      <c r="G25" s="1310"/>
      <c r="H25" s="773">
        <f>SUMIF(87:87,G26,88:88)-SUMIF(87:87,C26,88:88)+100</f>
        <v>100</v>
      </c>
      <c r="I25" s="772"/>
      <c r="J25" s="773">
        <f>SUMIF(87:87,I26,88:88)-SUMIF(87:87,C26,88:88)+100</f>
        <v>100</v>
      </c>
      <c r="K25" s="1187"/>
      <c r="L25" s="913"/>
      <c r="M25" s="897"/>
      <c r="N25" s="897"/>
      <c r="O25" s="897"/>
      <c r="P25" s="1320"/>
      <c r="Q25" s="863" t="str">
        <f>B25</f>
        <v>毗邻道路的类型与等级</v>
      </c>
      <c r="R25" s="964" t="s">
        <v>1391</v>
      </c>
      <c r="S25" s="965">
        <f>F25</f>
        <v>100</v>
      </c>
      <c r="T25" s="964" t="s">
        <v>1391</v>
      </c>
      <c r="U25" s="965">
        <f>H25</f>
        <v>100</v>
      </c>
      <c r="V25" s="964" t="s">
        <v>1391</v>
      </c>
      <c r="W25" s="965">
        <f>J25</f>
        <v>100</v>
      </c>
      <c r="X25" s="951"/>
      <c r="Y25" s="916"/>
      <c r="Z25" s="937" t="str">
        <f>Q25</f>
        <v>毗邻道路的类型与等级</v>
      </c>
      <c r="AA25" s="980">
        <f t="shared" si="3"/>
        <v>1</v>
      </c>
      <c r="AB25" s="980">
        <f t="shared" si="4"/>
        <v>1</v>
      </c>
      <c r="AC25" s="1335">
        <f t="shared" si="5"/>
        <v>1</v>
      </c>
    </row>
    <row r="26" ht="15.5" spans="1:29">
      <c r="A26" s="736"/>
      <c r="B26" s="792"/>
      <c r="C26" s="799"/>
      <c r="D26" s="773"/>
      <c r="E26" s="798"/>
      <c r="F26" s="773"/>
      <c r="G26" s="799"/>
      <c r="H26" s="773"/>
      <c r="I26" s="798"/>
      <c r="J26" s="773"/>
      <c r="K26" s="1188"/>
      <c r="L26" s="913"/>
      <c r="M26" s="897"/>
      <c r="N26" s="897"/>
      <c r="O26" s="897"/>
      <c r="P26" s="1320"/>
      <c r="Q26" s="863"/>
      <c r="R26" s="964"/>
      <c r="S26" s="965"/>
      <c r="T26" s="964"/>
      <c r="U26" s="965"/>
      <c r="V26" s="964"/>
      <c r="W26" s="965"/>
      <c r="X26" s="951"/>
      <c r="Y26" s="916"/>
      <c r="Z26" s="937"/>
      <c r="AA26" s="980">
        <v>1</v>
      </c>
      <c r="AB26" s="980">
        <v>1</v>
      </c>
      <c r="AC26" s="1335">
        <v>1</v>
      </c>
    </row>
    <row r="27" ht="15.5" spans="1:29">
      <c r="A27" s="764"/>
      <c r="B27" s="792" t="s">
        <v>2163</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0"/>
      <c r="Q27" s="863" t="str">
        <f t="shared" ref="Q27:Q47" si="11">B27</f>
        <v>楼层</v>
      </c>
      <c r="R27" s="964" t="s">
        <v>1391</v>
      </c>
      <c r="S27" s="965">
        <f>F27</f>
        <v>100</v>
      </c>
      <c r="T27" s="964" t="s">
        <v>1391</v>
      </c>
      <c r="U27" s="965">
        <f>H27</f>
        <v>100</v>
      </c>
      <c r="V27" s="964" t="s">
        <v>1391</v>
      </c>
      <c r="W27" s="965">
        <f>J27</f>
        <v>100</v>
      </c>
      <c r="X27" s="951"/>
      <c r="Y27" s="916"/>
      <c r="Z27" s="937" t="str">
        <f>Q27</f>
        <v>楼层</v>
      </c>
      <c r="AA27" s="980">
        <f t="shared" si="3"/>
        <v>1</v>
      </c>
      <c r="AB27" s="980">
        <f t="shared" si="4"/>
        <v>1</v>
      </c>
      <c r="AC27" s="1335">
        <f t="shared" si="5"/>
        <v>1</v>
      </c>
    </row>
    <row r="28" s="711" customFormat="1" ht="15.5" spans="1:29">
      <c r="A28" s="767"/>
      <c r="B28" s="788" t="s">
        <v>2114</v>
      </c>
      <c r="C28" s="1311"/>
      <c r="D28" s="1262">
        <v>100</v>
      </c>
      <c r="E28" s="1312"/>
      <c r="F28" s="1262">
        <f>SUMIF(91:91,E28,92:92)-SUMIF(91:91,C28,92:92)+100</f>
        <v>100</v>
      </c>
      <c r="G28" s="1311"/>
      <c r="H28" s="1262">
        <f>SUMIF(91:91,G28,92:92)-SUMIF(91:91,C28,92:92)+100</f>
        <v>100</v>
      </c>
      <c r="I28" s="1312"/>
      <c r="J28" s="1262">
        <f>SUMIF(91:91,I28,92:92)-SUMIF(91:91,C28,92:92)+100</f>
        <v>100</v>
      </c>
      <c r="K28" s="921"/>
      <c r="L28" s="902"/>
      <c r="M28" s="903"/>
      <c r="N28" s="903"/>
      <c r="O28" s="903"/>
      <c r="P28" s="1320"/>
      <c r="Q28" s="963" t="str">
        <f t="shared" si="11"/>
        <v>朝向</v>
      </c>
      <c r="R28" s="959" t="s">
        <v>1391</v>
      </c>
      <c r="S28" s="960">
        <f>F28</f>
        <v>100</v>
      </c>
      <c r="T28" s="959" t="s">
        <v>1391</v>
      </c>
      <c r="U28" s="960">
        <f>H28</f>
        <v>100</v>
      </c>
      <c r="V28" s="959" t="s">
        <v>1391</v>
      </c>
      <c r="W28" s="960">
        <f>J28</f>
        <v>100</v>
      </c>
      <c r="X28" s="961"/>
      <c r="Y28" s="916"/>
      <c r="Z28" s="979" t="str">
        <f>Q28</f>
        <v>朝向</v>
      </c>
      <c r="AA28" s="980">
        <f t="shared" si="3"/>
        <v>1</v>
      </c>
      <c r="AB28" s="980">
        <f t="shared" si="4"/>
        <v>1</v>
      </c>
      <c r="AC28" s="1335">
        <f t="shared" si="5"/>
        <v>1</v>
      </c>
    </row>
    <row r="29" ht="15.5" spans="1:29">
      <c r="A29" s="764"/>
      <c r="B29" s="803">
        <v>111</v>
      </c>
      <c r="C29" s="1310"/>
      <c r="D29" s="773">
        <v>100</v>
      </c>
      <c r="E29" s="762"/>
      <c r="F29" s="773">
        <f>SUMIF(93:93,E29,94:94)-SUMIF(93:93,C29,94:94)+100</f>
        <v>100</v>
      </c>
      <c r="G29" s="1306"/>
      <c r="H29" s="773">
        <f>SUMIF(93:93,G29,94:94)-SUMIF(93:93,C29,94:94)+100</f>
        <v>100</v>
      </c>
      <c r="I29" s="762"/>
      <c r="J29" s="773">
        <f>SUMIF(93:93,I29,94:94)-SUMIF(93:93,C29,94:94)+100</f>
        <v>100</v>
      </c>
      <c r="K29" s="920"/>
      <c r="L29" s="913"/>
      <c r="M29" s="897"/>
      <c r="N29" s="897"/>
      <c r="O29" s="897"/>
      <c r="P29" s="1320"/>
      <c r="Q29" s="863">
        <f t="shared" si="11"/>
        <v>111</v>
      </c>
      <c r="R29" s="964" t="s">
        <v>1391</v>
      </c>
      <c r="S29" s="965">
        <f t="shared" ref="S29:S47" si="12">F29</f>
        <v>100</v>
      </c>
      <c r="T29" s="964" t="s">
        <v>1391</v>
      </c>
      <c r="U29" s="965">
        <f t="shared" ref="U29:U47" si="13">H29</f>
        <v>100</v>
      </c>
      <c r="V29" s="964" t="s">
        <v>1391</v>
      </c>
      <c r="W29" s="965">
        <f t="shared" ref="W29:W47" si="14">J29</f>
        <v>100</v>
      </c>
      <c r="X29" s="951"/>
      <c r="Y29" s="916"/>
      <c r="Z29" s="937">
        <f t="shared" ref="Z29:Z47" si="15">Q29</f>
        <v>111</v>
      </c>
      <c r="AA29" s="980">
        <f t="shared" si="3"/>
        <v>1</v>
      </c>
      <c r="AB29" s="980">
        <f t="shared" si="4"/>
        <v>1</v>
      </c>
      <c r="AC29" s="1335">
        <f t="shared" si="5"/>
        <v>1</v>
      </c>
    </row>
    <row r="30" ht="15.5" spans="1:29">
      <c r="A30" s="764"/>
      <c r="B30" s="803">
        <v>111</v>
      </c>
      <c r="C30" s="1310"/>
      <c r="D30" s="773">
        <v>100</v>
      </c>
      <c r="E30" s="762"/>
      <c r="F30" s="773">
        <f>SUMIF(95:95,E30,96:96)-SUMIF(95:95,C30,96:96)+100</f>
        <v>100</v>
      </c>
      <c r="G30" s="1306"/>
      <c r="H30" s="773">
        <f>SUMIF(95:95,G30,96:96)-SUMIF(95:95,C30,96:96)+100</f>
        <v>100</v>
      </c>
      <c r="I30" s="762"/>
      <c r="J30" s="773">
        <f>SUMIF(95:95,I30,96:96)-SUMIF(95:95,C30,96:96)+100</f>
        <v>100</v>
      </c>
      <c r="K30" s="920"/>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5"/>
        <v>111</v>
      </c>
      <c r="AA30" s="980">
        <f t="shared" si="3"/>
        <v>1</v>
      </c>
      <c r="AB30" s="980">
        <f t="shared" si="4"/>
        <v>1</v>
      </c>
      <c r="AC30" s="1335">
        <f t="shared" si="5"/>
        <v>1</v>
      </c>
    </row>
    <row r="31" ht="15.5" spans="1:29">
      <c r="A31" s="764"/>
      <c r="B31" s="803">
        <v>111</v>
      </c>
      <c r="C31" s="1310"/>
      <c r="D31" s="773">
        <v>100</v>
      </c>
      <c r="E31" s="762"/>
      <c r="F31" s="773">
        <f>SUMIF(97:97,E31,98:98)-SUMIF(97:97,C31,98:98)+100</f>
        <v>100</v>
      </c>
      <c r="G31" s="1306"/>
      <c r="H31" s="773">
        <f>SUMIF(97:97,G31,98:98)-SUMIF(97:97,C31,98:98)+100</f>
        <v>100</v>
      </c>
      <c r="I31" s="762"/>
      <c r="J31" s="773">
        <f>SUMIF(97:97,I31,98:98)-SUMIF(97:97,C31,98:98)+100</f>
        <v>100</v>
      </c>
      <c r="K31" s="920"/>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5"/>
        <v>111</v>
      </c>
      <c r="AA31" s="980">
        <f t="shared" si="3"/>
        <v>1</v>
      </c>
      <c r="AB31" s="980">
        <f t="shared" si="4"/>
        <v>1</v>
      </c>
      <c r="AC31" s="1335">
        <f t="shared" si="5"/>
        <v>1</v>
      </c>
    </row>
    <row r="32" ht="16.25" spans="1:29">
      <c r="A32" s="774"/>
      <c r="B32" s="1144">
        <v>111</v>
      </c>
      <c r="C32" s="1313"/>
      <c r="D32" s="777">
        <v>100</v>
      </c>
      <c r="E32" s="1146"/>
      <c r="F32" s="777">
        <f>SUMIF(99:99,E32,100:100)-SUMIF(99:99,C32,100:100)+100</f>
        <v>100</v>
      </c>
      <c r="G32" s="1306"/>
      <c r="H32" s="777">
        <f>SUMIF(99:99,G32,100:100)-SUMIF(99:99,C32,100:100)+100</f>
        <v>100</v>
      </c>
      <c r="I32" s="762"/>
      <c r="J32" s="777">
        <f>SUMIF(99:99,I32,100:100)-SUMIF(99:99,C32,100:100)+100</f>
        <v>100</v>
      </c>
      <c r="K32" s="920"/>
      <c r="L32" s="913"/>
      <c r="M32" s="897"/>
      <c r="N32" s="897"/>
      <c r="O32" s="897"/>
      <c r="P32" s="1320"/>
      <c r="Q32" s="863">
        <f t="shared" si="11"/>
        <v>111</v>
      </c>
      <c r="R32" s="964" t="s">
        <v>1391</v>
      </c>
      <c r="S32" s="965">
        <f t="shared" si="12"/>
        <v>100</v>
      </c>
      <c r="T32" s="964" t="s">
        <v>1391</v>
      </c>
      <c r="U32" s="965">
        <f t="shared" si="13"/>
        <v>100</v>
      </c>
      <c r="V32" s="964" t="s">
        <v>1391</v>
      </c>
      <c r="W32" s="965">
        <f t="shared" si="14"/>
        <v>100</v>
      </c>
      <c r="X32" s="951"/>
      <c r="Y32" s="916"/>
      <c r="Z32" s="937">
        <f t="shared" si="15"/>
        <v>111</v>
      </c>
      <c r="AA32" s="980">
        <f t="shared" si="3"/>
        <v>1</v>
      </c>
      <c r="AB32" s="980">
        <f t="shared" si="4"/>
        <v>1</v>
      </c>
      <c r="AC32" s="1335">
        <f t="shared" si="5"/>
        <v>1</v>
      </c>
    </row>
    <row r="33" ht="15.5" spans="1:29">
      <c r="A33" s="778" t="s">
        <v>1417</v>
      </c>
      <c r="B33" s="757" t="s">
        <v>2115</v>
      </c>
      <c r="C33" s="1237"/>
      <c r="D33" s="814">
        <v>100</v>
      </c>
      <c r="E33" s="1237"/>
      <c r="F33" s="1142">
        <f>SUMIF(101:101,E33,102:102)-SUMIF(101:101,C33,102:102)+100</f>
        <v>100</v>
      </c>
      <c r="G33" s="1237"/>
      <c r="H33" s="773">
        <f>SUMIF(101:101,G33,102:102)-SUMIF(101:101,C33,102:102)+100</f>
        <v>100</v>
      </c>
      <c r="I33" s="1237"/>
      <c r="J33" s="814">
        <f>SUMIF(101:101,I33,102:102)-SUMIF(101:101,C33,102:102)+100</f>
        <v>100</v>
      </c>
      <c r="K33" s="921"/>
      <c r="L33" s="913"/>
      <c r="M33" s="897"/>
      <c r="N33" s="897"/>
      <c r="O33" s="897"/>
      <c r="P33" s="1321" t="s">
        <v>1416</v>
      </c>
      <c r="Q33" s="863" t="str">
        <f t="shared" si="11"/>
        <v>建筑类型</v>
      </c>
      <c r="R33" s="964" t="s">
        <v>1391</v>
      </c>
      <c r="S33" s="965">
        <f t="shared" si="12"/>
        <v>100</v>
      </c>
      <c r="T33" s="964" t="s">
        <v>1391</v>
      </c>
      <c r="U33" s="965">
        <f t="shared" si="13"/>
        <v>100</v>
      </c>
      <c r="V33" s="964" t="s">
        <v>1391</v>
      </c>
      <c r="W33" s="965">
        <f t="shared" si="14"/>
        <v>100</v>
      </c>
      <c r="X33" s="951"/>
      <c r="Y33" s="925" t="s">
        <v>1416</v>
      </c>
      <c r="Z33" s="937" t="str">
        <f t="shared" si="15"/>
        <v>建筑类型</v>
      </c>
      <c r="AA33" s="980">
        <f t="shared" si="3"/>
        <v>1</v>
      </c>
      <c r="AB33" s="980">
        <f t="shared" si="4"/>
        <v>1</v>
      </c>
      <c r="AC33" s="1335">
        <f t="shared" si="5"/>
        <v>1</v>
      </c>
    </row>
    <row r="34" s="713" customFormat="1" ht="15.5" spans="1:29">
      <c r="A34" s="820"/>
      <c r="B34" s="761" t="s">
        <v>2118</v>
      </c>
      <c r="C34" s="1159"/>
      <c r="D34" s="763">
        <v>100</v>
      </c>
      <c r="E34" s="766"/>
      <c r="F34" s="122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2"/>
      <c r="Q34" s="1205" t="str">
        <f t="shared" si="11"/>
        <v>项目建筑规模</v>
      </c>
      <c r="R34" s="966" t="s">
        <v>1391</v>
      </c>
      <c r="S34" s="967" t="e">
        <f t="shared" si="12"/>
        <v>#N/A</v>
      </c>
      <c r="T34" s="966" t="s">
        <v>1391</v>
      </c>
      <c r="U34" s="967" t="e">
        <f t="shared" si="13"/>
        <v>#N/A</v>
      </c>
      <c r="V34" s="966" t="s">
        <v>1391</v>
      </c>
      <c r="W34" s="967" t="e">
        <f t="shared" si="14"/>
        <v>#N/A</v>
      </c>
      <c r="X34" s="968"/>
      <c r="Y34" s="925"/>
      <c r="Z34" s="981" t="str">
        <f t="shared" si="15"/>
        <v>项目建筑规模</v>
      </c>
      <c r="AA34" s="980" t="e">
        <f t="shared" si="3"/>
        <v>#N/A</v>
      </c>
      <c r="AB34" s="980" t="e">
        <f t="shared" si="4"/>
        <v>#N/A</v>
      </c>
      <c r="AC34" s="1335" t="e">
        <f t="shared" si="5"/>
        <v>#N/A</v>
      </c>
    </row>
    <row r="35" ht="15.5" spans="1:29">
      <c r="A35" s="815"/>
      <c r="B35" s="761" t="s">
        <v>2119</v>
      </c>
      <c r="C35" s="1155"/>
      <c r="D35" s="773">
        <v>100</v>
      </c>
      <c r="E35" s="1155"/>
      <c r="F35" s="1142">
        <f>SUMIF(106:106,E35,107:107)-SUMIF(106:106,C35,107:107)+100</f>
        <v>100</v>
      </c>
      <c r="G35" s="1155"/>
      <c r="H35" s="773">
        <f>SUMIF(106:106,G35,107:107)-SUMIF(106:106,C35,107:107)+100</f>
        <v>100</v>
      </c>
      <c r="I35" s="1155"/>
      <c r="J35" s="773">
        <f>SUMIF(106:106,I35,107:107)-SUMIF(106:106,C35,107:107)+100</f>
        <v>100</v>
      </c>
      <c r="K35" s="921"/>
      <c r="L35" s="913"/>
      <c r="M35" s="897"/>
      <c r="N35" s="897"/>
      <c r="O35" s="897"/>
      <c r="P35" s="1322"/>
      <c r="Q35" s="863" t="str">
        <f t="shared" si="11"/>
        <v>建筑结构</v>
      </c>
      <c r="R35" s="964" t="s">
        <v>1391</v>
      </c>
      <c r="S35" s="965">
        <f t="shared" si="12"/>
        <v>100</v>
      </c>
      <c r="T35" s="964" t="s">
        <v>1391</v>
      </c>
      <c r="U35" s="965">
        <f t="shared" si="13"/>
        <v>100</v>
      </c>
      <c r="V35" s="964" t="s">
        <v>1391</v>
      </c>
      <c r="W35" s="965">
        <f t="shared" si="14"/>
        <v>100</v>
      </c>
      <c r="X35" s="951"/>
      <c r="Y35" s="925"/>
      <c r="Z35" s="937" t="str">
        <f t="shared" si="15"/>
        <v>建筑结构</v>
      </c>
      <c r="AA35" s="980">
        <f t="shared" si="3"/>
        <v>1</v>
      </c>
      <c r="AB35" s="980">
        <f t="shared" si="4"/>
        <v>1</v>
      </c>
      <c r="AC35" s="1335">
        <f t="shared" si="5"/>
        <v>1</v>
      </c>
    </row>
    <row r="36" ht="15.5" spans="1:29">
      <c r="A36" s="815"/>
      <c r="B36" s="761" t="s">
        <v>2123</v>
      </c>
      <c r="C36" s="1155"/>
      <c r="D36" s="773">
        <v>100</v>
      </c>
      <c r="E36" s="1155"/>
      <c r="F36" s="1142">
        <f>SUMIF(108:108,E36,109:109)-SUMIF(108:108,C36,109:109)+100</f>
        <v>100</v>
      </c>
      <c r="G36" s="1155"/>
      <c r="H36" s="773">
        <f>SUMIF(108:108,G36,109:109)-SUMIF(108:108,C36,109:109)+100</f>
        <v>100</v>
      </c>
      <c r="I36" s="1155"/>
      <c r="J36" s="773">
        <f>SUMIF(108:108,I36,109:109)-SUMIF(108:108,C36,109:109)+100</f>
        <v>100</v>
      </c>
      <c r="K36" s="921"/>
      <c r="L36" s="913"/>
      <c r="M36" s="897"/>
      <c r="N36" s="897"/>
      <c r="O36" s="897"/>
      <c r="P36" s="1322"/>
      <c r="Q36" s="863" t="str">
        <f t="shared" si="11"/>
        <v>公共部分装修</v>
      </c>
      <c r="R36" s="964" t="s">
        <v>1391</v>
      </c>
      <c r="S36" s="965">
        <f t="shared" si="12"/>
        <v>100</v>
      </c>
      <c r="T36" s="964" t="s">
        <v>1391</v>
      </c>
      <c r="U36" s="965">
        <f t="shared" si="13"/>
        <v>100</v>
      </c>
      <c r="V36" s="964" t="s">
        <v>1391</v>
      </c>
      <c r="W36" s="965">
        <f t="shared" si="14"/>
        <v>100</v>
      </c>
      <c r="X36" s="951"/>
      <c r="Y36" s="925"/>
      <c r="Z36" s="937" t="str">
        <f t="shared" si="15"/>
        <v>公共部分装修</v>
      </c>
      <c r="AA36" s="980">
        <f t="shared" si="3"/>
        <v>1</v>
      </c>
      <c r="AB36" s="980">
        <f t="shared" si="4"/>
        <v>1</v>
      </c>
      <c r="AC36" s="1335">
        <f t="shared" si="5"/>
        <v>1</v>
      </c>
    </row>
    <row r="37" ht="15.5" spans="1:29">
      <c r="A37" s="815"/>
      <c r="B37" s="761" t="s">
        <v>637</v>
      </c>
      <c r="C37" s="1156"/>
      <c r="D37" s="773">
        <v>100</v>
      </c>
      <c r="E37" s="1156"/>
      <c r="F37" s="1142" t="e">
        <f>LOOKUP(E37,111:111,112:112)-LOOKUP(C37,111:111,112:112)+100</f>
        <v>#N/A</v>
      </c>
      <c r="G37" s="1156"/>
      <c r="H37" s="1142" t="e">
        <f>LOOKUP(G37,111:111,112:112)-LOOKUP(C37,111:111,112:112)+100</f>
        <v>#N/A</v>
      </c>
      <c r="I37" s="1156"/>
      <c r="J37" s="773" t="e">
        <f>LOOKUP(I37,111:111,112:112)-LOOKUP(C37,111:111,112:112)+100</f>
        <v>#N/A</v>
      </c>
      <c r="K37" s="921"/>
      <c r="L37" s="913"/>
      <c r="M37" s="897"/>
      <c r="N37" s="897"/>
      <c r="O37" s="897"/>
      <c r="P37" s="1322"/>
      <c r="Q37" s="863" t="str">
        <f t="shared" si="11"/>
        <v>成新度</v>
      </c>
      <c r="R37" s="964" t="s">
        <v>1391</v>
      </c>
      <c r="S37" s="965" t="e">
        <f t="shared" si="12"/>
        <v>#N/A</v>
      </c>
      <c r="T37" s="964" t="s">
        <v>1391</v>
      </c>
      <c r="U37" s="965" t="e">
        <f t="shared" si="13"/>
        <v>#N/A</v>
      </c>
      <c r="V37" s="964" t="s">
        <v>1391</v>
      </c>
      <c r="W37" s="965" t="e">
        <f t="shared" si="14"/>
        <v>#N/A</v>
      </c>
      <c r="X37" s="951"/>
      <c r="Y37" s="925"/>
      <c r="Z37" s="937" t="str">
        <f t="shared" si="15"/>
        <v>成新度</v>
      </c>
      <c r="AA37" s="980" t="e">
        <f t="shared" si="3"/>
        <v>#N/A</v>
      </c>
      <c r="AB37" s="980" t="e">
        <f t="shared" si="4"/>
        <v>#N/A</v>
      </c>
      <c r="AC37" s="1335" t="e">
        <f t="shared" si="5"/>
        <v>#N/A</v>
      </c>
    </row>
    <row r="38" s="711" customFormat="1" ht="15.5" spans="1:29">
      <c r="A38" s="817"/>
      <c r="B38" s="761" t="s">
        <v>2172</v>
      </c>
      <c r="C38" s="1155"/>
      <c r="D38" s="763">
        <v>100</v>
      </c>
      <c r="E38" s="1155"/>
      <c r="F38" s="1142">
        <f>SUMIF(113:113,E38,114:114)-SUMIF(113:113,C38,114:114)+100</f>
        <v>100</v>
      </c>
      <c r="G38" s="1155"/>
      <c r="H38" s="773">
        <f>SUMIF(113:113,G38,114:114)-SUMIF(113:113,C38,114:114)+100</f>
        <v>100</v>
      </c>
      <c r="I38" s="1155"/>
      <c r="J38" s="773">
        <f>SUMIF(113:113,I38,114:114)-SUMIF(113:113,C38,114:114)+100</f>
        <v>100</v>
      </c>
      <c r="K38" s="921"/>
      <c r="L38" s="902"/>
      <c r="M38" s="903"/>
      <c r="N38" s="903"/>
      <c r="O38" s="903"/>
      <c r="P38" s="1322"/>
      <c r="Q38" s="963" t="str">
        <f t="shared" si="11"/>
        <v>写字楼等级</v>
      </c>
      <c r="R38" s="959" t="s">
        <v>1391</v>
      </c>
      <c r="S38" s="960">
        <f t="shared" si="12"/>
        <v>100</v>
      </c>
      <c r="T38" s="959" t="s">
        <v>1391</v>
      </c>
      <c r="U38" s="960">
        <f t="shared" si="13"/>
        <v>100</v>
      </c>
      <c r="V38" s="959" t="s">
        <v>1391</v>
      </c>
      <c r="W38" s="960">
        <f t="shared" si="14"/>
        <v>100</v>
      </c>
      <c r="X38" s="961"/>
      <c r="Y38" s="925"/>
      <c r="Z38" s="979" t="str">
        <f t="shared" si="15"/>
        <v>写字楼等级</v>
      </c>
      <c r="AA38" s="978">
        <f t="shared" si="3"/>
        <v>1</v>
      </c>
      <c r="AB38" s="978">
        <f t="shared" si="4"/>
        <v>1</v>
      </c>
      <c r="AC38" s="1334">
        <f t="shared" si="5"/>
        <v>1</v>
      </c>
    </row>
    <row r="39" ht="15.5" spans="1:29">
      <c r="A39" s="815"/>
      <c r="B39" s="761" t="s">
        <v>2124</v>
      </c>
      <c r="C39" s="1155"/>
      <c r="D39" s="773">
        <v>100</v>
      </c>
      <c r="E39" s="1155"/>
      <c r="F39" s="1142">
        <f>SUMIF(115:115,E39,116:116)-SUMIF(115:115,C39,116:116)+100</f>
        <v>100</v>
      </c>
      <c r="G39" s="1155"/>
      <c r="H39" s="773">
        <f>SUMIF(115:115,G39,116:116)-SUMIF(115:115,C39,116:116)+100</f>
        <v>100</v>
      </c>
      <c r="I39" s="1155"/>
      <c r="J39" s="773">
        <f>SUMIF(115:115,I39,116:116)-SUMIF(115:115,C39,116:116)+100</f>
        <v>100</v>
      </c>
      <c r="K39" s="921"/>
      <c r="L39" s="913"/>
      <c r="M39" s="897"/>
      <c r="N39" s="897"/>
      <c r="O39" s="897"/>
      <c r="P39" s="1322" t="s">
        <v>1416</v>
      </c>
      <c r="Q39" s="863" t="str">
        <f t="shared" si="11"/>
        <v>物业管理</v>
      </c>
      <c r="R39" s="964" t="s">
        <v>1391</v>
      </c>
      <c r="S39" s="965">
        <f t="shared" si="12"/>
        <v>100</v>
      </c>
      <c r="T39" s="964" t="s">
        <v>1391</v>
      </c>
      <c r="U39" s="965">
        <f t="shared" si="13"/>
        <v>100</v>
      </c>
      <c r="V39" s="964" t="s">
        <v>1391</v>
      </c>
      <c r="W39" s="965">
        <f t="shared" si="14"/>
        <v>100</v>
      </c>
      <c r="X39" s="951"/>
      <c r="Y39" s="925" t="s">
        <v>1416</v>
      </c>
      <c r="Z39" s="937" t="str">
        <f t="shared" si="15"/>
        <v>物业管理</v>
      </c>
      <c r="AA39" s="980">
        <f t="shared" si="3"/>
        <v>1</v>
      </c>
      <c r="AB39" s="980">
        <f t="shared" si="4"/>
        <v>1</v>
      </c>
      <c r="AC39" s="1335">
        <f t="shared" si="5"/>
        <v>1</v>
      </c>
    </row>
    <row r="40" ht="15.5" spans="1:29">
      <c r="A40" s="815"/>
      <c r="B40" s="761" t="s">
        <v>2125</v>
      </c>
      <c r="C40" s="1155"/>
      <c r="D40" s="773">
        <v>100</v>
      </c>
      <c r="E40" s="1155"/>
      <c r="F40" s="1142">
        <f>SUMIF(117:117,E40,118:118)-SUMIF(117:117,C40,118:118)+100</f>
        <v>100</v>
      </c>
      <c r="G40" s="1155"/>
      <c r="H40" s="773">
        <f>SUMIF(117:117,G40,118:118)-SUMIF(117:117,C40,118:118)+100</f>
        <v>100</v>
      </c>
      <c r="I40" s="1155"/>
      <c r="J40" s="773">
        <f>SUMIF(117:117,I40,118:118)-SUMIF(117:117,C40,118:118)+100</f>
        <v>100</v>
      </c>
      <c r="K40" s="921"/>
      <c r="L40" s="913"/>
      <c r="M40" s="897"/>
      <c r="N40" s="897"/>
      <c r="O40" s="897"/>
      <c r="P40" s="1322"/>
      <c r="Q40" s="863" t="str">
        <f t="shared" si="11"/>
        <v>市政基础设施</v>
      </c>
      <c r="R40" s="964" t="s">
        <v>1391</v>
      </c>
      <c r="S40" s="965">
        <f t="shared" si="12"/>
        <v>100</v>
      </c>
      <c r="T40" s="964" t="s">
        <v>1391</v>
      </c>
      <c r="U40" s="965">
        <f t="shared" si="13"/>
        <v>100</v>
      </c>
      <c r="V40" s="964" t="s">
        <v>1391</v>
      </c>
      <c r="W40" s="965">
        <f t="shared" si="14"/>
        <v>100</v>
      </c>
      <c r="X40" s="951"/>
      <c r="Y40" s="925"/>
      <c r="Z40" s="937" t="str">
        <f t="shared" si="15"/>
        <v>市政基础设施</v>
      </c>
      <c r="AA40" s="980">
        <f t="shared" si="3"/>
        <v>1</v>
      </c>
      <c r="AB40" s="980">
        <f t="shared" si="4"/>
        <v>1</v>
      </c>
      <c r="AC40" s="1335">
        <f t="shared" si="5"/>
        <v>1</v>
      </c>
    </row>
    <row r="41" ht="15.5" spans="1:29">
      <c r="A41" s="815"/>
      <c r="B41" s="761" t="s">
        <v>2166</v>
      </c>
      <c r="C41" s="798"/>
      <c r="D41" s="773">
        <v>100</v>
      </c>
      <c r="E41" s="798"/>
      <c r="F41" s="1142">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2"/>
      <c r="Q41" s="863" t="str">
        <f t="shared" si="11"/>
        <v>层高</v>
      </c>
      <c r="R41" s="964" t="s">
        <v>1391</v>
      </c>
      <c r="S41" s="965">
        <f t="shared" si="12"/>
        <v>100</v>
      </c>
      <c r="T41" s="964" t="s">
        <v>1391</v>
      </c>
      <c r="U41" s="965">
        <f t="shared" si="13"/>
        <v>100</v>
      </c>
      <c r="V41" s="964" t="s">
        <v>1391</v>
      </c>
      <c r="W41" s="965">
        <f t="shared" si="14"/>
        <v>100</v>
      </c>
      <c r="X41" s="951"/>
      <c r="Y41" s="925"/>
      <c r="Z41" s="937" t="str">
        <f t="shared" si="15"/>
        <v>层高</v>
      </c>
      <c r="AA41" s="980">
        <f t="shared" si="3"/>
        <v>1</v>
      </c>
      <c r="AB41" s="980">
        <f t="shared" si="4"/>
        <v>1</v>
      </c>
      <c r="AC41" s="1335">
        <f t="shared" si="5"/>
        <v>1</v>
      </c>
    </row>
    <row r="42" s="713" customFormat="1" ht="15.5" spans="1:29">
      <c r="A42" s="820"/>
      <c r="B42" s="932" t="s">
        <v>2173</v>
      </c>
      <c r="C42" s="772"/>
      <c r="D42" s="773">
        <v>100</v>
      </c>
      <c r="E42" s="772"/>
      <c r="F42" s="1142">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2"/>
      <c r="Q42" s="1205" t="str">
        <f t="shared" si="11"/>
        <v>单套建筑面积</v>
      </c>
      <c r="R42" s="966" t="s">
        <v>1391</v>
      </c>
      <c r="S42" s="967">
        <f t="shared" si="12"/>
        <v>100</v>
      </c>
      <c r="T42" s="966" t="s">
        <v>1391</v>
      </c>
      <c r="U42" s="967">
        <f t="shared" si="13"/>
        <v>100</v>
      </c>
      <c r="V42" s="966" t="s">
        <v>1391</v>
      </c>
      <c r="W42" s="967">
        <f t="shared" si="14"/>
        <v>100</v>
      </c>
      <c r="X42" s="968"/>
      <c r="Y42" s="925"/>
      <c r="Z42" s="981" t="str">
        <f t="shared" si="15"/>
        <v>单套建筑面积</v>
      </c>
      <c r="AA42" s="980">
        <f t="shared" si="3"/>
        <v>1</v>
      </c>
      <c r="AB42" s="980">
        <f t="shared" si="4"/>
        <v>1</v>
      </c>
      <c r="AC42" s="1335">
        <f t="shared" si="5"/>
        <v>1</v>
      </c>
    </row>
    <row r="43" ht="15.5" spans="1:29">
      <c r="A43" s="815"/>
      <c r="B43" s="761" t="s">
        <v>2128</v>
      </c>
      <c r="C43" s="1155"/>
      <c r="D43" s="773">
        <v>100</v>
      </c>
      <c r="E43" s="1155"/>
      <c r="F43" s="1142">
        <f>SUMIF(123:123,E43,124:124)-SUMIF(123:123,C43,124:124)+100</f>
        <v>100</v>
      </c>
      <c r="G43" s="1155"/>
      <c r="H43" s="773">
        <f>SUMIF(123:123,G43,124:124)-SUMIF(123:123,C43,124:124)+100</f>
        <v>100</v>
      </c>
      <c r="I43" s="1155"/>
      <c r="J43" s="773">
        <f>SUMIF(123:123,I43,124:124)-SUMIF(123:123,C43,124:124)+100</f>
        <v>100</v>
      </c>
      <c r="K43" s="921"/>
      <c r="L43" s="913"/>
      <c r="M43" s="897"/>
      <c r="N43" s="897"/>
      <c r="O43" s="897"/>
      <c r="P43" s="1322"/>
      <c r="Q43" s="863" t="str">
        <f t="shared" si="11"/>
        <v>内部装修</v>
      </c>
      <c r="R43" s="964" t="s">
        <v>1391</v>
      </c>
      <c r="S43" s="965">
        <f t="shared" si="12"/>
        <v>100</v>
      </c>
      <c r="T43" s="964" t="s">
        <v>1391</v>
      </c>
      <c r="U43" s="965">
        <f t="shared" si="13"/>
        <v>100</v>
      </c>
      <c r="V43" s="964" t="s">
        <v>1391</v>
      </c>
      <c r="W43" s="965">
        <f t="shared" si="14"/>
        <v>100</v>
      </c>
      <c r="X43" s="951"/>
      <c r="Y43" s="925"/>
      <c r="Z43" s="937" t="str">
        <f t="shared" si="15"/>
        <v>内部装修</v>
      </c>
      <c r="AA43" s="980">
        <f t="shared" si="3"/>
        <v>1</v>
      </c>
      <c r="AB43" s="980">
        <f t="shared" si="4"/>
        <v>1</v>
      </c>
      <c r="AC43" s="1335">
        <f t="shared" si="5"/>
        <v>1</v>
      </c>
    </row>
    <row r="44" ht="28" spans="1:29">
      <c r="A44" s="815"/>
      <c r="B44" s="761" t="s">
        <v>2131</v>
      </c>
      <c r="C44" s="1155"/>
      <c r="D44" s="773">
        <v>100</v>
      </c>
      <c r="E44" s="816"/>
      <c r="F44" s="1142">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2"/>
      <c r="Q44" s="863" t="str">
        <f t="shared" si="11"/>
        <v>内部装修维护情况</v>
      </c>
      <c r="R44" s="964" t="s">
        <v>1391</v>
      </c>
      <c r="S44" s="965">
        <f t="shared" si="12"/>
        <v>100</v>
      </c>
      <c r="T44" s="964" t="s">
        <v>1391</v>
      </c>
      <c r="U44" s="965">
        <f t="shared" si="13"/>
        <v>100</v>
      </c>
      <c r="V44" s="964" t="s">
        <v>1391</v>
      </c>
      <c r="W44" s="965">
        <f t="shared" si="14"/>
        <v>100</v>
      </c>
      <c r="X44" s="951"/>
      <c r="Y44" s="925"/>
      <c r="Z44" s="937" t="str">
        <f t="shared" si="15"/>
        <v>内部装修维护情况</v>
      </c>
      <c r="AA44" s="980">
        <f t="shared" si="3"/>
        <v>1</v>
      </c>
      <c r="AB44" s="980">
        <f t="shared" si="4"/>
        <v>1</v>
      </c>
      <c r="AC44" s="1335">
        <f t="shared" si="5"/>
        <v>1</v>
      </c>
    </row>
    <row r="45" s="711" customFormat="1" ht="15.5" spans="1:29">
      <c r="A45" s="817"/>
      <c r="B45" s="1261">
        <v>111</v>
      </c>
      <c r="C45" s="1159"/>
      <c r="D45" s="763">
        <v>100</v>
      </c>
      <c r="E45" s="762"/>
      <c r="F45" s="122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2"/>
      <c r="Q45" s="963">
        <f t="shared" si="11"/>
        <v>111</v>
      </c>
      <c r="R45" s="959" t="s">
        <v>1391</v>
      </c>
      <c r="S45" s="960">
        <f t="shared" si="12"/>
        <v>100</v>
      </c>
      <c r="T45" s="959" t="s">
        <v>1391</v>
      </c>
      <c r="U45" s="960">
        <f t="shared" si="13"/>
        <v>100</v>
      </c>
      <c r="V45" s="959" t="s">
        <v>1391</v>
      </c>
      <c r="W45" s="960">
        <f t="shared" si="14"/>
        <v>100</v>
      </c>
      <c r="X45" s="961"/>
      <c r="Y45" s="925"/>
      <c r="Z45" s="979">
        <f t="shared" si="15"/>
        <v>111</v>
      </c>
      <c r="AA45" s="978">
        <f t="shared" si="3"/>
        <v>1</v>
      </c>
      <c r="AB45" s="978">
        <f t="shared" si="4"/>
        <v>1</v>
      </c>
      <c r="AC45" s="1334">
        <f t="shared" si="5"/>
        <v>1</v>
      </c>
    </row>
    <row r="46" ht="15.5" spans="1:29">
      <c r="A46" s="815"/>
      <c r="B46" s="1261">
        <v>111</v>
      </c>
      <c r="C46" s="772"/>
      <c r="D46" s="773">
        <v>100</v>
      </c>
      <c r="E46" s="762"/>
      <c r="F46" s="1142">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2"/>
      <c r="Q46" s="863">
        <f t="shared" si="11"/>
        <v>111</v>
      </c>
      <c r="R46" s="964" t="s">
        <v>1391</v>
      </c>
      <c r="S46" s="965">
        <f t="shared" si="12"/>
        <v>100</v>
      </c>
      <c r="T46" s="964" t="s">
        <v>1391</v>
      </c>
      <c r="U46" s="965">
        <f t="shared" si="13"/>
        <v>100</v>
      </c>
      <c r="V46" s="964" t="s">
        <v>1391</v>
      </c>
      <c r="W46" s="965">
        <f t="shared" si="14"/>
        <v>100</v>
      </c>
      <c r="X46" s="951"/>
      <c r="Y46" s="925"/>
      <c r="Z46" s="937">
        <f t="shared" si="15"/>
        <v>111</v>
      </c>
      <c r="AA46" s="980">
        <f t="shared" si="3"/>
        <v>1</v>
      </c>
      <c r="AB46" s="980">
        <f t="shared" si="4"/>
        <v>1</v>
      </c>
      <c r="AC46" s="1335">
        <f t="shared" si="5"/>
        <v>1</v>
      </c>
    </row>
    <row r="47" ht="16.25" spans="1:29">
      <c r="A47" s="1241"/>
      <c r="B47" s="775">
        <v>111</v>
      </c>
      <c r="C47" s="776"/>
      <c r="D47" s="777">
        <v>100</v>
      </c>
      <c r="E47" s="762"/>
      <c r="F47" s="1242">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23"/>
      <c r="Q47" s="863">
        <f t="shared" si="11"/>
        <v>111</v>
      </c>
      <c r="R47" s="964" t="s">
        <v>1391</v>
      </c>
      <c r="S47" s="965">
        <f t="shared" si="12"/>
        <v>100</v>
      </c>
      <c r="T47" s="964" t="s">
        <v>1391</v>
      </c>
      <c r="U47" s="965">
        <f t="shared" si="13"/>
        <v>100</v>
      </c>
      <c r="V47" s="964" t="s">
        <v>1391</v>
      </c>
      <c r="W47" s="965">
        <f t="shared" si="14"/>
        <v>100</v>
      </c>
      <c r="X47" s="951"/>
      <c r="Y47" s="1279"/>
      <c r="Z47" s="937">
        <f t="shared" si="15"/>
        <v>111</v>
      </c>
      <c r="AA47" s="980">
        <f t="shared" si="3"/>
        <v>1</v>
      </c>
      <c r="AB47" s="980">
        <f t="shared" si="4"/>
        <v>1</v>
      </c>
      <c r="AC47" s="1335">
        <f t="shared" si="5"/>
        <v>1</v>
      </c>
    </row>
    <row r="48" spans="1:29">
      <c r="A48" s="822" t="s">
        <v>2132</v>
      </c>
      <c r="B48" s="1243"/>
      <c r="C48" s="1162" t="s">
        <v>124</v>
      </c>
      <c r="D48" s="1163"/>
      <c r="E48" s="1164"/>
      <c r="F48" s="1165"/>
      <c r="G48" s="1166"/>
      <c r="H48" s="1167"/>
      <c r="I48" s="1164"/>
      <c r="J48" s="829"/>
      <c r="K48" s="928"/>
      <c r="L48" s="929"/>
      <c r="M48" s="897"/>
      <c r="N48" s="897"/>
      <c r="O48" s="897"/>
      <c r="P48" s="862" t="str">
        <f>A48</f>
        <v>成交单价（元/平方米）</v>
      </c>
      <c r="Q48" s="863"/>
      <c r="R48" s="980">
        <f>E48</f>
        <v>0</v>
      </c>
      <c r="S48" s="980"/>
      <c r="T48" s="980">
        <f>G48</f>
        <v>0</v>
      </c>
      <c r="U48" s="980"/>
      <c r="V48" s="980">
        <f>I48</f>
        <v>0</v>
      </c>
      <c r="W48" s="980"/>
      <c r="X48" s="1230"/>
      <c r="Y48" s="982"/>
      <c r="Z48" s="1230"/>
      <c r="AA48" s="1230"/>
      <c r="AB48" s="1230"/>
      <c r="AC48" s="783"/>
    </row>
    <row r="49" ht="14.75" spans="1:29">
      <c r="A49" s="830" t="s">
        <v>1427</v>
      </c>
      <c r="B49" s="1168"/>
      <c r="C49" s="1169" t="e">
        <f>R50</f>
        <v>#DIV/0!</v>
      </c>
      <c r="D49" s="833" t="s">
        <v>1428</v>
      </c>
      <c r="E49" s="1170" t="e">
        <f>R49</f>
        <v>#DIV/0!</v>
      </c>
      <c r="F49" s="834"/>
      <c r="G49" s="1169" t="e">
        <f>T49</f>
        <v>#DIV/0!</v>
      </c>
      <c r="H49" s="834"/>
      <c r="I49" s="1170"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230"/>
      <c r="Y49" s="1230"/>
      <c r="Z49" s="1230"/>
      <c r="AA49" s="1230"/>
      <c r="AB49" s="1230"/>
      <c r="AC49" s="783"/>
    </row>
    <row r="50" ht="14.75" spans="1:29">
      <c r="A50" s="836" t="s">
        <v>2133</v>
      </c>
      <c r="B50" s="837"/>
      <c r="C50" s="1171" t="e">
        <f>R50</f>
        <v>#DIV/0!</v>
      </c>
      <c r="D50" s="1171"/>
      <c r="E50" s="1171"/>
      <c r="F50" s="1171"/>
      <c r="G50" s="1171"/>
      <c r="H50" s="1171"/>
      <c r="I50" s="1171"/>
      <c r="J50" s="838"/>
      <c r="K50" s="931"/>
      <c r="L50" s="929"/>
      <c r="M50" s="897"/>
      <c r="N50" s="897"/>
      <c r="O50" s="897"/>
      <c r="P50" s="1324" t="str">
        <f>A50</f>
        <v>估价对象XX用房的比较价值（楼面单价，元/平方米）</v>
      </c>
      <c r="Q50" s="1329"/>
      <c r="R50" s="1330" t="e">
        <f>IF(F1="售价",ROUND(IF(D49="简单平均",AVERAGE(R49:V49),R49*F49+T49*H49+V49*J49),0),ROUND(IF(D49="简单平均",AVERAGE(R49:V49),R49*F49+T49*H49+V49*J49),1))</f>
        <v>#DIV/0!</v>
      </c>
      <c r="S50" s="1330"/>
      <c r="T50" s="1330"/>
      <c r="U50" s="1330"/>
      <c r="V50" s="1330"/>
      <c r="W50" s="1330"/>
      <c r="X50" s="1331"/>
      <c r="Y50" s="1331"/>
      <c r="Z50" s="1331"/>
      <c r="AA50" s="1331"/>
      <c r="AB50" s="1331"/>
      <c r="AC50" s="1336"/>
    </row>
    <row r="51" spans="1:29">
      <c r="A51" s="839"/>
      <c r="B51" s="839"/>
      <c r="C51" s="839"/>
      <c r="D51" s="839"/>
      <c r="E51" s="839"/>
      <c r="F51" s="839"/>
      <c r="G51" s="840"/>
      <c r="H51" s="839"/>
      <c r="I51" s="839"/>
      <c r="J51" s="839"/>
      <c r="K51" s="933"/>
      <c r="L51" s="934"/>
      <c r="M51" s="839"/>
      <c r="N51" s="839"/>
      <c r="O51" s="839"/>
      <c r="P51" s="1192"/>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192"/>
      <c r="Q52" s="839"/>
      <c r="R52" s="839"/>
      <c r="S52" s="839"/>
      <c r="T52" s="839"/>
      <c r="U52" s="839"/>
      <c r="V52" s="839"/>
      <c r="W52" s="839"/>
      <c r="X52" s="839"/>
      <c r="Y52" s="839"/>
      <c r="Z52" s="839"/>
      <c r="AA52" s="839"/>
      <c r="AB52" s="839"/>
      <c r="AC52" s="839"/>
    </row>
    <row r="53" ht="13.5" customHeight="1" spans="1:29">
      <c r="A53" s="839"/>
      <c r="B53" s="839"/>
      <c r="C53" s="841" t="s">
        <v>1430</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192"/>
      <c r="Q53" s="839"/>
      <c r="R53" s="839"/>
      <c r="S53" s="839"/>
      <c r="T53" s="839"/>
      <c r="U53" s="839"/>
      <c r="V53" s="839"/>
      <c r="W53" s="839"/>
      <c r="X53" s="839"/>
      <c r="Y53" s="839"/>
      <c r="Z53" s="839"/>
      <c r="AA53" s="839"/>
      <c r="AB53" s="839"/>
      <c r="AC53" s="839"/>
    </row>
    <row r="54" ht="13.5" customHeight="1" spans="1:29">
      <c r="A54" s="839"/>
      <c r="B54" s="839"/>
      <c r="C54" s="841" t="s">
        <v>1431</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192"/>
      <c r="Q54" s="839"/>
      <c r="R54" s="839"/>
      <c r="S54" s="839"/>
      <c r="T54" s="839"/>
      <c r="U54" s="839"/>
      <c r="V54" s="839"/>
      <c r="W54" s="839"/>
      <c r="X54" s="839"/>
      <c r="Y54" s="839"/>
      <c r="Z54" s="839"/>
      <c r="AA54" s="839"/>
      <c r="AB54" s="839"/>
      <c r="AC54" s="839"/>
    </row>
    <row r="55" s="714" customFormat="1" ht="13.5" customHeight="1" spans="1:29">
      <c r="A55" s="846"/>
      <c r="B55" s="846"/>
      <c r="C55" s="841" t="s">
        <v>1432</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193"/>
      <c r="Q55" s="846"/>
      <c r="R55" s="846"/>
      <c r="S55" s="846"/>
      <c r="T55" s="846"/>
      <c r="U55" s="846"/>
      <c r="V55" s="846"/>
      <c r="W55" s="846"/>
      <c r="X55" s="846"/>
      <c r="Y55" s="846"/>
      <c r="Z55" s="846"/>
      <c r="AA55" s="846"/>
      <c r="AB55" s="846"/>
      <c r="AC55" s="846"/>
    </row>
    <row r="56" s="714" customFormat="1" spans="1:29">
      <c r="A56" s="846"/>
      <c r="B56" s="847"/>
      <c r="C56" s="1172"/>
      <c r="D56" s="846"/>
      <c r="E56" s="846"/>
      <c r="F56" s="846"/>
      <c r="G56" s="846"/>
      <c r="H56" s="846"/>
      <c r="I56" s="846"/>
      <c r="J56" s="846"/>
      <c r="K56" s="935"/>
      <c r="L56" s="936"/>
      <c r="M56" s="846"/>
      <c r="N56" s="846"/>
      <c r="O56" s="846"/>
      <c r="P56" s="1193"/>
      <c r="Q56" s="846"/>
      <c r="R56" s="846"/>
      <c r="S56" s="846"/>
      <c r="T56" s="846"/>
      <c r="U56" s="846"/>
      <c r="V56" s="846"/>
      <c r="W56" s="846"/>
      <c r="X56" s="846"/>
      <c r="Y56" s="846"/>
      <c r="Z56" s="846"/>
      <c r="AA56" s="846"/>
      <c r="AB56" s="846"/>
      <c r="AC56" s="846"/>
    </row>
    <row r="57" spans="1:29">
      <c r="A57" s="839"/>
      <c r="B57" s="847"/>
      <c r="C57" s="1172"/>
      <c r="D57" s="839"/>
      <c r="E57" s="839"/>
      <c r="F57" s="839"/>
      <c r="G57" s="839"/>
      <c r="H57" s="839"/>
      <c r="I57" s="839"/>
      <c r="J57" s="839"/>
      <c r="K57" s="933"/>
      <c r="L57" s="934"/>
      <c r="M57" s="839"/>
      <c r="N57" s="839"/>
      <c r="O57" s="839"/>
      <c r="P57" s="1192"/>
      <c r="Q57" s="839"/>
      <c r="R57" s="839"/>
      <c r="S57" s="839"/>
      <c r="T57" s="839"/>
      <c r="U57" s="839"/>
      <c r="V57" s="839"/>
      <c r="W57" s="839"/>
      <c r="X57" s="839"/>
      <c r="Y57" s="839"/>
      <c r="Z57" s="839"/>
      <c r="AA57" s="839"/>
      <c r="AB57" s="839"/>
      <c r="AC57" s="839"/>
    </row>
    <row r="58" ht="21.75" spans="1:29">
      <c r="A58" s="884" t="s">
        <v>1456</v>
      </c>
      <c r="B58" s="885"/>
      <c r="C58" s="886"/>
      <c r="D58" s="886"/>
      <c r="E58" s="886"/>
      <c r="F58" s="887"/>
      <c r="G58" s="887"/>
      <c r="H58" s="886"/>
      <c r="I58" s="886"/>
      <c r="J58" s="886"/>
      <c r="K58" s="944"/>
      <c r="L58" s="1195"/>
      <c r="M58" s="946"/>
      <c r="N58" s="947"/>
      <c r="O58" s="947"/>
      <c r="P58" s="1196"/>
      <c r="Q58" s="972"/>
      <c r="R58" s="839"/>
      <c r="S58" s="839"/>
      <c r="T58" s="839"/>
      <c r="U58" s="839"/>
      <c r="V58" s="839"/>
      <c r="W58" s="839"/>
      <c r="X58" s="839"/>
      <c r="Y58" s="839"/>
      <c r="Z58" s="839"/>
      <c r="AA58" s="839"/>
      <c r="AB58" s="839"/>
      <c r="AC58" s="839"/>
    </row>
    <row r="59" s="716" customFormat="1" spans="1:29">
      <c r="A59" s="1175" t="s">
        <v>1389</v>
      </c>
      <c r="B59" s="1176"/>
      <c r="C59" s="1177" t="str">
        <f>YEAR(C7)&amp;"-"&amp;MONTH(C7)</f>
        <v>2024-12</v>
      </c>
      <c r="D59" s="1178">
        <f>EDATE(C59,-1)</f>
        <v>45597</v>
      </c>
      <c r="E59" s="1178">
        <f>EDATE(D59,-1)</f>
        <v>45566</v>
      </c>
      <c r="F59" s="1178">
        <f t="shared" ref="F59:O59" si="16">EDATE(E59,-1)</f>
        <v>45536</v>
      </c>
      <c r="G59" s="1178">
        <f t="shared" si="16"/>
        <v>45505</v>
      </c>
      <c r="H59" s="1178">
        <f t="shared" si="16"/>
        <v>45474</v>
      </c>
      <c r="I59" s="1178">
        <f t="shared" si="16"/>
        <v>45444</v>
      </c>
      <c r="J59" s="1178">
        <f t="shared" si="16"/>
        <v>45413</v>
      </c>
      <c r="K59" s="1178">
        <f t="shared" si="16"/>
        <v>45383</v>
      </c>
      <c r="L59" s="1178">
        <f t="shared" si="16"/>
        <v>45352</v>
      </c>
      <c r="M59" s="1178">
        <f t="shared" si="16"/>
        <v>45323</v>
      </c>
      <c r="N59" s="1178">
        <f t="shared" si="16"/>
        <v>45292</v>
      </c>
      <c r="O59" s="1178">
        <f t="shared" si="16"/>
        <v>45261</v>
      </c>
      <c r="P59" s="1197"/>
      <c r="Q59" s="1094"/>
      <c r="R59" s="1094"/>
      <c r="S59" s="1094"/>
      <c r="T59" s="1094"/>
      <c r="U59" s="1094"/>
      <c r="V59" s="1094"/>
      <c r="W59" s="1094"/>
      <c r="X59" s="1094"/>
      <c r="Y59" s="1094"/>
      <c r="Z59" s="1094"/>
      <c r="AA59" s="1094"/>
      <c r="AB59" s="1094"/>
      <c r="AC59" s="1094"/>
    </row>
    <row r="60" s="711" customFormat="1" spans="1:29">
      <c r="A60" s="1179"/>
      <c r="B60" s="995"/>
      <c r="C60" s="1244">
        <v>100</v>
      </c>
      <c r="D60" s="999"/>
      <c r="E60" s="999"/>
      <c r="F60" s="999"/>
      <c r="G60" s="999"/>
      <c r="H60" s="999"/>
      <c r="I60" s="999"/>
      <c r="J60" s="999"/>
      <c r="K60" s="999"/>
      <c r="L60" s="999"/>
      <c r="M60" s="1198"/>
      <c r="N60" s="999"/>
      <c r="O60" s="1198"/>
      <c r="P60" s="1199"/>
      <c r="Q60" s="1095"/>
      <c r="R60" s="1095"/>
      <c r="S60" s="1095"/>
      <c r="T60" s="1095"/>
      <c r="U60" s="1095"/>
      <c r="V60" s="1095"/>
      <c r="W60" s="1095"/>
      <c r="X60" s="1095"/>
      <c r="Y60" s="1095"/>
      <c r="Z60" s="1095"/>
      <c r="AA60" s="1095"/>
      <c r="AB60" s="1095"/>
      <c r="AC60" s="1095"/>
    </row>
    <row r="61" s="711" customFormat="1" ht="14.75" spans="1:29">
      <c r="A61" s="990" t="s">
        <v>1459</v>
      </c>
      <c r="B61" s="991"/>
      <c r="C61" s="992"/>
      <c r="D61" s="993"/>
      <c r="E61" s="993"/>
      <c r="F61" s="993"/>
      <c r="G61" s="993"/>
      <c r="H61" s="993"/>
      <c r="I61" s="993"/>
      <c r="J61" s="993"/>
      <c r="K61" s="993"/>
      <c r="L61" s="993"/>
      <c r="M61" s="1041"/>
      <c r="N61" s="993"/>
      <c r="O61" s="1041"/>
      <c r="P61" s="1199"/>
      <c r="Q61" s="972"/>
      <c r="R61" s="1095"/>
      <c r="S61" s="1095"/>
      <c r="T61" s="1095"/>
      <c r="U61" s="1095"/>
      <c r="V61" s="1095"/>
      <c r="W61" s="1095"/>
      <c r="X61" s="1095"/>
      <c r="Y61" s="1095"/>
      <c r="Z61" s="1095"/>
      <c r="AA61" s="1095"/>
      <c r="AB61" s="1095"/>
      <c r="AC61" s="1095"/>
    </row>
    <row r="62" s="711" customFormat="1" spans="1:29">
      <c r="A62" s="994" t="s">
        <v>1392</v>
      </c>
      <c r="B62" s="995"/>
      <c r="C62" s="996" t="s">
        <v>1393</v>
      </c>
      <c r="D62" s="997"/>
      <c r="E62" s="997"/>
      <c r="F62" s="997"/>
      <c r="G62" s="997"/>
      <c r="H62" s="997"/>
      <c r="I62" s="997"/>
      <c r="J62" s="997"/>
      <c r="K62" s="997"/>
      <c r="L62" s="1043"/>
      <c r="M62" s="1044"/>
      <c r="N62" s="1045"/>
      <c r="O62" s="1045"/>
      <c r="P62" s="1200"/>
      <c r="Q62" s="972"/>
      <c r="R62" s="1095"/>
      <c r="S62" s="1095"/>
      <c r="T62" s="1095"/>
      <c r="U62" s="1095"/>
      <c r="V62" s="1095"/>
      <c r="W62" s="1095"/>
      <c r="X62" s="1095"/>
      <c r="Y62" s="1095"/>
      <c r="Z62" s="1095"/>
      <c r="AA62" s="1095"/>
      <c r="AB62" s="1095"/>
      <c r="AC62" s="1095"/>
    </row>
    <row r="63" s="711" customFormat="1" ht="14.75" spans="1:29">
      <c r="A63" s="994"/>
      <c r="B63" s="995"/>
      <c r="C63" s="1314">
        <v>100</v>
      </c>
      <c r="D63" s="999"/>
      <c r="E63" s="999"/>
      <c r="F63" s="999"/>
      <c r="G63" s="999"/>
      <c r="H63" s="999"/>
      <c r="I63" s="999"/>
      <c r="J63" s="999"/>
      <c r="K63" s="999"/>
      <c r="L63" s="999"/>
      <c r="M63" s="1047"/>
      <c r="N63" s="1045"/>
      <c r="O63" s="1045"/>
      <c r="P63" s="1199"/>
      <c r="Q63" s="972"/>
      <c r="R63" s="1095"/>
      <c r="S63" s="1095"/>
      <c r="T63" s="1095"/>
      <c r="U63" s="1095"/>
      <c r="V63" s="1095"/>
      <c r="W63" s="1095"/>
      <c r="X63" s="1095"/>
      <c r="Y63" s="1095"/>
      <c r="Z63" s="1095"/>
      <c r="AA63" s="1095"/>
      <c r="AB63" s="1095"/>
      <c r="AC63" s="1095"/>
    </row>
    <row r="64" spans="1:29">
      <c r="A64" s="1000" t="s">
        <v>1460</v>
      </c>
      <c r="B64" s="1001" t="s">
        <v>1397</v>
      </c>
      <c r="C64" s="1023">
        <f>C9</f>
        <v>0</v>
      </c>
      <c r="D64" s="926"/>
      <c r="E64" s="926"/>
      <c r="F64" s="926"/>
      <c r="G64" s="926"/>
      <c r="H64" s="926"/>
      <c r="I64" s="926"/>
      <c r="J64" s="926"/>
      <c r="K64" s="1048"/>
      <c r="L64" s="1049"/>
      <c r="M64" s="1050"/>
      <c r="N64" s="1051"/>
      <c r="O64" s="1051"/>
      <c r="P64" s="1201"/>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01"/>
      <c r="Q65" s="972"/>
      <c r="R65" s="839"/>
      <c r="S65" s="839"/>
      <c r="T65" s="839"/>
      <c r="U65" s="839"/>
      <c r="V65" s="839"/>
      <c r="W65" s="839"/>
      <c r="X65" s="839"/>
      <c r="Y65" s="839"/>
      <c r="Z65" s="839"/>
      <c r="AA65" s="839"/>
      <c r="AB65" s="839"/>
      <c r="AC65" s="839"/>
    </row>
    <row r="66" ht="28.75" spans="1:29">
      <c r="A66" s="1002"/>
      <c r="B66" s="1005" t="s">
        <v>1400</v>
      </c>
      <c r="C66" s="1030"/>
      <c r="D66" s="1030"/>
      <c r="E66" s="1030"/>
      <c r="F66" s="1030"/>
      <c r="G66" s="1030"/>
      <c r="H66" s="1030"/>
      <c r="I66" s="1030"/>
      <c r="J66" s="1030"/>
      <c r="K66" s="1081"/>
      <c r="L66" s="1082"/>
      <c r="M66" s="1083"/>
      <c r="N66" s="1051"/>
      <c r="O66" s="1051"/>
      <c r="P66" s="1201"/>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01"/>
      <c r="Q67" s="972"/>
      <c r="R67" s="839"/>
      <c r="S67" s="839"/>
      <c r="T67" s="839"/>
      <c r="U67" s="839"/>
      <c r="V67" s="839"/>
      <c r="W67" s="839"/>
      <c r="X67" s="839"/>
      <c r="Y67" s="839"/>
      <c r="Z67" s="839"/>
      <c r="AA67" s="839"/>
      <c r="AB67" s="839"/>
      <c r="AC67" s="839"/>
    </row>
    <row r="68" ht="14.75" spans="1:29">
      <c r="A68" s="1002"/>
      <c r="B68" s="1009" t="s">
        <v>1401</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01"/>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01"/>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01"/>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02"/>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02"/>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03"/>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02"/>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38"/>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02"/>
      <c r="Q76" s="1096"/>
      <c r="R76" s="1097"/>
      <c r="S76" s="1097"/>
      <c r="T76" s="1097"/>
      <c r="U76" s="1097"/>
      <c r="V76" s="1097"/>
      <c r="W76" s="1097"/>
      <c r="X76" s="1097"/>
      <c r="Y76" s="1097"/>
      <c r="Z76" s="1097"/>
      <c r="AA76" s="1097"/>
      <c r="AB76" s="1097"/>
      <c r="AC76" s="1097"/>
    </row>
    <row r="77" spans="1:29">
      <c r="A77" s="1000" t="s">
        <v>1403</v>
      </c>
      <c r="B77" s="1001" t="s">
        <v>1407</v>
      </c>
      <c r="C77" s="1022" t="s">
        <v>1271</v>
      </c>
      <c r="D77" s="1022" t="s">
        <v>1272</v>
      </c>
      <c r="E77" s="1022" t="s">
        <v>1273</v>
      </c>
      <c r="F77" s="1022" t="s">
        <v>1274</v>
      </c>
      <c r="G77" s="1022" t="s">
        <v>1275</v>
      </c>
      <c r="H77" s="1023"/>
      <c r="I77" s="1023"/>
      <c r="J77" s="1023"/>
      <c r="K77" s="1071"/>
      <c r="L77" s="1072"/>
      <c r="M77" s="1073"/>
      <c r="N77" s="1051"/>
      <c r="O77" s="1051"/>
      <c r="P77" s="1204"/>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01"/>
      <c r="Q78" s="972"/>
      <c r="R78" s="839"/>
      <c r="S78" s="839"/>
      <c r="T78" s="839"/>
      <c r="U78" s="839"/>
      <c r="V78" s="839"/>
      <c r="W78" s="839"/>
      <c r="X78" s="839"/>
      <c r="Y78" s="839"/>
      <c r="Z78" s="839"/>
      <c r="AA78" s="839"/>
      <c r="AB78" s="839"/>
      <c r="AC78" s="839"/>
    </row>
    <row r="79" ht="14.75" spans="1:29">
      <c r="A79" s="1002"/>
      <c r="B79" s="1005" t="s">
        <v>1408</v>
      </c>
      <c r="C79" s="1024" t="s">
        <v>1271</v>
      </c>
      <c r="D79" s="1024" t="s">
        <v>1272</v>
      </c>
      <c r="E79" s="1024" t="s">
        <v>1273</v>
      </c>
      <c r="F79" s="1024" t="s">
        <v>1274</v>
      </c>
      <c r="G79" s="1024" t="s">
        <v>1275</v>
      </c>
      <c r="H79" s="1006"/>
      <c r="I79" s="1006"/>
      <c r="J79" s="1006"/>
      <c r="K79" s="1055"/>
      <c r="L79" s="1056"/>
      <c r="M79" s="1057"/>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01"/>
      <c r="Q80" s="972"/>
      <c r="R80" s="839"/>
      <c r="S80" s="839"/>
      <c r="T80" s="839"/>
      <c r="U80" s="839"/>
      <c r="V80" s="839"/>
      <c r="W80" s="839"/>
      <c r="X80" s="839"/>
      <c r="Y80" s="839"/>
      <c r="Z80" s="839"/>
      <c r="AA80" s="839"/>
      <c r="AB80" s="839"/>
      <c r="AC80" s="839"/>
    </row>
    <row r="81" ht="14.75" spans="1:29">
      <c r="A81" s="1002"/>
      <c r="B81" s="1005" t="s">
        <v>1411</v>
      </c>
      <c r="C81" s="1024" t="s">
        <v>1271</v>
      </c>
      <c r="D81" s="1024" t="s">
        <v>1272</v>
      </c>
      <c r="E81" s="1024" t="s">
        <v>1273</v>
      </c>
      <c r="F81" s="1024" t="s">
        <v>1274</v>
      </c>
      <c r="G81" s="1024" t="s">
        <v>1275</v>
      </c>
      <c r="H81" s="1006"/>
      <c r="I81" s="1006"/>
      <c r="J81" s="1006"/>
      <c r="K81" s="1055"/>
      <c r="L81" s="1056"/>
      <c r="M81" s="1057"/>
      <c r="N81" s="1051"/>
      <c r="O81" s="1051"/>
      <c r="P81" s="1201"/>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01"/>
      <c r="Q82" s="972"/>
      <c r="R82" s="839"/>
      <c r="S82" s="839"/>
      <c r="T82" s="839"/>
      <c r="U82" s="839"/>
      <c r="V82" s="839"/>
      <c r="W82" s="839"/>
      <c r="X82" s="839"/>
      <c r="Y82" s="839"/>
      <c r="Z82" s="839"/>
      <c r="AA82" s="839"/>
      <c r="AB82" s="839"/>
      <c r="AC82" s="839"/>
    </row>
    <row r="83" ht="14.75" spans="1:29">
      <c r="A83" s="1002"/>
      <c r="B83" s="1009" t="s">
        <v>1412</v>
      </c>
      <c r="C83" s="1029" t="s">
        <v>1463</v>
      </c>
      <c r="D83" s="1029" t="s">
        <v>1464</v>
      </c>
      <c r="E83" s="1029" t="s">
        <v>1465</v>
      </c>
      <c r="F83" s="1029" t="s">
        <v>1466</v>
      </c>
      <c r="G83" s="1029" t="s">
        <v>1467</v>
      </c>
      <c r="H83" s="1006"/>
      <c r="I83" s="1006"/>
      <c r="J83" s="1006"/>
      <c r="K83" s="1006"/>
      <c r="L83" s="1006"/>
      <c r="M83" s="1212"/>
      <c r="N83" s="1054"/>
      <c r="O83" s="1054"/>
      <c r="P83" s="1201"/>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01"/>
      <c r="Q84" s="972"/>
      <c r="R84" s="839"/>
      <c r="S84" s="839"/>
      <c r="T84" s="839"/>
      <c r="U84" s="839"/>
      <c r="V84" s="839"/>
      <c r="W84" s="839"/>
      <c r="X84" s="839"/>
      <c r="Y84" s="839"/>
      <c r="Z84" s="839"/>
      <c r="AA84" s="839"/>
      <c r="AB84" s="839"/>
      <c r="AC84" s="839"/>
    </row>
    <row r="85" ht="14.75" spans="1:29">
      <c r="A85" s="1002"/>
      <c r="B85" s="1005" t="s">
        <v>2171</v>
      </c>
      <c r="C85" s="1024" t="s">
        <v>1271</v>
      </c>
      <c r="D85" s="1024" t="s">
        <v>1272</v>
      </c>
      <c r="E85" s="1024" t="s">
        <v>1273</v>
      </c>
      <c r="F85" s="1024" t="s">
        <v>1274</v>
      </c>
      <c r="G85" s="1024" t="s">
        <v>1275</v>
      </c>
      <c r="H85" s="1006"/>
      <c r="I85" s="1006"/>
      <c r="J85" s="1006"/>
      <c r="K85" s="1055"/>
      <c r="L85" s="1056"/>
      <c r="M85" s="1057"/>
      <c r="N85" s="1051"/>
      <c r="O85" s="1051"/>
      <c r="P85" s="1201"/>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01"/>
      <c r="Q86" s="972"/>
      <c r="R86" s="839"/>
      <c r="S86" s="839"/>
      <c r="T86" s="839"/>
      <c r="U86" s="839"/>
      <c r="V86" s="839"/>
      <c r="W86" s="839"/>
      <c r="X86" s="839"/>
      <c r="Y86" s="839"/>
      <c r="Z86" s="839"/>
      <c r="AA86" s="839"/>
      <c r="AB86" s="839"/>
      <c r="AC86" s="839"/>
    </row>
    <row r="87" s="711" customFormat="1" ht="28.75" spans="1:29">
      <c r="A87" s="1025"/>
      <c r="B87" s="1005" t="s">
        <v>1414</v>
      </c>
      <c r="C87" s="1013"/>
      <c r="D87" s="1013"/>
      <c r="E87" s="1013"/>
      <c r="F87" s="1013"/>
      <c r="G87" s="1013"/>
      <c r="H87" s="1013"/>
      <c r="I87" s="1013"/>
      <c r="J87" s="1013"/>
      <c r="K87" s="1013"/>
      <c r="L87" s="1213"/>
      <c r="M87" s="1214"/>
      <c r="N87" s="1045"/>
      <c r="O87" s="1045"/>
      <c r="P87" s="1201"/>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01"/>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37"/>
      <c r="G89" s="1013"/>
      <c r="H89" s="1013"/>
      <c r="I89" s="1013"/>
      <c r="J89" s="1013"/>
      <c r="K89" s="1013"/>
      <c r="L89" s="1013"/>
      <c r="M89" s="1214"/>
      <c r="N89" s="1045"/>
      <c r="O89" s="1045"/>
      <c r="P89" s="1201"/>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01"/>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02"/>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13"/>
      <c r="M93" s="1214"/>
      <c r="N93" s="1051"/>
      <c r="O93" s="1051"/>
      <c r="P93" s="1201"/>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01"/>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01"/>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01"/>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01"/>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01"/>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01"/>
      <c r="Q99" s="972"/>
      <c r="R99" s="839"/>
      <c r="S99" s="839"/>
      <c r="T99" s="839"/>
      <c r="U99" s="839"/>
      <c r="V99" s="839"/>
      <c r="W99" s="839"/>
      <c r="X99" s="839"/>
      <c r="Y99" s="839"/>
      <c r="Z99" s="839"/>
      <c r="AA99" s="839"/>
      <c r="AB99" s="839"/>
      <c r="AC99" s="839"/>
    </row>
    <row r="100" ht="14.75" spans="1:29">
      <c r="A100" s="1297"/>
      <c r="B100" s="1019"/>
      <c r="C100" s="1020"/>
      <c r="D100" s="1020"/>
      <c r="E100" s="1020"/>
      <c r="F100" s="1020"/>
      <c r="G100" s="1032"/>
      <c r="H100" s="1032"/>
      <c r="I100" s="1032"/>
      <c r="J100" s="1032"/>
      <c r="K100" s="1032"/>
      <c r="L100" s="1032"/>
      <c r="M100" s="1087"/>
      <c r="N100" s="1054"/>
      <c r="O100" s="1054"/>
      <c r="P100" s="1201"/>
      <c r="Q100" s="972"/>
      <c r="R100" s="839"/>
      <c r="S100" s="839"/>
      <c r="T100" s="839"/>
      <c r="U100" s="839"/>
      <c r="V100" s="839"/>
      <c r="W100" s="839"/>
      <c r="X100" s="839"/>
      <c r="Y100" s="839"/>
      <c r="Z100" s="839"/>
      <c r="AA100" s="839"/>
      <c r="AB100" s="839"/>
      <c r="AC100" s="839"/>
    </row>
    <row r="101" spans="1:29">
      <c r="A101" s="1000" t="s">
        <v>1417</v>
      </c>
      <c r="B101" s="1001" t="s">
        <v>2115</v>
      </c>
      <c r="C101" s="926"/>
      <c r="D101" s="926"/>
      <c r="E101" s="926"/>
      <c r="F101" s="926"/>
      <c r="G101" s="926"/>
      <c r="H101" s="926"/>
      <c r="I101" s="926"/>
      <c r="J101" s="926"/>
      <c r="K101" s="1048"/>
      <c r="L101" s="1049"/>
      <c r="M101" s="1050"/>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01"/>
      <c r="Q102" s="972"/>
      <c r="R102" s="839"/>
      <c r="S102" s="839"/>
      <c r="T102" s="839"/>
      <c r="U102" s="839"/>
      <c r="V102" s="839"/>
      <c r="W102" s="839"/>
      <c r="X102" s="839"/>
      <c r="Y102" s="839"/>
      <c r="Z102" s="839"/>
      <c r="AA102" s="839"/>
      <c r="AB102" s="839"/>
      <c r="AC102" s="839"/>
    </row>
    <row r="103" ht="14.75" spans="1:29">
      <c r="A103" s="1002"/>
      <c r="B103" s="1005" t="s">
        <v>2118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01"/>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02"/>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02"/>
      <c r="Q105" s="1096"/>
      <c r="R105" s="1097"/>
      <c r="S105" s="1097"/>
      <c r="T105" s="1097"/>
      <c r="U105" s="1097"/>
      <c r="V105" s="1097"/>
      <c r="W105" s="1097"/>
      <c r="X105" s="1097"/>
      <c r="Y105" s="1097"/>
      <c r="Z105" s="1097"/>
      <c r="AA105" s="1097"/>
      <c r="AB105" s="1097"/>
      <c r="AC105" s="1097"/>
    </row>
    <row r="106" ht="14.75" spans="1:29">
      <c r="A106" s="1036"/>
      <c r="B106" s="1005" t="s">
        <v>2119</v>
      </c>
      <c r="C106" s="1013"/>
      <c r="D106" s="1013"/>
      <c r="E106" s="1030"/>
      <c r="F106" s="1030"/>
      <c r="G106" s="1030"/>
      <c r="H106" s="1030"/>
      <c r="I106" s="1030"/>
      <c r="J106" s="1030"/>
      <c r="K106" s="1081"/>
      <c r="L106" s="1082"/>
      <c r="M106" s="1083"/>
      <c r="N106" s="1051"/>
      <c r="O106" s="1051"/>
      <c r="P106" s="1201"/>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01"/>
      <c r="Q107" s="972"/>
      <c r="R107" s="839"/>
      <c r="S107" s="839"/>
      <c r="T107" s="839"/>
      <c r="U107" s="839"/>
      <c r="V107" s="839"/>
      <c r="W107" s="839"/>
      <c r="X107" s="839"/>
      <c r="Y107" s="839"/>
      <c r="Z107" s="839"/>
      <c r="AA107" s="839"/>
      <c r="AB107" s="839"/>
      <c r="AC107" s="839"/>
    </row>
    <row r="108" ht="14.75" spans="1:29">
      <c r="A108" s="1036"/>
      <c r="B108" s="1005" t="s">
        <v>2123</v>
      </c>
      <c r="C108" s="1013"/>
      <c r="D108" s="1013"/>
      <c r="E108" s="1013"/>
      <c r="F108" s="1030"/>
      <c r="G108" s="1030"/>
      <c r="H108" s="1030"/>
      <c r="I108" s="1030"/>
      <c r="J108" s="1030"/>
      <c r="K108" s="1081"/>
      <c r="L108" s="1082"/>
      <c r="M108" s="1083"/>
      <c r="N108" s="1051"/>
      <c r="O108" s="1051"/>
      <c r="P108" s="1201"/>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01"/>
      <c r="Q109" s="972"/>
      <c r="R109" s="839"/>
      <c r="S109" s="839"/>
      <c r="T109" s="839"/>
      <c r="U109" s="839"/>
      <c r="V109" s="839"/>
      <c r="W109" s="839"/>
      <c r="X109" s="839"/>
      <c r="Y109" s="839"/>
      <c r="Z109" s="839"/>
      <c r="AA109" s="839"/>
      <c r="AB109" s="839"/>
      <c r="AC109" s="839"/>
    </row>
    <row r="110" ht="14.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01"/>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18"/>
      <c r="J111" s="1218"/>
      <c r="K111" s="1219"/>
      <c r="L111" s="1220"/>
      <c r="M111" s="1221"/>
      <c r="N111" s="1051"/>
      <c r="O111" s="1051"/>
      <c r="P111" s="1201"/>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01"/>
      <c r="Q112" s="972"/>
      <c r="R112" s="839"/>
      <c r="S112" s="839"/>
      <c r="T112" s="839"/>
      <c r="U112" s="839"/>
      <c r="V112" s="839"/>
      <c r="W112" s="839"/>
      <c r="X112" s="839"/>
      <c r="Y112" s="839"/>
      <c r="Z112" s="839"/>
      <c r="AA112" s="839"/>
      <c r="AB112" s="839"/>
      <c r="AC112" s="839"/>
    </row>
    <row r="113" s="713" customFormat="1" ht="14.75" spans="1:29">
      <c r="A113" s="1033"/>
      <c r="B113" s="1005" t="s">
        <v>2172</v>
      </c>
      <c r="C113" s="1013"/>
      <c r="D113" s="1013"/>
      <c r="E113" s="1013"/>
      <c r="F113" s="1013"/>
      <c r="G113" s="1013"/>
      <c r="H113" s="1030"/>
      <c r="I113" s="1030"/>
      <c r="J113" s="1030"/>
      <c r="K113" s="1081"/>
      <c r="L113" s="1082"/>
      <c r="M113" s="1083"/>
      <c r="N113" s="1064"/>
      <c r="O113" s="1064"/>
      <c r="P113" s="1202"/>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02"/>
      <c r="Q114" s="1096"/>
      <c r="R114" s="1097"/>
      <c r="S114" s="1097"/>
      <c r="T114" s="1097"/>
      <c r="U114" s="1097"/>
      <c r="V114" s="1097"/>
      <c r="W114" s="1097"/>
      <c r="X114" s="1097"/>
      <c r="Y114" s="1097"/>
      <c r="Z114" s="1097"/>
      <c r="AA114" s="1097"/>
      <c r="AB114" s="1097"/>
      <c r="AC114" s="1097"/>
    </row>
    <row r="115" ht="14.75" spans="1:29">
      <c r="A115" s="1036"/>
      <c r="B115" s="1005" t="s">
        <v>2124</v>
      </c>
      <c r="C115" s="1013"/>
      <c r="D115" s="1013"/>
      <c r="E115" s="1030"/>
      <c r="F115" s="1030"/>
      <c r="G115" s="1030"/>
      <c r="H115" s="1030"/>
      <c r="I115" s="1030"/>
      <c r="J115" s="1030"/>
      <c r="K115" s="1081"/>
      <c r="L115" s="1082"/>
      <c r="M115" s="1083"/>
      <c r="N115" s="1051"/>
      <c r="O115" s="1051"/>
      <c r="P115" s="1201"/>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01"/>
      <c r="Q116" s="972"/>
      <c r="R116" s="839"/>
      <c r="S116" s="839"/>
      <c r="T116" s="839"/>
      <c r="U116" s="839"/>
      <c r="V116" s="839"/>
      <c r="W116" s="839"/>
      <c r="X116" s="839"/>
      <c r="Y116" s="839"/>
      <c r="Z116" s="839"/>
      <c r="AA116" s="839"/>
      <c r="AB116" s="839"/>
      <c r="AC116" s="839"/>
    </row>
    <row r="117" ht="14.75" spans="1:29">
      <c r="A117" s="1036"/>
      <c r="B117" s="1005" t="s">
        <v>2125</v>
      </c>
      <c r="C117" s="1013"/>
      <c r="D117" s="1013"/>
      <c r="E117" s="1013"/>
      <c r="F117" s="1013"/>
      <c r="G117" s="1013"/>
      <c r="H117" s="1030"/>
      <c r="I117" s="1030"/>
      <c r="J117" s="1030"/>
      <c r="K117" s="1081"/>
      <c r="L117" s="1082"/>
      <c r="M117" s="1083"/>
      <c r="N117" s="1051"/>
      <c r="O117" s="1051"/>
      <c r="P117" s="1201"/>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01"/>
      <c r="Q118" s="972"/>
      <c r="R118" s="839"/>
      <c r="S118" s="839"/>
      <c r="T118" s="839"/>
      <c r="U118" s="839"/>
      <c r="V118" s="839"/>
      <c r="W118" s="839"/>
      <c r="X118" s="839"/>
      <c r="Y118" s="839"/>
      <c r="Z118" s="839"/>
      <c r="AA118" s="839"/>
      <c r="AB118" s="839"/>
      <c r="AC118" s="839"/>
    </row>
    <row r="119" ht="14.75" spans="1:29">
      <c r="A119" s="1036"/>
      <c r="B119" s="1211" t="s">
        <v>2174</v>
      </c>
      <c r="C119" s="1030"/>
      <c r="D119" s="1030"/>
      <c r="E119" s="1030"/>
      <c r="F119" s="1030"/>
      <c r="G119" s="1030"/>
      <c r="H119" s="1030"/>
      <c r="I119" s="1030"/>
      <c r="J119" s="1030"/>
      <c r="K119" s="1030"/>
      <c r="L119" s="1339"/>
      <c r="M119" s="1340"/>
      <c r="N119" s="1054"/>
      <c r="O119" s="1054"/>
      <c r="P119" s="1222"/>
      <c r="Q119" s="1223"/>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01"/>
      <c r="Q120" s="972"/>
      <c r="R120" s="839"/>
      <c r="S120" s="839"/>
      <c r="T120" s="839"/>
      <c r="U120" s="839"/>
      <c r="V120" s="839"/>
      <c r="W120" s="839"/>
      <c r="X120" s="839"/>
      <c r="Y120" s="839"/>
      <c r="Z120" s="839"/>
      <c r="AA120" s="839"/>
      <c r="AB120" s="839"/>
      <c r="AC120" s="839"/>
    </row>
    <row r="121" s="713" customFormat="1" ht="14.75" spans="1:29">
      <c r="A121" s="1033"/>
      <c r="B121" s="1005" t="s">
        <v>2167</v>
      </c>
      <c r="C121" s="1013"/>
      <c r="D121" s="1013"/>
      <c r="E121" s="1013"/>
      <c r="F121" s="1030"/>
      <c r="G121" s="1014"/>
      <c r="H121" s="1014"/>
      <c r="I121" s="1014"/>
      <c r="J121" s="1014"/>
      <c r="K121" s="1014"/>
      <c r="L121" s="1062"/>
      <c r="M121" s="1063"/>
      <c r="N121" s="1064"/>
      <c r="O121" s="1064"/>
      <c r="P121" s="1202"/>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02"/>
      <c r="Q122" s="1096"/>
      <c r="R122" s="1097"/>
      <c r="S122" s="1097"/>
      <c r="T122" s="1097"/>
      <c r="U122" s="1097"/>
      <c r="V122" s="1097"/>
      <c r="W122" s="1097"/>
      <c r="X122" s="1097"/>
      <c r="Y122" s="1097"/>
      <c r="Z122" s="1097"/>
      <c r="AA122" s="1097"/>
      <c r="AB122" s="1097"/>
      <c r="AC122" s="1097"/>
    </row>
    <row r="123" ht="14.75" spans="1:29">
      <c r="A123" s="1036"/>
      <c r="B123" s="1005" t="s">
        <v>2128</v>
      </c>
      <c r="C123" s="1013"/>
      <c r="D123" s="1013"/>
      <c r="E123" s="1013"/>
      <c r="F123" s="1030"/>
      <c r="G123" s="1030"/>
      <c r="H123" s="1030"/>
      <c r="I123" s="1030"/>
      <c r="J123" s="1030"/>
      <c r="K123" s="1081"/>
      <c r="L123" s="1082"/>
      <c r="M123" s="1083"/>
      <c r="N123" s="1051"/>
      <c r="O123" s="1051"/>
      <c r="P123" s="1201"/>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01"/>
      <c r="Q124" s="972"/>
      <c r="R124" s="839"/>
      <c r="S124" s="839"/>
      <c r="T124" s="839"/>
      <c r="U124" s="839"/>
      <c r="V124" s="839"/>
      <c r="W124" s="839"/>
      <c r="X124" s="839"/>
      <c r="Y124" s="839"/>
      <c r="Z124" s="839"/>
      <c r="AA124" s="839"/>
      <c r="AB124" s="839"/>
      <c r="AC124" s="839"/>
    </row>
    <row r="125" ht="28.75" spans="1:29">
      <c r="A125" s="1036"/>
      <c r="B125" s="1005" t="s">
        <v>2131</v>
      </c>
      <c r="C125" s="1024" t="s">
        <v>1271</v>
      </c>
      <c r="D125" s="1024" t="s">
        <v>1272</v>
      </c>
      <c r="E125" s="1024" t="s">
        <v>1273</v>
      </c>
      <c r="F125" s="1024" t="s">
        <v>1274</v>
      </c>
      <c r="G125" s="1024" t="s">
        <v>1275</v>
      </c>
      <c r="H125" s="1006"/>
      <c r="I125" s="1006"/>
      <c r="J125" s="1006"/>
      <c r="K125" s="1055"/>
      <c r="L125" s="1056"/>
      <c r="M125" s="1057"/>
      <c r="N125" s="1051"/>
      <c r="O125" s="1051"/>
      <c r="P125" s="1202"/>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01"/>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02"/>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02"/>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01"/>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01"/>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01"/>
      <c r="Q131" s="972"/>
      <c r="R131" s="839"/>
      <c r="S131" s="839"/>
      <c r="T131" s="839"/>
      <c r="U131" s="839"/>
      <c r="V131" s="839"/>
      <c r="W131" s="839"/>
      <c r="X131" s="839"/>
      <c r="Y131" s="839"/>
      <c r="Z131" s="839"/>
      <c r="AA131" s="839"/>
      <c r="AB131" s="839"/>
      <c r="AC131" s="839"/>
    </row>
    <row r="132" ht="14.75" spans="1:29">
      <c r="A132" s="1297"/>
      <c r="B132" s="1019"/>
      <c r="C132" s="1020"/>
      <c r="D132" s="1020"/>
      <c r="E132" s="1020"/>
      <c r="F132" s="1020"/>
      <c r="G132" s="1032"/>
      <c r="H132" s="1032"/>
      <c r="I132" s="1032"/>
      <c r="J132" s="1032"/>
      <c r="K132" s="1032"/>
      <c r="L132" s="1032"/>
      <c r="M132" s="1087"/>
      <c r="N132" s="1054"/>
      <c r="O132" s="1054"/>
      <c r="P132" s="120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255" t="s">
        <v>2175</v>
      </c>
      <c r="C1" s="1103" t="s">
        <v>2105</v>
      </c>
      <c r="D1" s="1104"/>
      <c r="E1" s="1105"/>
      <c r="F1" s="1106"/>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t="b">
        <f ca="1">IF(E1="项目模式",IF(C2="——",ROUND(C43*D3/10000,0),ROUND(C43*D3/10000,0)-D2),IF(E1="单套模式",IF(C2="——",ROUND(C43*D3/10000,4),ROUND(C43*D3/10000,4)-D2)))</f>
        <v>0</v>
      </c>
      <c r="C2" s="1111"/>
      <c r="D2" s="1112" t="e">
        <f ca="1">IF(E1="项目模式",SUMIF(INDIRECT("'"&amp;F2&amp;"'"&amp;"!A:A"),"承租人权益价值",INDIRECT("'"&amp;F2&amp;"'"&amp;"!c:c")),SUMIF(INDIRECT("'"&amp;F2&amp;"'"&amp;"!A:A"),"承租人权益价值（单套）",INDIRECT("'"&amp;F2&amp;"'"&amp;"!c:c")))</f>
        <v>#REF!</v>
      </c>
      <c r="E2" s="1113" t="s">
        <v>1004</v>
      </c>
      <c r="F2" s="1114"/>
      <c r="G2" s="726"/>
      <c r="H2" s="726"/>
      <c r="I2" s="726"/>
      <c r="J2" s="726"/>
      <c r="K2" s="726"/>
      <c r="L2" s="1264"/>
      <c r="M2" s="1265"/>
      <c r="N2" s="1265"/>
      <c r="O2" s="1265"/>
      <c r="P2" s="891"/>
      <c r="Q2" s="891"/>
      <c r="R2" s="891"/>
      <c r="S2" s="891"/>
      <c r="T2" s="891"/>
      <c r="U2" s="891"/>
      <c r="V2" s="891"/>
      <c r="W2" s="891"/>
      <c r="X2" s="891"/>
      <c r="Y2" s="891"/>
      <c r="Z2" s="891"/>
      <c r="AA2" s="891"/>
      <c r="AB2" s="891"/>
      <c r="AC2" s="975"/>
    </row>
    <row r="3" s="710" customFormat="1" ht="28.5" customHeight="1" spans="1:29">
      <c r="A3" s="396" t="s">
        <v>1005</v>
      </c>
      <c r="B3" s="728">
        <f ca="1">IF(C2="——",C43,ROUND(B2*10000/D3,0))</f>
        <v>0</v>
      </c>
      <c r="C3" s="1115" t="s">
        <v>1108</v>
      </c>
      <c r="D3" s="1116">
        <f>IF(D1="",'数据-汇总表'!E3,SUMIF('数据-汇总表'!$C19:$C33,D1,'数据-汇总表'!$E19:$E33))</f>
        <v>68156.19</v>
      </c>
      <c r="E3" s="726"/>
      <c r="F3" s="727"/>
      <c r="G3" s="726"/>
      <c r="H3" s="726"/>
      <c r="I3" s="726"/>
      <c r="J3" s="726"/>
      <c r="K3" s="892"/>
      <c r="L3" s="1264"/>
      <c r="M3" s="1265"/>
      <c r="N3" s="1265"/>
      <c r="O3" s="1265"/>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1266"/>
      <c r="M4" s="1267"/>
      <c r="N4" s="1267"/>
      <c r="O4" s="126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
        <v>2158</v>
      </c>
      <c r="F5" s="741"/>
      <c r="G5" s="738" t="s">
        <v>2159</v>
      </c>
      <c r="H5" s="739"/>
      <c r="I5" s="738" t="s">
        <v>2160</v>
      </c>
      <c r="J5" s="739"/>
      <c r="K5" s="895"/>
      <c r="L5" s="1266"/>
      <c r="M5" s="1267"/>
      <c r="N5" s="1267"/>
      <c r="O5" s="126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1266"/>
      <c r="M6" s="1267"/>
      <c r="N6" s="1267"/>
      <c r="O6" s="126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c r="F7" s="753">
        <f>SUMIF(52:52,YEAR(E7)&amp;"-"&amp;MONTH(E7),53:53)</f>
        <v>0</v>
      </c>
      <c r="G7" s="752"/>
      <c r="H7" s="751">
        <f>SUMIF(52:52,YEAR(G7)&amp;"-"&amp;MONTH(G7),53:53)</f>
        <v>0</v>
      </c>
      <c r="I7" s="752"/>
      <c r="J7" s="751">
        <f>SUMIF(52:52,YEAR(I7)&amp;"-"&amp;MONTH(I7),53:53)</f>
        <v>0</v>
      </c>
      <c r="K7" s="901"/>
      <c r="L7" s="1268"/>
      <c r="M7" s="1269"/>
      <c r="N7" s="1269"/>
      <c r="O7" s="1269"/>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c r="D8" s="751">
        <v>100</v>
      </c>
      <c r="E8" s="755"/>
      <c r="F8" s="753">
        <f>SUMIF(55:55,E8,56:56)-SUMIF(55:55,C8,56:56)+100</f>
        <v>100</v>
      </c>
      <c r="G8" s="755"/>
      <c r="H8" s="751">
        <f>SUMIF(55:55,G8,56:56)-SUMIF(55:55,C8,56:56)+100</f>
        <v>100</v>
      </c>
      <c r="I8" s="755"/>
      <c r="J8" s="751">
        <f>SUMIF(55:55,I8,56:56)-SUMIF(55:55,C8,56:56)+100</f>
        <v>100</v>
      </c>
      <c r="K8" s="901"/>
      <c r="L8" s="1268"/>
      <c r="M8" s="1269"/>
      <c r="N8" s="1269"/>
      <c r="O8" s="1269"/>
      <c r="P8" s="904" t="s">
        <v>1395</v>
      </c>
      <c r="Q8" s="962"/>
      <c r="R8" s="959" t="s">
        <v>1391</v>
      </c>
      <c r="S8" s="960">
        <f t="shared" si="0"/>
        <v>100</v>
      </c>
      <c r="T8" s="959" t="s">
        <v>1391</v>
      </c>
      <c r="U8" s="960">
        <f t="shared" si="1"/>
        <v>100</v>
      </c>
      <c r="V8" s="959" t="s">
        <v>1391</v>
      </c>
      <c r="W8" s="960">
        <f t="shared" si="2"/>
        <v>100</v>
      </c>
      <c r="X8" s="961"/>
      <c r="Y8" s="904" t="s">
        <v>1395</v>
      </c>
      <c r="Z8" s="962"/>
      <c r="AA8" s="978">
        <f t="shared" ref="AA8:AA40" si="3">D8/F8</f>
        <v>1</v>
      </c>
      <c r="AB8" s="978">
        <f t="shared" ref="AB8:AB40" si="4">D8/H8</f>
        <v>1</v>
      </c>
      <c r="AC8" s="978">
        <f t="shared" ref="AC8:AC40" si="5">D8/J8</f>
        <v>1</v>
      </c>
    </row>
    <row r="9" s="711" customFormat="1" spans="1:29">
      <c r="A9" s="756" t="s">
        <v>1396</v>
      </c>
      <c r="B9" s="757" t="s">
        <v>1397</v>
      </c>
      <c r="C9" s="1256"/>
      <c r="D9" s="759">
        <v>100</v>
      </c>
      <c r="E9" s="1125"/>
      <c r="F9" s="759">
        <f>SUMIF(57:57,E9,58:58)-SUMIF(57:57,C9,58:58)+100</f>
        <v>100</v>
      </c>
      <c r="G9" s="1257"/>
      <c r="H9" s="759">
        <f>SUMIF(57:57,G9,58:58)-SUMIF(57:57,C9,58:58)+100</f>
        <v>100</v>
      </c>
      <c r="I9" s="1257"/>
      <c r="J9" s="759">
        <f>SUMIF(57:57,I9,58:58)-SUMIF(57:57,C9,58:58)+100</f>
        <v>100</v>
      </c>
      <c r="K9" s="901"/>
      <c r="L9" s="1268"/>
      <c r="M9" s="1269"/>
      <c r="N9" s="1269"/>
      <c r="O9" s="1270"/>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c r="D10" s="763">
        <v>100</v>
      </c>
      <c r="E10" s="1128"/>
      <c r="F10" s="763">
        <f>SUMIF(59:59,E10,60:60)-SUMIF(59:59,C10,60:60)+100</f>
        <v>100</v>
      </c>
      <c r="G10" s="1129"/>
      <c r="H10" s="763">
        <f>SUMIF(59:59,G10,60:60)-SUMIF(59:59,C10,60:60)+100</f>
        <v>100</v>
      </c>
      <c r="I10" s="1128"/>
      <c r="J10" s="763">
        <f>SUMIF(59:59,I10,60:60)-SUMIF(59:59,C10,60:60)+100</f>
        <v>100</v>
      </c>
      <c r="K10" s="901"/>
      <c r="L10" s="1271"/>
      <c r="M10" s="1272"/>
      <c r="N10" s="1272"/>
      <c r="O10" s="1273"/>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c r="D11" s="763">
        <v>100</v>
      </c>
      <c r="E11" s="765"/>
      <c r="F11" s="763">
        <f>LOOKUP(E11,62:62,63:63)-LOOKUP(C11,62:62,63:63)+100</f>
        <v>100</v>
      </c>
      <c r="G11" s="766"/>
      <c r="H11" s="763">
        <f>LOOKUP(G11,62:62,63:63)-LOOKUP(C11,62:62,63:63)+100</f>
        <v>100</v>
      </c>
      <c r="I11" s="765"/>
      <c r="J11" s="763">
        <f>LOOKUP(I11,62:62,63:63)-LOOKUP(C11,62:62,63:63)+100</f>
        <v>100</v>
      </c>
      <c r="K11" s="921"/>
      <c r="L11" s="1274"/>
      <c r="M11" s="1267"/>
      <c r="N11" s="1267"/>
      <c r="O11" s="1275"/>
      <c r="P11" s="863"/>
      <c r="Q11" s="963" t="str">
        <f t="shared" si="6"/>
        <v>容积率</v>
      </c>
      <c r="R11" s="959" t="s">
        <v>1391</v>
      </c>
      <c r="S11" s="960">
        <f t="shared" si="0"/>
        <v>100</v>
      </c>
      <c r="T11" s="959" t="s">
        <v>1391</v>
      </c>
      <c r="U11" s="960">
        <f t="shared" si="1"/>
        <v>100</v>
      </c>
      <c r="V11" s="959" t="s">
        <v>1391</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58"/>
      <c r="H12" s="763">
        <f>SUMIF(64:64,G12,65:65)-SUMIF(64:64,C12,65:65)+100</f>
        <v>100</v>
      </c>
      <c r="I12" s="1159"/>
      <c r="J12" s="763">
        <f>SUMIF(64:64,I12,65:65)-SUMIF(64:64,C12,65:65)+100</f>
        <v>100</v>
      </c>
      <c r="K12" s="920"/>
      <c r="L12" s="1268"/>
      <c r="M12" s="1269"/>
      <c r="N12" s="1269"/>
      <c r="O12" s="1270"/>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58"/>
      <c r="H13" s="773">
        <f>SUMIF(66:66,G13,67:67)-SUMIF(66:66,C13,67:67)+100</f>
        <v>100</v>
      </c>
      <c r="I13" s="1159"/>
      <c r="J13" s="773">
        <f>SUMIF(66:66,I13,67:67)-SUMIF(66:66,C13,67:67)+100</f>
        <v>100</v>
      </c>
      <c r="K13" s="920"/>
      <c r="L13" s="1276"/>
      <c r="M13" s="1267"/>
      <c r="N13" s="1267"/>
      <c r="O13" s="1275"/>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58"/>
      <c r="H14" s="777">
        <f>SUMIF(68:68,G14,69:69)-SUMIF(68:68,C14,69:69)+100</f>
        <v>100</v>
      </c>
      <c r="I14" s="1159"/>
      <c r="J14" s="777">
        <f>SUMIF(68:68,I14,69:69)-SUMIF(68:68,C14,69:69)+100</f>
        <v>100</v>
      </c>
      <c r="K14" s="920"/>
      <c r="L14" s="1276"/>
      <c r="M14" s="1267"/>
      <c r="N14" s="1267"/>
      <c r="O14" s="1275"/>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1229" t="s">
        <v>2176</v>
      </c>
      <c r="C15" s="780" t="str">
        <f>估价对象房地状况!G3</f>
        <v>估价对象位于XX开发区，园区建设成熟度XX，产业集聚程度XX</v>
      </c>
      <c r="D15" s="781">
        <v>100</v>
      </c>
      <c r="E15" s="782"/>
      <c r="F15" s="1134">
        <f>SUMIF(70:70,E16,71:71)-SUMIF(70:70,C16,71:71)+100</f>
        <v>100</v>
      </c>
      <c r="G15" s="914"/>
      <c r="H15" s="781">
        <f>SUMIF(70:70,G16,71:71)-SUMIF(70:70,C16,71:71)+100</f>
        <v>100</v>
      </c>
      <c r="I15" s="782"/>
      <c r="J15" s="781">
        <f>SUMIF(70:70,I16,71:71)-SUMIF(70:70,C16,71:71)+100</f>
        <v>100</v>
      </c>
      <c r="K15" s="1187"/>
      <c r="L15" s="1276"/>
      <c r="M15" s="1267"/>
      <c r="N15" s="1267"/>
      <c r="O15" s="1275"/>
      <c r="P15" s="915" t="s">
        <v>1405</v>
      </c>
      <c r="Q15" s="863" t="str">
        <f t="shared" si="6"/>
        <v>产业集聚程度</v>
      </c>
      <c r="R15" s="964" t="s">
        <v>1391</v>
      </c>
      <c r="S15" s="965">
        <f t="shared" si="0"/>
        <v>100</v>
      </c>
      <c r="T15" s="964" t="s">
        <v>1391</v>
      </c>
      <c r="U15" s="965">
        <f t="shared" si="1"/>
        <v>100</v>
      </c>
      <c r="V15" s="964" t="s">
        <v>1391</v>
      </c>
      <c r="W15" s="965">
        <f t="shared" si="2"/>
        <v>100</v>
      </c>
      <c r="X15" s="951"/>
      <c r="Y15" s="915" t="s">
        <v>1405</v>
      </c>
      <c r="Z15" s="937" t="str">
        <f t="shared" si="7"/>
        <v>产业集聚程度</v>
      </c>
      <c r="AA15" s="980">
        <f t="shared" si="3"/>
        <v>1</v>
      </c>
      <c r="AB15" s="980">
        <f t="shared" si="4"/>
        <v>1</v>
      </c>
      <c r="AC15" s="980">
        <f t="shared" si="5"/>
        <v>1</v>
      </c>
    </row>
    <row r="16" ht="15.5" spans="1:29">
      <c r="A16" s="764"/>
      <c r="B16" s="1230"/>
      <c r="C16" s="784"/>
      <c r="D16" s="785"/>
      <c r="E16" s="784"/>
      <c r="F16" s="1136"/>
      <c r="G16" s="784"/>
      <c r="H16" s="787"/>
      <c r="I16" s="784"/>
      <c r="J16" s="785"/>
      <c r="K16" s="1188"/>
      <c r="L16" s="1276"/>
      <c r="M16" s="1267"/>
      <c r="N16" s="1267"/>
      <c r="O16" s="1275"/>
      <c r="P16" s="916"/>
      <c r="Q16" s="863"/>
      <c r="R16" s="964"/>
      <c r="S16" s="965"/>
      <c r="T16" s="964"/>
      <c r="U16" s="965"/>
      <c r="V16" s="964"/>
      <c r="W16" s="965"/>
      <c r="X16" s="951"/>
      <c r="Y16" s="916"/>
      <c r="Z16" s="937"/>
      <c r="AA16" s="980">
        <v>1</v>
      </c>
      <c r="AB16" s="980">
        <v>1</v>
      </c>
      <c r="AC16" s="980">
        <v>1</v>
      </c>
    </row>
    <row r="17" ht="98" spans="1:29">
      <c r="A17" s="764"/>
      <c r="B17" s="1231" t="s">
        <v>1408</v>
      </c>
      <c r="C17" s="789" t="str">
        <f>估价对象房地状况!G4</f>
        <v>估价对象周边道路状况、公共交通通达情况、停车便捷程度，综合评价交通便捷度较好</v>
      </c>
      <c r="D17" s="787">
        <v>100</v>
      </c>
      <c r="E17" s="790"/>
      <c r="F17" s="1141">
        <f>SUMIF(72:72,E18,73:73)-SUMIF(72:72,C18,73:73)+100</f>
        <v>100</v>
      </c>
      <c r="G17" s="917"/>
      <c r="H17" s="791">
        <f>SUMIF(72:72,G18,73:73)-SUMIF(72:72,C18,73:73)+100</f>
        <v>100</v>
      </c>
      <c r="I17" s="790"/>
      <c r="J17" s="791">
        <f>SUMIF(72:72,I18,73:73)-SUMIF(72:72,C18,73:73)+100</f>
        <v>100</v>
      </c>
      <c r="K17" s="1187"/>
      <c r="L17" s="1276"/>
      <c r="M17" s="1267"/>
      <c r="N17" s="1267"/>
      <c r="O17" s="1275"/>
      <c r="P17" s="916"/>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1276"/>
      <c r="M18" s="1267"/>
      <c r="N18" s="1267"/>
      <c r="O18" s="1275"/>
      <c r="P18" s="916"/>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估价对象房地状况!G5</f>
        <v>估价对象所在区域公共配套设施齐备情况</v>
      </c>
      <c r="D19" s="791">
        <v>100</v>
      </c>
      <c r="E19" s="1137"/>
      <c r="F19" s="1138">
        <f>SUMIF(74:74,E20,75:75)-SUMIF(74:74,C20,75:75)+100</f>
        <v>100</v>
      </c>
      <c r="G19" s="1139"/>
      <c r="H19" s="787">
        <f>SUMIF(74:74,G20,75:75)-SUMIF(74:74,C20,75:75)+100</f>
        <v>100</v>
      </c>
      <c r="I19" s="1137"/>
      <c r="J19" s="787">
        <f>SUMIF(74:74,I20,75:75)-SUMIF(74:74,C20,75:75)+100</f>
        <v>100</v>
      </c>
      <c r="K19" s="1187"/>
      <c r="L19" s="1276"/>
      <c r="M19" s="1267"/>
      <c r="N19" s="1267"/>
      <c r="O19" s="1275"/>
      <c r="P19" s="916"/>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1276"/>
      <c r="M20" s="1267"/>
      <c r="N20" s="1267"/>
      <c r="O20" s="1275"/>
      <c r="P20" s="916"/>
      <c r="Q20" s="863"/>
      <c r="R20" s="964"/>
      <c r="S20" s="965"/>
      <c r="T20" s="964"/>
      <c r="U20" s="965"/>
      <c r="V20" s="964"/>
      <c r="W20" s="965"/>
      <c r="X20" s="951"/>
      <c r="Y20" s="916"/>
      <c r="Z20" s="937"/>
      <c r="AA20" s="980">
        <v>1</v>
      </c>
      <c r="AB20" s="980">
        <v>1</v>
      </c>
      <c r="AC20" s="980">
        <v>1</v>
      </c>
    </row>
    <row r="21" ht="42" spans="1:29">
      <c r="A21" s="764"/>
      <c r="B21" s="1232" t="s">
        <v>1412</v>
      </c>
      <c r="C21" s="789" t="str">
        <f>估价对象房地状况!G6</f>
        <v>估价对象所在区域基础设施水平</v>
      </c>
      <c r="D21" s="787">
        <v>100</v>
      </c>
      <c r="E21" s="1137"/>
      <c r="F21" s="1138">
        <f>SUMIF(76:76,E22,77:77)-SUMIF(76:76,C22,77:77)+100</f>
        <v>100</v>
      </c>
      <c r="G21" s="1139"/>
      <c r="H21" s="787">
        <f>SUMIF(76:76,G22,77:77)-SUMIF(76:76,C22,77:77)+100</f>
        <v>100</v>
      </c>
      <c r="I21" s="1137"/>
      <c r="J21" s="787">
        <f>SUMIF(76:76,I22,77:77)-SUMIF(76:76,C22,77:77)+100</f>
        <v>100</v>
      </c>
      <c r="K21" s="1187"/>
      <c r="L21" s="1276"/>
      <c r="M21" s="1267"/>
      <c r="N21" s="1267"/>
      <c r="O21" s="1275"/>
      <c r="P21" s="916"/>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1276"/>
      <c r="M22" s="1267"/>
      <c r="N22" s="1267"/>
      <c r="O22" s="1275"/>
      <c r="P22" s="916"/>
      <c r="Q22" s="863"/>
      <c r="R22" s="964"/>
      <c r="S22" s="965"/>
      <c r="T22" s="964"/>
      <c r="U22" s="965"/>
      <c r="V22" s="964"/>
      <c r="W22" s="965"/>
      <c r="X22" s="951"/>
      <c r="Y22" s="916"/>
      <c r="Z22" s="937"/>
      <c r="AA22" s="980">
        <v>1</v>
      </c>
      <c r="AB22" s="980">
        <v>1</v>
      </c>
      <c r="AC22" s="980">
        <v>1</v>
      </c>
    </row>
    <row r="23" ht="84" spans="1:29">
      <c r="A23" s="764"/>
      <c r="B23" s="1231" t="s">
        <v>2171</v>
      </c>
      <c r="C23" s="789" t="str">
        <f>估价对象房地状况!G7</f>
        <v>该园区内是否有污染型企业，绿化情况，卫生条件，整体环境状况判断</v>
      </c>
      <c r="D23" s="787">
        <v>100</v>
      </c>
      <c r="E23" s="790"/>
      <c r="F23" s="1141">
        <f>SUMIF(78:78,E24,79:79)-SUMIF(78:78,C24,79:79)+100</f>
        <v>100</v>
      </c>
      <c r="G23" s="917"/>
      <c r="H23" s="787">
        <f>SUMIF(78:78,G24,79:79)-SUMIF(78:78,C24,79:79)+100</f>
        <v>100</v>
      </c>
      <c r="I23" s="790"/>
      <c r="J23" s="787">
        <f>SUMIF(78:78,I24,79:79)-SUMIF(78:78,C24,79:79)+100</f>
        <v>100</v>
      </c>
      <c r="K23" s="1187"/>
      <c r="L23" s="1276"/>
      <c r="M23" s="1267"/>
      <c r="N23" s="1267"/>
      <c r="O23" s="1275"/>
      <c r="P23" s="916"/>
      <c r="Q23" s="863" t="str">
        <f>B23</f>
        <v>环境质量</v>
      </c>
      <c r="R23" s="964" t="s">
        <v>1391</v>
      </c>
      <c r="S23" s="965">
        <f>F23</f>
        <v>100</v>
      </c>
      <c r="T23" s="964" t="s">
        <v>1391</v>
      </c>
      <c r="U23" s="965">
        <f>H23</f>
        <v>100</v>
      </c>
      <c r="V23" s="964" t="s">
        <v>1391</v>
      </c>
      <c r="W23" s="965">
        <f>J23</f>
        <v>100</v>
      </c>
      <c r="X23" s="951"/>
      <c r="Y23" s="916"/>
      <c r="Z23" s="937" t="str">
        <f>Q23</f>
        <v>环境质量</v>
      </c>
      <c r="AA23" s="980">
        <f t="shared" si="3"/>
        <v>1</v>
      </c>
      <c r="AB23" s="980">
        <f t="shared" si="4"/>
        <v>1</v>
      </c>
      <c r="AC23" s="980">
        <f t="shared" si="5"/>
        <v>1</v>
      </c>
    </row>
    <row r="24" ht="15.5" spans="1:29">
      <c r="A24" s="764"/>
      <c r="B24" s="1232"/>
      <c r="C24" s="784"/>
      <c r="D24" s="785"/>
      <c r="E24" s="793"/>
      <c r="F24" s="1136"/>
      <c r="G24" s="918"/>
      <c r="H24" s="785"/>
      <c r="I24" s="793"/>
      <c r="J24" s="785"/>
      <c r="K24" s="1188"/>
      <c r="L24" s="1276"/>
      <c r="M24" s="1267"/>
      <c r="N24" s="1267"/>
      <c r="O24" s="1275"/>
      <c r="P24" s="916"/>
      <c r="Q24" s="863"/>
      <c r="R24" s="964"/>
      <c r="S24" s="965"/>
      <c r="T24" s="964"/>
      <c r="U24" s="965"/>
      <c r="V24" s="964"/>
      <c r="W24" s="965"/>
      <c r="X24" s="951"/>
      <c r="Y24" s="916"/>
      <c r="Z24" s="937"/>
      <c r="AA24" s="980">
        <v>1</v>
      </c>
      <c r="AB24" s="980">
        <v>1</v>
      </c>
      <c r="AC24" s="980">
        <v>1</v>
      </c>
    </row>
    <row r="25" ht="15.5" spans="1:29">
      <c r="A25" s="736"/>
      <c r="B25" s="1261">
        <v>111</v>
      </c>
      <c r="C25" s="772">
        <v>111</v>
      </c>
      <c r="D25" s="773">
        <v>100</v>
      </c>
      <c r="E25" s="772"/>
      <c r="F25" s="1142">
        <f>SUMIF(80:80,E25,81:81)-SUMIF(80:80,C25,81:81)+100</f>
        <v>100</v>
      </c>
      <c r="G25" s="772"/>
      <c r="H25" s="773">
        <f>SUMIF(80:80,G25,81:81)-SUMIF(80:80,C25,81:81)+100</f>
        <v>100</v>
      </c>
      <c r="I25" s="772"/>
      <c r="J25" s="773">
        <f>SUMIF(80:80,I25,81:81)-SUMIF(80:80,C25,81:81)+100</f>
        <v>100</v>
      </c>
      <c r="K25" s="920"/>
      <c r="L25" s="1276"/>
      <c r="M25" s="1267"/>
      <c r="N25" s="1267"/>
      <c r="O25" s="1275"/>
      <c r="P25" s="916"/>
      <c r="Q25" s="863">
        <f>B25</f>
        <v>111</v>
      </c>
      <c r="R25" s="964" t="s">
        <v>1391</v>
      </c>
      <c r="S25" s="965">
        <f>F25</f>
        <v>100</v>
      </c>
      <c r="T25" s="964" t="s">
        <v>1391</v>
      </c>
      <c r="U25" s="965">
        <f>H25</f>
        <v>100</v>
      </c>
      <c r="V25" s="964" t="s">
        <v>1391</v>
      </c>
      <c r="W25" s="965">
        <f>J25</f>
        <v>100</v>
      </c>
      <c r="X25" s="951"/>
      <c r="Y25" s="916"/>
      <c r="Z25" s="937">
        <f>Q25</f>
        <v>111</v>
      </c>
      <c r="AA25" s="980">
        <f t="shared" si="3"/>
        <v>1</v>
      </c>
      <c r="AB25" s="980">
        <f t="shared" si="4"/>
        <v>1</v>
      </c>
      <c r="AC25" s="980">
        <f t="shared" si="5"/>
        <v>1</v>
      </c>
    </row>
    <row r="26" ht="15.5" spans="1:29">
      <c r="A26" s="764"/>
      <c r="B26" s="1261">
        <v>111</v>
      </c>
      <c r="C26" s="772">
        <v>111</v>
      </c>
      <c r="D26" s="773">
        <v>100</v>
      </c>
      <c r="E26" s="772"/>
      <c r="F26" s="1142">
        <f>SUMIF(82:82,E26,83:83)-SUMIF(82:82,C26,83:83)+100</f>
        <v>100</v>
      </c>
      <c r="G26" s="772"/>
      <c r="H26" s="773">
        <f>SUMIF(82:82,G26,83:83)-SUMIF(82:82,C26,83:83)+100</f>
        <v>100</v>
      </c>
      <c r="I26" s="772"/>
      <c r="J26" s="773">
        <f>SUMIF(82:82,I26,83:83)-SUMIF(82:82,C26,83:83)+100</f>
        <v>100</v>
      </c>
      <c r="K26" s="920"/>
      <c r="L26" s="1276"/>
      <c r="M26" s="1267"/>
      <c r="N26" s="1267"/>
      <c r="O26" s="1275"/>
      <c r="P26" s="916"/>
      <c r="Q26" s="863">
        <f t="shared" ref="Q26:Q40" si="11">B26</f>
        <v>111</v>
      </c>
      <c r="R26" s="964" t="s">
        <v>1391</v>
      </c>
      <c r="S26" s="965">
        <f>F26</f>
        <v>100</v>
      </c>
      <c r="T26" s="964" t="s">
        <v>1391</v>
      </c>
      <c r="U26" s="965">
        <f>H26</f>
        <v>100</v>
      </c>
      <c r="V26" s="964" t="s">
        <v>1391</v>
      </c>
      <c r="W26" s="965">
        <f>J26</f>
        <v>100</v>
      </c>
      <c r="X26" s="951"/>
      <c r="Y26" s="916"/>
      <c r="Z26" s="937">
        <f>Q26</f>
        <v>111</v>
      </c>
      <c r="AA26" s="980">
        <f t="shared" si="3"/>
        <v>1</v>
      </c>
      <c r="AB26" s="980">
        <f t="shared" si="4"/>
        <v>1</v>
      </c>
      <c r="AC26" s="980">
        <f t="shared" si="5"/>
        <v>1</v>
      </c>
    </row>
    <row r="27" s="711" customFormat="1" ht="15.5" spans="1:29">
      <c r="A27" s="767"/>
      <c r="B27" s="1261">
        <v>111</v>
      </c>
      <c r="C27" s="772">
        <v>111</v>
      </c>
      <c r="D27" s="1262">
        <v>100</v>
      </c>
      <c r="E27" s="772"/>
      <c r="F27" s="1263">
        <f>SUMIF(84:84,E27,85:85)-SUMIF(84:84,C27,85:85)+100</f>
        <v>100</v>
      </c>
      <c r="G27" s="772"/>
      <c r="H27" s="1262">
        <f>SUMIF(84:84,G27,85:85)-SUMIF(84:84,C27,85:85)+100</f>
        <v>100</v>
      </c>
      <c r="I27" s="772"/>
      <c r="J27" s="1262">
        <f>SUMIF(84:84,I27,85:85)-SUMIF(84:84,C27,85:85)+100</f>
        <v>100</v>
      </c>
      <c r="K27" s="920"/>
      <c r="L27" s="1268"/>
      <c r="M27" s="1269"/>
      <c r="N27" s="1269"/>
      <c r="O27" s="1270"/>
      <c r="P27" s="916"/>
      <c r="Q27" s="963">
        <f t="shared" si="11"/>
        <v>111</v>
      </c>
      <c r="R27" s="959" t="s">
        <v>1391</v>
      </c>
      <c r="S27" s="960">
        <f>F27</f>
        <v>100</v>
      </c>
      <c r="T27" s="959" t="s">
        <v>1391</v>
      </c>
      <c r="U27" s="960">
        <f>H27</f>
        <v>100</v>
      </c>
      <c r="V27" s="959" t="s">
        <v>1391</v>
      </c>
      <c r="W27" s="960">
        <f>J27</f>
        <v>100</v>
      </c>
      <c r="X27" s="961"/>
      <c r="Y27" s="916"/>
      <c r="Z27" s="979">
        <f>Q27</f>
        <v>111</v>
      </c>
      <c r="AA27" s="980">
        <f t="shared" si="3"/>
        <v>1</v>
      </c>
      <c r="AB27" s="980">
        <f t="shared" si="4"/>
        <v>1</v>
      </c>
      <c r="AC27" s="980">
        <f t="shared" si="5"/>
        <v>1</v>
      </c>
    </row>
    <row r="28" ht="16.25" spans="1:29">
      <c r="A28" s="774"/>
      <c r="B28" s="1261">
        <v>111</v>
      </c>
      <c r="C28" s="776">
        <v>111</v>
      </c>
      <c r="D28" s="777">
        <v>100</v>
      </c>
      <c r="E28" s="772"/>
      <c r="F28" s="1242">
        <f>SUMIF(86:86,E28,87:87)-SUMIF(86:86,C28,87:87)+100</f>
        <v>100</v>
      </c>
      <c r="G28" s="1159"/>
      <c r="H28" s="777">
        <f>SUMIF(86:86,G28,87:87)-SUMIF(86:86,C28,87:87)+100</f>
        <v>100</v>
      </c>
      <c r="I28" s="1159"/>
      <c r="J28" s="777">
        <f>SUMIF(86:86,I28,87:87)-SUMIF(86:86,C28,87:87)+100</f>
        <v>100</v>
      </c>
      <c r="K28" s="920"/>
      <c r="L28" s="1276"/>
      <c r="M28" s="1267"/>
      <c r="N28" s="1267"/>
      <c r="O28" s="1275"/>
      <c r="P28" s="916"/>
      <c r="Q28" s="863">
        <f t="shared" si="11"/>
        <v>111</v>
      </c>
      <c r="R28" s="964" t="s">
        <v>1391</v>
      </c>
      <c r="S28" s="965">
        <f t="shared" ref="S28:S40" si="12">F28</f>
        <v>100</v>
      </c>
      <c r="T28" s="964" t="s">
        <v>1391</v>
      </c>
      <c r="U28" s="965">
        <f t="shared" ref="U28:U40" si="13">H28</f>
        <v>100</v>
      </c>
      <c r="V28" s="964" t="s">
        <v>1391</v>
      </c>
      <c r="W28" s="965">
        <f t="shared" ref="W28:W40" si="14">J28</f>
        <v>100</v>
      </c>
      <c r="X28" s="951"/>
      <c r="Y28" s="916"/>
      <c r="Z28" s="937">
        <f t="shared" ref="Z28:Z40" si="15">Q28</f>
        <v>111</v>
      </c>
      <c r="AA28" s="980">
        <f t="shared" si="3"/>
        <v>1</v>
      </c>
      <c r="AB28" s="980">
        <f t="shared" si="4"/>
        <v>1</v>
      </c>
      <c r="AC28" s="980">
        <f t="shared" si="5"/>
        <v>1</v>
      </c>
    </row>
    <row r="29" ht="15.5" spans="1:29">
      <c r="A29" s="1236" t="s">
        <v>1417</v>
      </c>
      <c r="B29" s="757" t="s">
        <v>2115</v>
      </c>
      <c r="C29" s="1237"/>
      <c r="D29" s="814">
        <v>100</v>
      </c>
      <c r="E29" s="1237"/>
      <c r="F29" s="1142">
        <f>SUMIF(88:88,E29,89:89)-SUMIF(88:88,C29,89:89)+100</f>
        <v>100</v>
      </c>
      <c r="G29" s="1237"/>
      <c r="H29" s="773">
        <f>SUMIF(88:88,G29,89:89)-SUMIF(88:88,C29,89:89)+100</f>
        <v>100</v>
      </c>
      <c r="I29" s="1237"/>
      <c r="J29" s="814">
        <f>SUMIF(88:88,I29,89:89)-SUMIF(88:88,C29,89:89)+100</f>
        <v>100</v>
      </c>
      <c r="K29" s="921"/>
      <c r="L29" s="1276"/>
      <c r="M29" s="1267"/>
      <c r="N29" s="1267"/>
      <c r="O29" s="1275"/>
      <c r="P29" s="922" t="s">
        <v>1416</v>
      </c>
      <c r="Q29" s="863" t="str">
        <f t="shared" si="11"/>
        <v>建筑类型</v>
      </c>
      <c r="R29" s="964" t="s">
        <v>1391</v>
      </c>
      <c r="S29" s="965">
        <f t="shared" si="12"/>
        <v>100</v>
      </c>
      <c r="T29" s="964" t="s">
        <v>1391</v>
      </c>
      <c r="U29" s="965">
        <f t="shared" si="13"/>
        <v>100</v>
      </c>
      <c r="V29" s="964" t="s">
        <v>1391</v>
      </c>
      <c r="W29" s="965">
        <f t="shared" si="14"/>
        <v>100</v>
      </c>
      <c r="X29" s="951"/>
      <c r="Y29" s="925" t="s">
        <v>1416</v>
      </c>
      <c r="Z29" s="937" t="str">
        <f t="shared" si="15"/>
        <v>建筑类型</v>
      </c>
      <c r="AA29" s="980">
        <f t="shared" si="3"/>
        <v>1</v>
      </c>
      <c r="AB29" s="980">
        <f t="shared" si="4"/>
        <v>1</v>
      </c>
      <c r="AC29" s="980">
        <f t="shared" si="5"/>
        <v>1</v>
      </c>
    </row>
    <row r="30" s="713" customFormat="1" ht="15.5" spans="1:29">
      <c r="A30" s="820"/>
      <c r="B30" s="761" t="s">
        <v>2118</v>
      </c>
      <c r="C30" s="1159"/>
      <c r="D30" s="763">
        <v>100</v>
      </c>
      <c r="E30" s="766"/>
      <c r="F30" s="1227" t="e">
        <f>LOOKUP(E30,91:91,92:92)-LOOKUP(C30,91:91,92:92)+100</f>
        <v>#N/A</v>
      </c>
      <c r="G30" s="765"/>
      <c r="H30" s="763" t="e">
        <f>LOOKUP(G30,91:91,92:92)-LOOKUP(C30,91:91,92:92)+100</f>
        <v>#N/A</v>
      </c>
      <c r="I30" s="765"/>
      <c r="J30" s="763" t="e">
        <f>LOOKUP(I30,91:91,92:92)-LOOKUP(C30,91:91,92:92)+100</f>
        <v>#N/A</v>
      </c>
      <c r="K30" s="920"/>
      <c r="L30" s="1274"/>
      <c r="M30" s="1277"/>
      <c r="N30" s="1277"/>
      <c r="O30" s="1278"/>
      <c r="P30" s="925"/>
      <c r="Q30" s="1205" t="str">
        <f t="shared" si="11"/>
        <v>项目建筑规模</v>
      </c>
      <c r="R30" s="966" t="s">
        <v>1391</v>
      </c>
      <c r="S30" s="967" t="e">
        <f t="shared" si="12"/>
        <v>#N/A</v>
      </c>
      <c r="T30" s="966" t="s">
        <v>1391</v>
      </c>
      <c r="U30" s="967" t="e">
        <f t="shared" si="13"/>
        <v>#N/A</v>
      </c>
      <c r="V30" s="966" t="s">
        <v>1391</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2119</v>
      </c>
      <c r="C31" s="1155"/>
      <c r="D31" s="773">
        <v>100</v>
      </c>
      <c r="E31" s="1155"/>
      <c r="F31" s="1142">
        <f>SUMIF(93:93,E31,94:94)-SUMIF(93:93,C31,94:94)+100</f>
        <v>100</v>
      </c>
      <c r="G31" s="1155"/>
      <c r="H31" s="773">
        <f>SUMIF(93:93,G31,94:94)-SUMIF(93:93,C31,94:94)+100</f>
        <v>100</v>
      </c>
      <c r="I31" s="1155"/>
      <c r="J31" s="773">
        <f>SUMIF(93:93,I31,94:94)-SUMIF(93:93,C31,94:94)+100</f>
        <v>100</v>
      </c>
      <c r="K31" s="921"/>
      <c r="L31" s="1276"/>
      <c r="M31" s="1267"/>
      <c r="N31" s="1267"/>
      <c r="O31" s="1275"/>
      <c r="P31" s="925"/>
      <c r="Q31" s="863" t="str">
        <f t="shared" si="11"/>
        <v>建筑结构</v>
      </c>
      <c r="R31" s="964" t="s">
        <v>1391</v>
      </c>
      <c r="S31" s="965">
        <f t="shared" si="12"/>
        <v>100</v>
      </c>
      <c r="T31" s="964" t="s">
        <v>1391</v>
      </c>
      <c r="U31" s="965">
        <f t="shared" si="13"/>
        <v>100</v>
      </c>
      <c r="V31" s="964" t="s">
        <v>1391</v>
      </c>
      <c r="W31" s="965">
        <f t="shared" si="14"/>
        <v>100</v>
      </c>
      <c r="X31" s="951"/>
      <c r="Y31" s="925"/>
      <c r="Z31" s="937" t="str">
        <f t="shared" si="15"/>
        <v>建筑结构</v>
      </c>
      <c r="AA31" s="980">
        <f t="shared" si="3"/>
        <v>1</v>
      </c>
      <c r="AB31" s="980">
        <f t="shared" si="4"/>
        <v>1</v>
      </c>
      <c r="AC31" s="980">
        <f t="shared" si="5"/>
        <v>1</v>
      </c>
    </row>
    <row r="32" ht="15.5" spans="1:29">
      <c r="A32" s="815"/>
      <c r="B32" s="761" t="s">
        <v>2123</v>
      </c>
      <c r="C32" s="1155"/>
      <c r="D32" s="773">
        <v>100</v>
      </c>
      <c r="E32" s="1155"/>
      <c r="F32" s="1142">
        <f>SUMIF(95:95,E32,96:96)-SUMIF(95:95,C32,96:96)+100</f>
        <v>100</v>
      </c>
      <c r="G32" s="1155"/>
      <c r="H32" s="773">
        <f>SUMIF(95:95,G32,96:96)-SUMIF(95:95,C32,96:96)+100</f>
        <v>100</v>
      </c>
      <c r="I32" s="1155"/>
      <c r="J32" s="773">
        <f>SUMIF(95:95,I32,96:96)-SUMIF(95:95,C32,96:96)+100</f>
        <v>100</v>
      </c>
      <c r="K32" s="921"/>
      <c r="L32" s="1276"/>
      <c r="M32" s="1267"/>
      <c r="N32" s="1267"/>
      <c r="O32" s="1275"/>
      <c r="P32" s="925"/>
      <c r="Q32" s="863" t="str">
        <f t="shared" si="11"/>
        <v>公共部分装修</v>
      </c>
      <c r="R32" s="964" t="s">
        <v>1391</v>
      </c>
      <c r="S32" s="965">
        <f t="shared" si="12"/>
        <v>100</v>
      </c>
      <c r="T32" s="964" t="s">
        <v>1391</v>
      </c>
      <c r="U32" s="965">
        <f t="shared" si="13"/>
        <v>100</v>
      </c>
      <c r="V32" s="964" t="s">
        <v>1391</v>
      </c>
      <c r="W32" s="965">
        <f t="shared" si="14"/>
        <v>100</v>
      </c>
      <c r="X32" s="951"/>
      <c r="Y32" s="925"/>
      <c r="Z32" s="937" t="str">
        <f t="shared" si="15"/>
        <v>公共部分装修</v>
      </c>
      <c r="AA32" s="980">
        <f t="shared" si="3"/>
        <v>1</v>
      </c>
      <c r="AB32" s="980">
        <f t="shared" si="4"/>
        <v>1</v>
      </c>
      <c r="AC32" s="980">
        <f t="shared" si="5"/>
        <v>1</v>
      </c>
    </row>
    <row r="33" ht="15.5" spans="1:29">
      <c r="A33" s="815"/>
      <c r="B33" s="761" t="s">
        <v>637</v>
      </c>
      <c r="C33" s="1159"/>
      <c r="D33" s="773">
        <v>100</v>
      </c>
      <c r="E33" s="1156"/>
      <c r="F33" s="1142" t="e">
        <f>LOOKUP(E33,98:98,99:99)-LOOKUP(C33,98:98,99:99)+100</f>
        <v>#N/A</v>
      </c>
      <c r="G33" s="1156"/>
      <c r="H33" s="1142" t="e">
        <f>LOOKUP(G33,98:98,99:99)-LOOKUP(C33,98:98,99:99)+100</f>
        <v>#N/A</v>
      </c>
      <c r="I33" s="1156"/>
      <c r="J33" s="773" t="e">
        <f>LOOKUP(I33,98:98,99:99)-LOOKUP(C33,98:98,99:99)+100</f>
        <v>#N/A</v>
      </c>
      <c r="K33" s="921"/>
      <c r="L33" s="1276"/>
      <c r="M33" s="1267"/>
      <c r="N33" s="1267"/>
      <c r="O33" s="1275"/>
      <c r="P33" s="925"/>
      <c r="Q33" s="863" t="str">
        <f t="shared" si="11"/>
        <v>成新度</v>
      </c>
      <c r="R33" s="964" t="s">
        <v>1391</v>
      </c>
      <c r="S33" s="965" t="e">
        <f t="shared" si="12"/>
        <v>#N/A</v>
      </c>
      <c r="T33" s="964" t="s">
        <v>1391</v>
      </c>
      <c r="U33" s="965" t="e">
        <f t="shared" si="13"/>
        <v>#N/A</v>
      </c>
      <c r="V33" s="964" t="s">
        <v>1391</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2124</v>
      </c>
      <c r="C34" s="1155"/>
      <c r="D34" s="763">
        <v>100</v>
      </c>
      <c r="E34" s="1155"/>
      <c r="F34" s="1142">
        <f>SUMIF(100:100,E34,101:101)-SUMIF(100:100,C34,101:101)+100</f>
        <v>100</v>
      </c>
      <c r="G34" s="1155"/>
      <c r="H34" s="773">
        <f>SUMIF(100:100,G34,101:101)-SUMIF(100:100,C34,101:101)+100</f>
        <v>100</v>
      </c>
      <c r="I34" s="1155"/>
      <c r="J34" s="773">
        <f>SUMIF(100:100,I34,101:101)-SUMIF(100:100,C34,101:101)+100</f>
        <v>100</v>
      </c>
      <c r="K34" s="921"/>
      <c r="L34" s="1268"/>
      <c r="M34" s="1269"/>
      <c r="N34" s="1269"/>
      <c r="O34" s="1270"/>
      <c r="P34" s="925"/>
      <c r="Q34" s="963" t="str">
        <f t="shared" si="11"/>
        <v>物业管理</v>
      </c>
      <c r="R34" s="959" t="s">
        <v>1391</v>
      </c>
      <c r="S34" s="960">
        <f t="shared" si="12"/>
        <v>100</v>
      </c>
      <c r="T34" s="959" t="s">
        <v>1391</v>
      </c>
      <c r="U34" s="960">
        <f t="shared" si="13"/>
        <v>100</v>
      </c>
      <c r="V34" s="959" t="s">
        <v>1391</v>
      </c>
      <c r="W34" s="960">
        <f t="shared" si="14"/>
        <v>100</v>
      </c>
      <c r="X34" s="961"/>
      <c r="Y34" s="925"/>
      <c r="Z34" s="979" t="str">
        <f t="shared" si="15"/>
        <v>物业管理</v>
      </c>
      <c r="AA34" s="978">
        <f t="shared" si="3"/>
        <v>1</v>
      </c>
      <c r="AB34" s="978">
        <f t="shared" si="4"/>
        <v>1</v>
      </c>
      <c r="AC34" s="978">
        <f t="shared" si="5"/>
        <v>1</v>
      </c>
    </row>
    <row r="35" ht="15.5" spans="1:29">
      <c r="A35" s="815"/>
      <c r="B35" s="761" t="s">
        <v>2125</v>
      </c>
      <c r="C35" s="1155"/>
      <c r="D35" s="773">
        <v>100</v>
      </c>
      <c r="E35" s="1155"/>
      <c r="F35" s="1142">
        <f>SUMIF(102:102,E35,103:103)-SUMIF(102:102,C35,103:103)+100</f>
        <v>100</v>
      </c>
      <c r="G35" s="1155"/>
      <c r="H35" s="773">
        <f>SUMIF(102:102,G35,103:103)-SUMIF(102:102,C35,103:103)+100</f>
        <v>100</v>
      </c>
      <c r="I35" s="1155"/>
      <c r="J35" s="773">
        <f>SUMIF(102:102,I35,103:103)-SUMIF(102:102,C35,103:103)+100</f>
        <v>100</v>
      </c>
      <c r="K35" s="921"/>
      <c r="L35" s="1276"/>
      <c r="M35" s="1267"/>
      <c r="N35" s="1267"/>
      <c r="O35" s="1275"/>
      <c r="P35" s="925" t="s">
        <v>1416</v>
      </c>
      <c r="Q35" s="863" t="str">
        <f t="shared" si="11"/>
        <v>市政基础设施</v>
      </c>
      <c r="R35" s="964" t="s">
        <v>1391</v>
      </c>
      <c r="S35" s="965">
        <f t="shared" si="12"/>
        <v>100</v>
      </c>
      <c r="T35" s="964" t="s">
        <v>1391</v>
      </c>
      <c r="U35" s="965">
        <f t="shared" si="13"/>
        <v>100</v>
      </c>
      <c r="V35" s="964" t="s">
        <v>1391</v>
      </c>
      <c r="W35" s="965">
        <f t="shared" si="14"/>
        <v>100</v>
      </c>
      <c r="X35" s="951"/>
      <c r="Y35" s="925" t="s">
        <v>1416</v>
      </c>
      <c r="Z35" s="937" t="str">
        <f t="shared" si="15"/>
        <v>市政基础设施</v>
      </c>
      <c r="AA35" s="980">
        <f t="shared" si="3"/>
        <v>1</v>
      </c>
      <c r="AB35" s="980">
        <f t="shared" si="4"/>
        <v>1</v>
      </c>
      <c r="AC35" s="980">
        <f t="shared" si="5"/>
        <v>1</v>
      </c>
    </row>
    <row r="36" ht="15.5" spans="1:29">
      <c r="A36" s="815"/>
      <c r="B36" s="761" t="s">
        <v>2128</v>
      </c>
      <c r="C36" s="1155"/>
      <c r="D36" s="773">
        <v>100</v>
      </c>
      <c r="E36" s="1155"/>
      <c r="F36" s="1142">
        <f>SUMIF(104:104,E36,105:105)-SUMIF(104:104,C36,105:105)+100</f>
        <v>100</v>
      </c>
      <c r="G36" s="1155"/>
      <c r="H36" s="773">
        <f>SUMIF(104:104,G36,105:105)-SUMIF(104:104,C36,105:105)+100</f>
        <v>100</v>
      </c>
      <c r="I36" s="1155"/>
      <c r="J36" s="773">
        <f>SUMIF(104:104,I36,105:105)-SUMIF(104:104,C36,105:105)+100</f>
        <v>100</v>
      </c>
      <c r="K36" s="921"/>
      <c r="L36" s="1276"/>
      <c r="M36" s="1267"/>
      <c r="N36" s="1267"/>
      <c r="O36" s="1275"/>
      <c r="P36" s="925"/>
      <c r="Q36" s="863" t="str">
        <f t="shared" si="11"/>
        <v>内部装修</v>
      </c>
      <c r="R36" s="964" t="s">
        <v>1391</v>
      </c>
      <c r="S36" s="965">
        <f t="shared" si="12"/>
        <v>100</v>
      </c>
      <c r="T36" s="964" t="s">
        <v>1391</v>
      </c>
      <c r="U36" s="965">
        <f t="shared" si="13"/>
        <v>100</v>
      </c>
      <c r="V36" s="964" t="s">
        <v>1391</v>
      </c>
      <c r="W36" s="965">
        <f t="shared" si="14"/>
        <v>100</v>
      </c>
      <c r="X36" s="951"/>
      <c r="Y36" s="925"/>
      <c r="Z36" s="937" t="str">
        <f t="shared" si="15"/>
        <v>内部装修</v>
      </c>
      <c r="AA36" s="980">
        <f t="shared" si="3"/>
        <v>1</v>
      </c>
      <c r="AB36" s="980">
        <f t="shared" si="4"/>
        <v>1</v>
      </c>
      <c r="AC36" s="980">
        <f t="shared" si="5"/>
        <v>1</v>
      </c>
    </row>
    <row r="37" ht="15.5" spans="1:29">
      <c r="A37" s="815"/>
      <c r="B37" s="761" t="s">
        <v>2177</v>
      </c>
      <c r="C37" s="798"/>
      <c r="D37" s="773">
        <v>100</v>
      </c>
      <c r="E37" s="798"/>
      <c r="F37" s="1142">
        <f>SUMIF(106:106,E37,107:107)-SUMIF(106:106,C37,107:107)+100</f>
        <v>100</v>
      </c>
      <c r="G37" s="798"/>
      <c r="H37" s="773">
        <f>SUMIF(106:106,G37,107:107)-SUMIF(106:106,C37,107:107)+100</f>
        <v>100</v>
      </c>
      <c r="I37" s="798"/>
      <c r="J37" s="773">
        <f>SUMIF(106:106,I37,107:107)-SUMIF(106:106,C37,107:107)+100</f>
        <v>100</v>
      </c>
      <c r="K37" s="921"/>
      <c r="L37" s="1276"/>
      <c r="M37" s="1267"/>
      <c r="N37" s="1267"/>
      <c r="O37" s="1275"/>
      <c r="P37" s="925"/>
      <c r="Q37" s="863" t="str">
        <f t="shared" si="11"/>
        <v>内部装修状况</v>
      </c>
      <c r="R37" s="964" t="s">
        <v>1391</v>
      </c>
      <c r="S37" s="965">
        <f t="shared" si="12"/>
        <v>100</v>
      </c>
      <c r="T37" s="964" t="s">
        <v>1391</v>
      </c>
      <c r="U37" s="965">
        <f t="shared" si="13"/>
        <v>100</v>
      </c>
      <c r="V37" s="964" t="s">
        <v>1391</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261">
        <v>111</v>
      </c>
      <c r="C38" s="1159"/>
      <c r="D38" s="773">
        <v>100</v>
      </c>
      <c r="E38" s="772"/>
      <c r="F38" s="1142">
        <f>SUMIF(108:108,E38,109:109)-SUMIF(108:108,C38,109:109)+100</f>
        <v>100</v>
      </c>
      <c r="G38" s="1159"/>
      <c r="H38" s="773">
        <f>SUMIF(108:108,G38,109:109)-SUMIF(108:108,C38,109:109)+100</f>
        <v>100</v>
      </c>
      <c r="I38" s="1159"/>
      <c r="J38" s="773">
        <f>SUMIF(108:108,I38,109:1038)-SUMIF(108:108,C38,109:109)+100</f>
        <v>100</v>
      </c>
      <c r="K38" s="920"/>
      <c r="L38" s="1274"/>
      <c r="M38" s="1277"/>
      <c r="N38" s="1277"/>
      <c r="O38" s="1278"/>
      <c r="P38" s="925"/>
      <c r="Q38" s="1205">
        <f t="shared" si="11"/>
        <v>111</v>
      </c>
      <c r="R38" s="966" t="s">
        <v>1391</v>
      </c>
      <c r="S38" s="967">
        <f t="shared" si="12"/>
        <v>100</v>
      </c>
      <c r="T38" s="966" t="s">
        <v>1391</v>
      </c>
      <c r="U38" s="967">
        <f t="shared" si="13"/>
        <v>100</v>
      </c>
      <c r="V38" s="966" t="s">
        <v>1391</v>
      </c>
      <c r="W38" s="967">
        <f t="shared" si="14"/>
        <v>100</v>
      </c>
      <c r="X38" s="968"/>
      <c r="Y38" s="925"/>
      <c r="Z38" s="981">
        <f t="shared" si="15"/>
        <v>111</v>
      </c>
      <c r="AA38" s="980">
        <f t="shared" si="3"/>
        <v>1</v>
      </c>
      <c r="AB38" s="980">
        <f t="shared" si="4"/>
        <v>1</v>
      </c>
      <c r="AC38" s="980">
        <f t="shared" si="5"/>
        <v>1</v>
      </c>
    </row>
    <row r="39" ht="15.5" spans="1:29">
      <c r="A39" s="815"/>
      <c r="B39" s="1261">
        <v>111</v>
      </c>
      <c r="C39" s="1159"/>
      <c r="D39" s="773">
        <v>100</v>
      </c>
      <c r="E39" s="772"/>
      <c r="F39" s="1142">
        <f>SUMIF(110:110,E39,111:111)-SUMIF(110:110,C39,111:111)+100</f>
        <v>100</v>
      </c>
      <c r="G39" s="1159"/>
      <c r="H39" s="773">
        <f>SUMIF(110:110,G39,111:111)-SUMIF(110:110,C39,111:111)+100</f>
        <v>100</v>
      </c>
      <c r="I39" s="1159"/>
      <c r="J39" s="773">
        <f>SUMIF(110:110,I39,111:111)-SUMIF(110:110,C39,111:111)+100</f>
        <v>100</v>
      </c>
      <c r="K39" s="920"/>
      <c r="L39" s="1276"/>
      <c r="M39" s="1267"/>
      <c r="N39" s="1267"/>
      <c r="O39" s="1275"/>
      <c r="P39" s="925"/>
      <c r="Q39" s="863">
        <f t="shared" si="11"/>
        <v>111</v>
      </c>
      <c r="R39" s="964" t="s">
        <v>1391</v>
      </c>
      <c r="S39" s="965">
        <f t="shared" si="12"/>
        <v>100</v>
      </c>
      <c r="T39" s="964" t="s">
        <v>1391</v>
      </c>
      <c r="U39" s="965">
        <f t="shared" si="13"/>
        <v>100</v>
      </c>
      <c r="V39" s="964" t="s">
        <v>1391</v>
      </c>
      <c r="W39" s="965">
        <f t="shared" si="14"/>
        <v>100</v>
      </c>
      <c r="X39" s="951"/>
      <c r="Y39" s="925"/>
      <c r="Z39" s="937">
        <f t="shared" si="15"/>
        <v>111</v>
      </c>
      <c r="AA39" s="980">
        <f t="shared" si="3"/>
        <v>1</v>
      </c>
      <c r="AB39" s="980">
        <f t="shared" si="4"/>
        <v>1</v>
      </c>
      <c r="AC39" s="980">
        <f t="shared" si="5"/>
        <v>1</v>
      </c>
    </row>
    <row r="40" ht="16.25" spans="1:29">
      <c r="A40" s="1241"/>
      <c r="B40" s="775">
        <v>111</v>
      </c>
      <c r="C40" s="776"/>
      <c r="D40" s="777">
        <v>100</v>
      </c>
      <c r="E40" s="772"/>
      <c r="F40" s="1242">
        <f>SUMIF(112:112,E40,113:113)-SUMIF(112:112,C40,113:113)+100</f>
        <v>100</v>
      </c>
      <c r="G40" s="1159"/>
      <c r="H40" s="777">
        <f>SUMIF(112:112,G40,113:113)-SUMIF(112:112,C40,113:113)+100</f>
        <v>100</v>
      </c>
      <c r="I40" s="1159"/>
      <c r="J40" s="777">
        <f>SUMIF(112:112,I40,113:113)-SUMIF(112:112,C40,113:113)+100</f>
        <v>100</v>
      </c>
      <c r="K40" s="920"/>
      <c r="L40" s="1276"/>
      <c r="M40" s="1267"/>
      <c r="N40" s="1267"/>
      <c r="O40" s="1275"/>
      <c r="P40" s="1279"/>
      <c r="Q40" s="863">
        <f t="shared" si="11"/>
        <v>111</v>
      </c>
      <c r="R40" s="964" t="s">
        <v>1391</v>
      </c>
      <c r="S40" s="965">
        <f t="shared" si="12"/>
        <v>100</v>
      </c>
      <c r="T40" s="964" t="s">
        <v>1391</v>
      </c>
      <c r="U40" s="965">
        <f t="shared" si="13"/>
        <v>100</v>
      </c>
      <c r="V40" s="964" t="s">
        <v>1391</v>
      </c>
      <c r="W40" s="965">
        <f t="shared" si="14"/>
        <v>100</v>
      </c>
      <c r="X40" s="951"/>
      <c r="Y40" s="1279"/>
      <c r="Z40" s="937">
        <f t="shared" si="15"/>
        <v>111</v>
      </c>
      <c r="AA40" s="980">
        <f t="shared" si="3"/>
        <v>1</v>
      </c>
      <c r="AB40" s="980">
        <f t="shared" si="4"/>
        <v>1</v>
      </c>
      <c r="AC40" s="980">
        <f t="shared" si="5"/>
        <v>1</v>
      </c>
    </row>
    <row r="41" spans="1:29">
      <c r="A41" s="822" t="s">
        <v>2132</v>
      </c>
      <c r="B41" s="1243"/>
      <c r="C41" s="1162" t="s">
        <v>124</v>
      </c>
      <c r="D41" s="1163"/>
      <c r="E41" s="1164"/>
      <c r="F41" s="1165"/>
      <c r="G41" s="1166"/>
      <c r="H41" s="1167"/>
      <c r="I41" s="1164"/>
      <c r="J41" s="1167"/>
      <c r="K41" s="928"/>
      <c r="L41" s="1280"/>
      <c r="M41" s="880"/>
      <c r="N41" s="1267"/>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1427</v>
      </c>
      <c r="B42" s="1168"/>
      <c r="C42" s="1169" t="e">
        <f>R43</f>
        <v>#DIV/0!</v>
      </c>
      <c r="D42" s="833" t="s">
        <v>1428</v>
      </c>
      <c r="E42" s="1170" t="e">
        <f>R42</f>
        <v>#DIV/0!</v>
      </c>
      <c r="F42" s="834"/>
      <c r="G42" s="1169" t="e">
        <f>T42</f>
        <v>#DIV/0!</v>
      </c>
      <c r="H42" s="834"/>
      <c r="I42" s="1170" t="e">
        <f>V42</f>
        <v>#DIV/0!</v>
      </c>
      <c r="J42" s="834"/>
      <c r="K42" s="930">
        <f>F42+H42+J42</f>
        <v>0</v>
      </c>
      <c r="L42" s="1280"/>
      <c r="M42" s="880"/>
      <c r="N42" s="1267"/>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2133</v>
      </c>
      <c r="B43" s="837"/>
      <c r="C43" s="1171" t="e">
        <f>R43</f>
        <v>#DIV/0!</v>
      </c>
      <c r="D43" s="1171"/>
      <c r="E43" s="1171"/>
      <c r="F43" s="1171"/>
      <c r="G43" s="1171"/>
      <c r="H43" s="1171"/>
      <c r="I43" s="1171"/>
      <c r="J43" s="1171"/>
      <c r="K43" s="931"/>
      <c r="L43" s="1280"/>
      <c r="M43" s="880"/>
      <c r="N43" s="880"/>
      <c r="O43" s="880"/>
      <c r="P43" s="932" t="str">
        <f>A43</f>
        <v>估价对象XX用房的比较价值（楼面单价，元/平方米）</v>
      </c>
      <c r="Q43" s="970"/>
      <c r="R43" s="1295" t="e">
        <f>IF(F1="售价",ROUND(IF(D42="简单平均",AVERAGE(R42:V42),R42*F42+T42*H42+V42*J42),0),ROUND(IF(D42="简单平均",AVERAGE(R42:V42),R42*F42+T42*H42+V42*J42),1))</f>
        <v>#DIV/0!</v>
      </c>
      <c r="S43" s="1295"/>
      <c r="T43" s="1295"/>
      <c r="U43" s="1295"/>
      <c r="V43" s="1295"/>
      <c r="W43" s="1295"/>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1430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1431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1432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1"/>
      <c r="M48" s="1282"/>
      <c r="N48" s="1282"/>
      <c r="O48" s="1282"/>
    </row>
    <row r="49" s="714" customFormat="1" spans="1:15">
      <c r="A49" s="846"/>
      <c r="B49" s="847"/>
      <c r="C49" s="1172"/>
      <c r="D49" s="846"/>
      <c r="E49" s="846"/>
      <c r="F49" s="846"/>
      <c r="G49" s="846"/>
      <c r="H49" s="846"/>
      <c r="I49" s="846"/>
      <c r="J49" s="846"/>
      <c r="K49" s="935"/>
      <c r="L49" s="1281"/>
      <c r="M49" s="1282"/>
      <c r="N49" s="1282"/>
      <c r="O49" s="1282"/>
    </row>
    <row r="50" spans="1:15">
      <c r="A50" s="839"/>
      <c r="B50" s="847"/>
      <c r="C50" s="1172"/>
      <c r="D50" s="839"/>
      <c r="E50" s="839"/>
      <c r="F50" s="839"/>
      <c r="G50" s="839"/>
      <c r="H50" s="839"/>
      <c r="I50" s="839"/>
      <c r="J50" s="839"/>
      <c r="K50" s="933"/>
      <c r="L50" s="943"/>
      <c r="M50" s="880"/>
      <c r="N50" s="880"/>
      <c r="O50" s="880"/>
    </row>
    <row r="51" ht="21.75" spans="1:17">
      <c r="A51" s="884" t="s">
        <v>1456</v>
      </c>
      <c r="B51" s="885"/>
      <c r="C51" s="886"/>
      <c r="D51" s="886"/>
      <c r="E51" s="886"/>
      <c r="F51" s="887"/>
      <c r="G51" s="887"/>
      <c r="H51" s="886"/>
      <c r="I51" s="886"/>
      <c r="J51" s="886"/>
      <c r="K51" s="1194"/>
      <c r="L51" s="1195"/>
      <c r="M51" s="946"/>
      <c r="N51" s="946"/>
      <c r="O51" s="946"/>
      <c r="P51" s="1283"/>
      <c r="Q51" s="1285"/>
    </row>
    <row r="52" s="716" customFormat="1" spans="1:16">
      <c r="A52" s="1175" t="s">
        <v>1389</v>
      </c>
      <c r="B52" s="1176"/>
      <c r="C52" s="1177" t="str">
        <f>YEAR(C7)&amp;"-"&amp;MONTH(C7)</f>
        <v>2024-12</v>
      </c>
      <c r="D52" s="1178">
        <f>EDATE(C52,-1)</f>
        <v>45597</v>
      </c>
      <c r="E52" s="1178">
        <f t="shared" ref="E52:O52" si="16">EDATE(D52,-1)</f>
        <v>45566</v>
      </c>
      <c r="F52" s="1178">
        <f t="shared" si="16"/>
        <v>45536</v>
      </c>
      <c r="G52" s="1178">
        <f t="shared" si="16"/>
        <v>45505</v>
      </c>
      <c r="H52" s="1178">
        <f t="shared" si="16"/>
        <v>45474</v>
      </c>
      <c r="I52" s="1178">
        <f t="shared" si="16"/>
        <v>45444</v>
      </c>
      <c r="J52" s="1178">
        <f t="shared" si="16"/>
        <v>45413</v>
      </c>
      <c r="K52" s="1178">
        <f t="shared" si="16"/>
        <v>45383</v>
      </c>
      <c r="L52" s="1178">
        <f t="shared" si="16"/>
        <v>45352</v>
      </c>
      <c r="M52" s="1178">
        <f t="shared" si="16"/>
        <v>45323</v>
      </c>
      <c r="N52" s="1178">
        <f t="shared" si="16"/>
        <v>45292</v>
      </c>
      <c r="O52" s="1178">
        <f t="shared" si="16"/>
        <v>45261</v>
      </c>
      <c r="P52" s="1284"/>
    </row>
    <row r="53" s="711" customFormat="1" spans="1:16">
      <c r="A53" s="1179"/>
      <c r="B53" s="995"/>
      <c r="C53" s="1244">
        <v>100</v>
      </c>
      <c r="D53" s="999"/>
      <c r="E53" s="999"/>
      <c r="F53" s="999"/>
      <c r="G53" s="999"/>
      <c r="H53" s="999"/>
      <c r="I53" s="999"/>
      <c r="J53" s="999"/>
      <c r="K53" s="999"/>
      <c r="L53" s="999"/>
      <c r="M53" s="1198"/>
      <c r="N53" s="999"/>
      <c r="O53" s="1047"/>
      <c r="P53" s="1285"/>
    </row>
    <row r="54" s="711" customFormat="1" ht="14.75" spans="1:17">
      <c r="A54" s="990" t="s">
        <v>1459</v>
      </c>
      <c r="B54" s="991"/>
      <c r="C54" s="992"/>
      <c r="D54" s="993"/>
      <c r="E54" s="993"/>
      <c r="F54" s="993"/>
      <c r="G54" s="993"/>
      <c r="H54" s="993"/>
      <c r="I54" s="993"/>
      <c r="J54" s="993"/>
      <c r="K54" s="993"/>
      <c r="L54" s="993"/>
      <c r="M54" s="1041"/>
      <c r="N54" s="1286"/>
      <c r="O54" s="1287"/>
      <c r="P54" s="1285"/>
      <c r="Q54" s="1285"/>
    </row>
    <row r="55" s="711" customFormat="1" spans="1:17">
      <c r="A55" s="994" t="s">
        <v>1392</v>
      </c>
      <c r="B55" s="995"/>
      <c r="C55" s="996" t="s">
        <v>1393</v>
      </c>
      <c r="D55" s="997"/>
      <c r="E55" s="997"/>
      <c r="F55" s="997"/>
      <c r="G55" s="997"/>
      <c r="H55" s="997"/>
      <c r="I55" s="997"/>
      <c r="J55" s="997"/>
      <c r="K55" s="997"/>
      <c r="L55" s="1043"/>
      <c r="M55" s="1044"/>
      <c r="N55" s="1288"/>
      <c r="O55" s="1288"/>
      <c r="P55" s="1289"/>
      <c r="Q55" s="1285"/>
    </row>
    <row r="56" s="711" customFormat="1" ht="14.75" spans="1:17">
      <c r="A56" s="994"/>
      <c r="B56" s="995"/>
      <c r="C56" s="998">
        <v>100</v>
      </c>
      <c r="D56" s="999"/>
      <c r="E56" s="999"/>
      <c r="F56" s="999"/>
      <c r="G56" s="999"/>
      <c r="H56" s="999"/>
      <c r="I56" s="999"/>
      <c r="J56" s="999"/>
      <c r="K56" s="999"/>
      <c r="L56" s="999"/>
      <c r="M56" s="1047"/>
      <c r="N56" s="1288"/>
      <c r="O56" s="1288"/>
      <c r="P56" s="1285"/>
      <c r="Q56" s="1285"/>
    </row>
    <row r="57" spans="1:17">
      <c r="A57" s="1000" t="s">
        <v>1460</v>
      </c>
      <c r="B57" s="1001" t="s">
        <v>1397</v>
      </c>
      <c r="C57" s="1023">
        <f>C9</f>
        <v>0</v>
      </c>
      <c r="D57" s="926"/>
      <c r="E57" s="926"/>
      <c r="F57" s="926"/>
      <c r="G57" s="926"/>
      <c r="H57" s="926"/>
      <c r="I57" s="926"/>
      <c r="J57" s="926"/>
      <c r="K57" s="1048"/>
      <c r="L57" s="1049"/>
      <c r="M57" s="1050"/>
      <c r="N57" s="1290"/>
      <c r="O57" s="1290"/>
      <c r="P57" s="1291"/>
      <c r="Q57" s="1285"/>
    </row>
    <row r="58" ht="14.75" spans="1:17">
      <c r="A58" s="1002"/>
      <c r="B58" s="1003"/>
      <c r="C58" s="1004">
        <v>100</v>
      </c>
      <c r="D58" s="1004"/>
      <c r="E58" s="1004"/>
      <c r="F58" s="1004"/>
      <c r="G58" s="1004"/>
      <c r="H58" s="1004"/>
      <c r="I58" s="1004"/>
      <c r="J58" s="1004"/>
      <c r="K58" s="1004"/>
      <c r="L58" s="1004"/>
      <c r="M58" s="1053"/>
      <c r="N58" s="1292"/>
      <c r="O58" s="1292"/>
      <c r="P58" s="1291"/>
      <c r="Q58" s="1285"/>
    </row>
    <row r="59" ht="28.75" spans="1:17">
      <c r="A59" s="1002"/>
      <c r="B59" s="1005" t="s">
        <v>1400</v>
      </c>
      <c r="C59" s="1030"/>
      <c r="D59" s="1030"/>
      <c r="E59" s="1030"/>
      <c r="F59" s="1030"/>
      <c r="G59" s="1030"/>
      <c r="H59" s="1030"/>
      <c r="I59" s="1030"/>
      <c r="J59" s="1030"/>
      <c r="K59" s="1081"/>
      <c r="L59" s="1082"/>
      <c r="M59" s="1083"/>
      <c r="N59" s="1290"/>
      <c r="O59" s="1290"/>
      <c r="P59" s="1291"/>
      <c r="Q59" s="1285"/>
    </row>
    <row r="60" ht="14.75" spans="1:17">
      <c r="A60" s="1002"/>
      <c r="B60" s="1007"/>
      <c r="C60" s="1004"/>
      <c r="D60" s="1004"/>
      <c r="E60" s="1004"/>
      <c r="F60" s="1004"/>
      <c r="G60" s="1004"/>
      <c r="H60" s="1004"/>
      <c r="I60" s="1004"/>
      <c r="J60" s="1004"/>
      <c r="K60" s="1004"/>
      <c r="L60" s="1004"/>
      <c r="M60" s="1053"/>
      <c r="N60" s="1292"/>
      <c r="O60" s="1292"/>
      <c r="P60" s="1291"/>
      <c r="Q60" s="1285"/>
    </row>
    <row r="61" ht="14.75" spans="1:17">
      <c r="A61" s="1002"/>
      <c r="B61" s="1009" t="s">
        <v>1401</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2"/>
      <c r="O61" s="1292"/>
      <c r="P61" s="1291"/>
      <c r="Q61" s="1285"/>
    </row>
    <row r="62" spans="1:17">
      <c r="A62" s="1002"/>
      <c r="B62" s="1011"/>
      <c r="C62" s="770">
        <v>0</v>
      </c>
      <c r="D62" s="770">
        <v>2</v>
      </c>
      <c r="E62" s="770"/>
      <c r="F62" s="770"/>
      <c r="G62" s="770"/>
      <c r="H62" s="770"/>
      <c r="I62" s="770"/>
      <c r="J62" s="770"/>
      <c r="K62" s="1059"/>
      <c r="L62" s="1060"/>
      <c r="M62" s="1061"/>
      <c r="N62" s="1290"/>
      <c r="O62" s="1290"/>
      <c r="P62" s="1291"/>
      <c r="Q62" s="1285"/>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2"/>
      <c r="O63" s="1292"/>
      <c r="P63" s="1291"/>
      <c r="Q63" s="1285"/>
    </row>
    <row r="64" s="713" customFormat="1" ht="14.75" spans="1:17">
      <c r="A64" s="1012"/>
      <c r="B64" s="1005">
        <f>B12</f>
        <v>111</v>
      </c>
      <c r="C64" s="1013"/>
      <c r="D64" s="1013"/>
      <c r="E64" s="1013"/>
      <c r="F64" s="1013"/>
      <c r="G64" s="1013"/>
      <c r="H64" s="1014"/>
      <c r="I64" s="1014"/>
      <c r="J64" s="1014"/>
      <c r="K64" s="1014"/>
      <c r="L64" s="1062"/>
      <c r="M64" s="1063"/>
      <c r="N64" s="1293"/>
      <c r="O64" s="1293"/>
      <c r="P64" s="1294"/>
      <c r="Q64" s="1296"/>
    </row>
    <row r="65" s="713" customFormat="1" ht="14.75" spans="1:17">
      <c r="A65" s="1012"/>
      <c r="B65" s="1007"/>
      <c r="C65" s="1015"/>
      <c r="D65" s="1004"/>
      <c r="E65" s="1004"/>
      <c r="F65" s="1004"/>
      <c r="G65" s="1004"/>
      <c r="H65" s="1004"/>
      <c r="I65" s="1004"/>
      <c r="J65" s="1004"/>
      <c r="K65" s="1004"/>
      <c r="L65" s="1004"/>
      <c r="M65" s="1053"/>
      <c r="N65" s="1292"/>
      <c r="O65" s="1292"/>
      <c r="P65" s="1294"/>
      <c r="Q65" s="1296"/>
    </row>
    <row r="66" s="713" customFormat="1" ht="14.75" spans="1:17">
      <c r="A66" s="1012"/>
      <c r="B66" s="1005">
        <f>B13</f>
        <v>111</v>
      </c>
      <c r="C66" s="1013"/>
      <c r="D66" s="1013"/>
      <c r="E66" s="1013"/>
      <c r="F66" s="1013"/>
      <c r="G66" s="1013"/>
      <c r="H66" s="1014"/>
      <c r="I66" s="1014"/>
      <c r="J66" s="1014"/>
      <c r="K66" s="1014"/>
      <c r="L66" s="1062"/>
      <c r="M66" s="1063"/>
      <c r="N66" s="1293"/>
      <c r="O66" s="1293"/>
      <c r="P66" s="1298"/>
      <c r="Q66" s="1302"/>
    </row>
    <row r="67" s="713" customFormat="1" ht="14.75" spans="1:17">
      <c r="A67" s="1012"/>
      <c r="B67" s="1007"/>
      <c r="C67" s="1015"/>
      <c r="D67" s="1004"/>
      <c r="E67" s="1004"/>
      <c r="F67" s="1004"/>
      <c r="G67" s="1015"/>
      <c r="H67" s="1016"/>
      <c r="I67" s="1016"/>
      <c r="J67" s="1016"/>
      <c r="K67" s="1016"/>
      <c r="L67" s="1016"/>
      <c r="M67" s="1066"/>
      <c r="N67" s="1293"/>
      <c r="O67" s="1293"/>
      <c r="P67" s="1294"/>
      <c r="Q67" s="1296"/>
    </row>
    <row r="68" s="713" customFormat="1" ht="14.75" spans="1:17">
      <c r="A68" s="1012"/>
      <c r="B68" s="1009">
        <f>B14</f>
        <v>111</v>
      </c>
      <c r="C68" s="997"/>
      <c r="D68" s="997"/>
      <c r="E68" s="997"/>
      <c r="F68" s="997"/>
      <c r="G68" s="997"/>
      <c r="H68" s="1017"/>
      <c r="I68" s="1017"/>
      <c r="J68" s="1017"/>
      <c r="K68" s="1017"/>
      <c r="L68" s="1067"/>
      <c r="M68" s="1068"/>
      <c r="N68" s="1293"/>
      <c r="O68" s="1293"/>
      <c r="P68" s="1299"/>
      <c r="Q68" s="1296"/>
    </row>
    <row r="69" s="713" customFormat="1" ht="14.75" spans="1:17">
      <c r="A69" s="1018"/>
      <c r="B69" s="1019"/>
      <c r="C69" s="1020"/>
      <c r="D69" s="1020"/>
      <c r="E69" s="1020"/>
      <c r="F69" s="1020"/>
      <c r="G69" s="1020"/>
      <c r="H69" s="1021"/>
      <c r="I69" s="1021"/>
      <c r="J69" s="1021"/>
      <c r="K69" s="1021"/>
      <c r="L69" s="1021"/>
      <c r="M69" s="1070"/>
      <c r="N69" s="1293"/>
      <c r="O69" s="1293"/>
      <c r="P69" s="1294"/>
      <c r="Q69" s="1296"/>
    </row>
    <row r="70" spans="1:17">
      <c r="A70" s="1000" t="s">
        <v>1403</v>
      </c>
      <c r="B70" s="1001" t="s">
        <v>2176</v>
      </c>
      <c r="C70" s="1022" t="s">
        <v>1271</v>
      </c>
      <c r="D70" s="1022" t="s">
        <v>1272</v>
      </c>
      <c r="E70" s="1022" t="s">
        <v>1273</v>
      </c>
      <c r="F70" s="1022" t="s">
        <v>1274</v>
      </c>
      <c r="G70" s="1022" t="s">
        <v>1275</v>
      </c>
      <c r="H70" s="1023"/>
      <c r="I70" s="1023"/>
      <c r="J70" s="1023"/>
      <c r="K70" s="1071"/>
      <c r="L70" s="1072"/>
      <c r="M70" s="1073"/>
      <c r="N70" s="1290"/>
      <c r="O70" s="1290"/>
      <c r="P70" s="1300"/>
      <c r="Q70" s="1285"/>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292"/>
      <c r="O71" s="1292"/>
      <c r="P71" s="1291"/>
      <c r="Q71" s="1285"/>
    </row>
    <row r="72" ht="14.75" spans="1:17">
      <c r="A72" s="1002"/>
      <c r="B72" s="1005" t="s">
        <v>1408</v>
      </c>
      <c r="C72" s="1024" t="s">
        <v>1271</v>
      </c>
      <c r="D72" s="1024" t="s">
        <v>1272</v>
      </c>
      <c r="E72" s="1024" t="s">
        <v>1273</v>
      </c>
      <c r="F72" s="1024" t="s">
        <v>1274</v>
      </c>
      <c r="G72" s="1024" t="s">
        <v>1275</v>
      </c>
      <c r="H72" s="1006"/>
      <c r="I72" s="1006"/>
      <c r="J72" s="1006"/>
      <c r="K72" s="1055"/>
      <c r="L72" s="1056"/>
      <c r="M72" s="1057"/>
      <c r="N72" s="1290"/>
      <c r="O72" s="1290"/>
      <c r="P72" s="1291"/>
      <c r="Q72" s="1285"/>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292"/>
      <c r="O73" s="1292"/>
      <c r="P73" s="1291"/>
      <c r="Q73" s="1285"/>
    </row>
    <row r="74" ht="14.75" spans="1:17">
      <c r="A74" s="1002"/>
      <c r="B74" s="1005" t="s">
        <v>1411</v>
      </c>
      <c r="C74" s="1024" t="s">
        <v>1271</v>
      </c>
      <c r="D74" s="1024" t="s">
        <v>1272</v>
      </c>
      <c r="E74" s="1024" t="s">
        <v>1273</v>
      </c>
      <c r="F74" s="1024" t="s">
        <v>1274</v>
      </c>
      <c r="G74" s="1024" t="s">
        <v>1275</v>
      </c>
      <c r="H74" s="1006"/>
      <c r="I74" s="1006"/>
      <c r="J74" s="1006"/>
      <c r="K74" s="1055"/>
      <c r="L74" s="1056"/>
      <c r="M74" s="1057"/>
      <c r="N74" s="1290"/>
      <c r="O74" s="1290"/>
      <c r="P74" s="1291"/>
      <c r="Q74" s="1285"/>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292"/>
      <c r="O75" s="1292"/>
      <c r="P75" s="1291"/>
      <c r="Q75" s="1285"/>
    </row>
    <row r="76" ht="14.75" spans="1:17">
      <c r="A76" s="1002"/>
      <c r="B76" s="1009" t="s">
        <v>1412</v>
      </c>
      <c r="C76" s="1029" t="s">
        <v>1463</v>
      </c>
      <c r="D76" s="1029" t="s">
        <v>1464</v>
      </c>
      <c r="E76" s="1029" t="s">
        <v>1465</v>
      </c>
      <c r="F76" s="1029" t="s">
        <v>1466</v>
      </c>
      <c r="G76" s="1029" t="s">
        <v>1467</v>
      </c>
      <c r="H76" s="1006"/>
      <c r="I76" s="1006"/>
      <c r="J76" s="1006"/>
      <c r="K76" s="1006"/>
      <c r="L76" s="1006"/>
      <c r="M76" s="1212"/>
      <c r="N76" s="1292"/>
      <c r="O76" s="1292"/>
      <c r="P76" s="1291"/>
      <c r="Q76" s="1285"/>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292"/>
      <c r="O77" s="1292"/>
      <c r="P77" s="1291"/>
      <c r="Q77" s="1285"/>
    </row>
    <row r="78" ht="14.75" spans="1:17">
      <c r="A78" s="1002"/>
      <c r="B78" s="1005" t="s">
        <v>2171</v>
      </c>
      <c r="C78" s="1024" t="s">
        <v>1271</v>
      </c>
      <c r="D78" s="1024" t="s">
        <v>1272</v>
      </c>
      <c r="E78" s="1024" t="s">
        <v>1273</v>
      </c>
      <c r="F78" s="1024" t="s">
        <v>1274</v>
      </c>
      <c r="G78" s="1024" t="s">
        <v>1275</v>
      </c>
      <c r="H78" s="1006"/>
      <c r="I78" s="1006"/>
      <c r="J78" s="1006"/>
      <c r="K78" s="1055"/>
      <c r="L78" s="1056"/>
      <c r="M78" s="1057"/>
      <c r="N78" s="1290"/>
      <c r="O78" s="1290"/>
      <c r="P78" s="1291"/>
      <c r="Q78" s="1285"/>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292"/>
      <c r="O79" s="1292"/>
      <c r="P79" s="1291"/>
      <c r="Q79" s="1285"/>
    </row>
    <row r="80" s="711" customFormat="1" ht="14.75" spans="1:17">
      <c r="A80" s="1025"/>
      <c r="B80" s="1005">
        <f>B25</f>
        <v>111</v>
      </c>
      <c r="C80" s="1013"/>
      <c r="D80" s="1013"/>
      <c r="E80" s="1013"/>
      <c r="F80" s="1013"/>
      <c r="G80" s="1013"/>
      <c r="H80" s="1013"/>
      <c r="I80" s="1013"/>
      <c r="J80" s="1013"/>
      <c r="K80" s="1013"/>
      <c r="L80" s="1213"/>
      <c r="M80" s="1214"/>
      <c r="N80" s="1288"/>
      <c r="O80" s="1288"/>
      <c r="P80" s="1291"/>
      <c r="Q80" s="1285"/>
    </row>
    <row r="81" s="711" customFormat="1" ht="14.75" spans="1:17">
      <c r="A81" s="1025"/>
      <c r="B81" s="1007"/>
      <c r="C81" s="1015"/>
      <c r="D81" s="1004"/>
      <c r="E81" s="1004"/>
      <c r="F81" s="1004"/>
      <c r="G81" s="1004"/>
      <c r="H81" s="1004"/>
      <c r="I81" s="1004"/>
      <c r="J81" s="1004"/>
      <c r="K81" s="1004"/>
      <c r="L81" s="1004"/>
      <c r="M81" s="1053"/>
      <c r="N81" s="1292"/>
      <c r="O81" s="1292"/>
      <c r="P81" s="1291"/>
      <c r="Q81" s="1285"/>
    </row>
    <row r="82" s="711" customFormat="1" ht="14.75" spans="1:17">
      <c r="A82" s="1025"/>
      <c r="B82" s="1005">
        <f>B26</f>
        <v>111</v>
      </c>
      <c r="C82" s="1013"/>
      <c r="D82" s="1013"/>
      <c r="E82" s="1013"/>
      <c r="F82" s="1013"/>
      <c r="G82" s="1013"/>
      <c r="H82" s="1013"/>
      <c r="I82" s="1013"/>
      <c r="J82" s="1013"/>
      <c r="K82" s="1013"/>
      <c r="L82" s="1213"/>
      <c r="M82" s="1214"/>
      <c r="N82" s="1288"/>
      <c r="O82" s="1288"/>
      <c r="P82" s="1291"/>
      <c r="Q82" s="1285"/>
    </row>
    <row r="83" s="711" customFormat="1" ht="14.75" spans="1:17">
      <c r="A83" s="1025"/>
      <c r="B83" s="1007"/>
      <c r="C83" s="1015"/>
      <c r="D83" s="1004"/>
      <c r="E83" s="1004"/>
      <c r="F83" s="1004"/>
      <c r="G83" s="1004"/>
      <c r="H83" s="1004"/>
      <c r="I83" s="1004"/>
      <c r="J83" s="1004"/>
      <c r="K83" s="1004"/>
      <c r="L83" s="1004"/>
      <c r="M83" s="1053"/>
      <c r="N83" s="1292"/>
      <c r="O83" s="1292"/>
      <c r="P83" s="1291"/>
      <c r="Q83" s="1285"/>
    </row>
    <row r="84" s="713" customFormat="1" ht="14.75" spans="1:17">
      <c r="A84" s="1012"/>
      <c r="B84" s="1005">
        <f>B27</f>
        <v>111</v>
      </c>
      <c r="C84" s="1013"/>
      <c r="D84" s="1013"/>
      <c r="E84" s="1013"/>
      <c r="F84" s="1013"/>
      <c r="G84" s="1013"/>
      <c r="H84" s="1013"/>
      <c r="I84" s="1013"/>
      <c r="J84" s="1013"/>
      <c r="K84" s="1013"/>
      <c r="L84" s="1213"/>
      <c r="M84" s="1214"/>
      <c r="N84" s="1293"/>
      <c r="O84" s="1293"/>
      <c r="P84" s="1294"/>
      <c r="Q84" s="1296"/>
    </row>
    <row r="85" s="713" customFormat="1" ht="14.75" spans="1:17">
      <c r="A85" s="1012"/>
      <c r="B85" s="1007"/>
      <c r="C85" s="1015"/>
      <c r="D85" s="1004"/>
      <c r="E85" s="1004"/>
      <c r="F85" s="1004"/>
      <c r="G85" s="1004"/>
      <c r="H85" s="1004"/>
      <c r="I85" s="1004"/>
      <c r="J85" s="1004"/>
      <c r="K85" s="1004"/>
      <c r="L85" s="1004"/>
      <c r="M85" s="1053"/>
      <c r="N85" s="1293"/>
      <c r="O85" s="1293"/>
      <c r="P85" s="1294"/>
      <c r="Q85" s="1296"/>
    </row>
    <row r="86" ht="14.75" spans="1:17">
      <c r="A86" s="1002"/>
      <c r="B86" s="1009">
        <f>B28</f>
        <v>111</v>
      </c>
      <c r="C86" s="997"/>
      <c r="D86" s="997"/>
      <c r="E86" s="997"/>
      <c r="F86" s="997"/>
      <c r="G86" s="1031"/>
      <c r="H86" s="1031"/>
      <c r="I86" s="1031"/>
      <c r="J86" s="1031"/>
      <c r="K86" s="1084"/>
      <c r="L86" s="1085"/>
      <c r="M86" s="1086"/>
      <c r="N86" s="1290"/>
      <c r="O86" s="1290"/>
      <c r="P86" s="1291"/>
      <c r="Q86" s="1285"/>
    </row>
    <row r="87" ht="14.75" spans="1:17">
      <c r="A87" s="1297"/>
      <c r="B87" s="1019"/>
      <c r="C87" s="1020"/>
      <c r="D87" s="1020"/>
      <c r="E87" s="1020"/>
      <c r="F87" s="1020"/>
      <c r="G87" s="1032"/>
      <c r="H87" s="1032"/>
      <c r="I87" s="1032"/>
      <c r="J87" s="1032"/>
      <c r="K87" s="1032"/>
      <c r="L87" s="1032"/>
      <c r="M87" s="1087"/>
      <c r="N87" s="1292"/>
      <c r="O87" s="1292"/>
      <c r="P87" s="1291"/>
      <c r="Q87" s="1285"/>
    </row>
    <row r="88" spans="1:17">
      <c r="A88" s="1000" t="s">
        <v>1417</v>
      </c>
      <c r="B88" s="1001" t="s">
        <v>2115</v>
      </c>
      <c r="C88" s="926"/>
      <c r="D88" s="926"/>
      <c r="E88" s="926"/>
      <c r="F88" s="926"/>
      <c r="G88" s="926"/>
      <c r="H88" s="926"/>
      <c r="I88" s="926"/>
      <c r="J88" s="926"/>
      <c r="K88" s="1048"/>
      <c r="L88" s="1049"/>
      <c r="M88" s="1050"/>
      <c r="N88" s="1290"/>
      <c r="O88" s="1290"/>
      <c r="P88" s="1291"/>
      <c r="Q88" s="1285"/>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2"/>
      <c r="O89" s="1292"/>
      <c r="P89" s="1291"/>
      <c r="Q89" s="1285"/>
    </row>
    <row r="90" ht="14.75" spans="1:17">
      <c r="A90" s="1002"/>
      <c r="B90" s="1005" t="s">
        <v>2118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8"/>
      <c r="O90" s="1288"/>
      <c r="P90" s="1291"/>
      <c r="Q90" s="1285"/>
    </row>
    <row r="91" s="713" customFormat="1" spans="1:17">
      <c r="A91" s="1033"/>
      <c r="B91" s="1034"/>
      <c r="C91" s="989"/>
      <c r="D91" s="989"/>
      <c r="E91" s="989"/>
      <c r="F91" s="989"/>
      <c r="G91" s="989"/>
      <c r="H91" s="989"/>
      <c r="I91" s="989"/>
      <c r="J91" s="1088"/>
      <c r="K91" s="1088"/>
      <c r="L91" s="1089"/>
      <c r="M91" s="1090"/>
      <c r="N91" s="1293"/>
      <c r="O91" s="1293"/>
      <c r="P91" s="1294"/>
      <c r="Q91" s="1296"/>
    </row>
    <row r="92" s="713" customFormat="1" ht="14.75" spans="1:17">
      <c r="A92" s="1012"/>
      <c r="B92" s="1007"/>
      <c r="C92" s="1015"/>
      <c r="D92" s="1004"/>
      <c r="E92" s="1004"/>
      <c r="F92" s="1004"/>
      <c r="G92" s="1004"/>
      <c r="H92" s="1004"/>
      <c r="I92" s="1004"/>
      <c r="J92" s="1004"/>
      <c r="K92" s="1004"/>
      <c r="L92" s="1004"/>
      <c r="M92" s="1053"/>
      <c r="N92" s="1292"/>
      <c r="O92" s="1292"/>
      <c r="P92" s="1294"/>
      <c r="Q92" s="1296"/>
    </row>
    <row r="93" ht="14.75" spans="1:17">
      <c r="A93" s="1036"/>
      <c r="B93" s="1005" t="s">
        <v>2119</v>
      </c>
      <c r="C93" s="1013"/>
      <c r="D93" s="1013"/>
      <c r="E93" s="1030"/>
      <c r="F93" s="1030"/>
      <c r="G93" s="1030"/>
      <c r="H93" s="1030"/>
      <c r="I93" s="1030"/>
      <c r="J93" s="1030"/>
      <c r="K93" s="1081"/>
      <c r="L93" s="1082"/>
      <c r="M93" s="1083"/>
      <c r="N93" s="1290"/>
      <c r="O93" s="1290"/>
      <c r="P93" s="1291"/>
      <c r="Q93" s="1285"/>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2"/>
      <c r="O94" s="1292"/>
      <c r="P94" s="1291"/>
      <c r="Q94" s="1285"/>
    </row>
    <row r="95" ht="14.75" spans="1:17">
      <c r="A95" s="1036"/>
      <c r="B95" s="1005" t="s">
        <v>2123</v>
      </c>
      <c r="C95" s="1013"/>
      <c r="D95" s="1013"/>
      <c r="E95" s="1013"/>
      <c r="F95" s="1030"/>
      <c r="G95" s="1030"/>
      <c r="H95" s="1030"/>
      <c r="I95" s="1030"/>
      <c r="J95" s="1030"/>
      <c r="K95" s="1081"/>
      <c r="L95" s="1082"/>
      <c r="M95" s="1083"/>
      <c r="N95" s="1290"/>
      <c r="O95" s="1290"/>
      <c r="P95" s="1291"/>
      <c r="Q95" s="1285"/>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2"/>
      <c r="O96" s="1292"/>
      <c r="P96" s="1291"/>
      <c r="Q96" s="1285"/>
    </row>
    <row r="97" ht="14.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0"/>
      <c r="O97" s="1290"/>
      <c r="P97" s="1291"/>
      <c r="Q97" s="1285"/>
    </row>
    <row r="98" spans="1:17">
      <c r="A98" s="1036"/>
      <c r="B98" s="1009"/>
      <c r="C98" s="988">
        <v>0.5</v>
      </c>
      <c r="D98" s="988">
        <v>0.6</v>
      </c>
      <c r="E98" s="988">
        <v>0.7</v>
      </c>
      <c r="F98" s="988">
        <v>0.8</v>
      </c>
      <c r="G98" s="988">
        <v>0.9</v>
      </c>
      <c r="H98" s="988">
        <v>1.0001</v>
      </c>
      <c r="I98" s="1218"/>
      <c r="J98" s="1218"/>
      <c r="K98" s="1219"/>
      <c r="L98" s="1220"/>
      <c r="M98" s="1221"/>
      <c r="N98" s="1290"/>
      <c r="O98" s="1290"/>
      <c r="P98" s="1291"/>
      <c r="Q98" s="1285"/>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2"/>
      <c r="O99" s="1292"/>
      <c r="P99" s="1291"/>
      <c r="Q99" s="1285"/>
    </row>
    <row r="100" s="713" customFormat="1" ht="14.75" spans="1:17">
      <c r="A100" s="1033"/>
      <c r="B100" s="1005" t="s">
        <v>2124</v>
      </c>
      <c r="C100" s="1013"/>
      <c r="D100" s="1013"/>
      <c r="E100" s="1013"/>
      <c r="F100" s="1013"/>
      <c r="G100" s="1013"/>
      <c r="H100" s="1030"/>
      <c r="I100" s="1030"/>
      <c r="J100" s="1030"/>
      <c r="K100" s="1081"/>
      <c r="L100" s="1082"/>
      <c r="M100" s="1083"/>
      <c r="N100" s="1293"/>
      <c r="O100" s="1293"/>
      <c r="P100" s="1294"/>
      <c r="Q100" s="1296"/>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93"/>
      <c r="O101" s="1293"/>
      <c r="P101" s="1294"/>
      <c r="Q101" s="1296"/>
    </row>
    <row r="102" ht="14.75" spans="1:17">
      <c r="A102" s="1036"/>
      <c r="B102" s="1005" t="s">
        <v>2125</v>
      </c>
      <c r="C102" s="1013"/>
      <c r="D102" s="1013"/>
      <c r="E102" s="1013"/>
      <c r="F102" s="1013"/>
      <c r="G102" s="1013"/>
      <c r="H102" s="1030"/>
      <c r="I102" s="1030"/>
      <c r="J102" s="1030"/>
      <c r="K102" s="1081"/>
      <c r="L102" s="1082"/>
      <c r="M102" s="1083"/>
      <c r="N102" s="1290"/>
      <c r="O102" s="1290"/>
      <c r="P102" s="1291"/>
      <c r="Q102" s="1285"/>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2"/>
      <c r="O103" s="1292"/>
      <c r="P103" s="1291"/>
      <c r="Q103" s="1285"/>
    </row>
    <row r="104" ht="14.75" spans="1:17">
      <c r="A104" s="1036"/>
      <c r="B104" s="1005" t="s">
        <v>2128</v>
      </c>
      <c r="C104" s="1013"/>
      <c r="D104" s="1013"/>
      <c r="E104" s="1013"/>
      <c r="F104" s="1013"/>
      <c r="G104" s="1013"/>
      <c r="H104" s="1030"/>
      <c r="I104" s="1030"/>
      <c r="J104" s="1030"/>
      <c r="K104" s="1081"/>
      <c r="L104" s="1082"/>
      <c r="M104" s="1083"/>
      <c r="N104" s="1290"/>
      <c r="O104" s="1290"/>
      <c r="P104" s="1291"/>
      <c r="Q104" s="1285"/>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2"/>
      <c r="O105" s="1292"/>
      <c r="P105" s="1291"/>
      <c r="Q105" s="1285"/>
    </row>
    <row r="106" ht="28.75" spans="1:17">
      <c r="A106" s="1036"/>
      <c r="B106" s="1211" t="s">
        <v>2178</v>
      </c>
      <c r="C106" s="1024" t="s">
        <v>1271</v>
      </c>
      <c r="D106" s="1024" t="s">
        <v>1272</v>
      </c>
      <c r="E106" s="1024" t="s">
        <v>1273</v>
      </c>
      <c r="F106" s="1024" t="s">
        <v>1274</v>
      </c>
      <c r="G106" s="1024" t="s">
        <v>1275</v>
      </c>
      <c r="H106" s="1006"/>
      <c r="I106" s="1006"/>
      <c r="J106" s="1006"/>
      <c r="K106" s="1055"/>
      <c r="L106" s="1056"/>
      <c r="M106" s="1057"/>
      <c r="N106" s="1292"/>
      <c r="O106" s="1292"/>
      <c r="P106" s="1301"/>
      <c r="Q106" s="1303"/>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2"/>
      <c r="O107" s="1292"/>
      <c r="P107" s="1291"/>
      <c r="Q107" s="1285"/>
    </row>
    <row r="108" s="713" customFormat="1" ht="14.75" spans="1:17">
      <c r="A108" s="1033"/>
      <c r="B108" s="1005">
        <f>B38</f>
        <v>111</v>
      </c>
      <c r="C108" s="1013"/>
      <c r="D108" s="1013"/>
      <c r="E108" s="1013"/>
      <c r="F108" s="1013"/>
      <c r="G108" s="1013"/>
      <c r="H108" s="1014"/>
      <c r="I108" s="1014"/>
      <c r="J108" s="1014"/>
      <c r="K108" s="1014"/>
      <c r="L108" s="1062"/>
      <c r="M108" s="1063"/>
      <c r="N108" s="1293"/>
      <c r="O108" s="1293"/>
      <c r="P108" s="1294"/>
      <c r="Q108" s="1296"/>
    </row>
    <row r="109" s="713" customFormat="1" ht="14.75" spans="1:17">
      <c r="A109" s="1012"/>
      <c r="B109" s="1003"/>
      <c r="C109" s="1015"/>
      <c r="D109" s="1004"/>
      <c r="E109" s="1004"/>
      <c r="F109" s="1004"/>
      <c r="G109" s="1015"/>
      <c r="H109" s="1016"/>
      <c r="I109" s="1016"/>
      <c r="J109" s="1016"/>
      <c r="K109" s="1016"/>
      <c r="L109" s="1016"/>
      <c r="M109" s="1066"/>
      <c r="N109" s="1293"/>
      <c r="O109" s="1293"/>
      <c r="P109" s="1294"/>
      <c r="Q109" s="1296"/>
    </row>
    <row r="110" ht="14.75" spans="1:17">
      <c r="A110" s="1036"/>
      <c r="B110" s="1005">
        <f>B39</f>
        <v>111</v>
      </c>
      <c r="C110" s="1013"/>
      <c r="D110" s="1013"/>
      <c r="E110" s="1013"/>
      <c r="F110" s="1013"/>
      <c r="G110" s="1013"/>
      <c r="H110" s="1014"/>
      <c r="I110" s="1014"/>
      <c r="J110" s="1014"/>
      <c r="K110" s="1014"/>
      <c r="L110" s="1062"/>
      <c r="M110" s="1063"/>
      <c r="N110" s="1290"/>
      <c r="O110" s="1290"/>
      <c r="P110" s="1291"/>
      <c r="Q110" s="1285"/>
    </row>
    <row r="111" ht="14.75" spans="1:17">
      <c r="A111" s="1002"/>
      <c r="B111" s="1007"/>
      <c r="C111" s="1015"/>
      <c r="D111" s="1004"/>
      <c r="E111" s="1004"/>
      <c r="F111" s="1004"/>
      <c r="G111" s="1015"/>
      <c r="H111" s="1016"/>
      <c r="I111" s="1016"/>
      <c r="J111" s="1016"/>
      <c r="K111" s="1016"/>
      <c r="L111" s="1016"/>
      <c r="M111" s="1066"/>
      <c r="N111" s="1292"/>
      <c r="O111" s="1292"/>
      <c r="P111" s="1291"/>
      <c r="Q111" s="1285"/>
    </row>
    <row r="112" ht="14.75" spans="1:17">
      <c r="A112" s="1036"/>
      <c r="B112" s="1009">
        <f>B40</f>
        <v>111</v>
      </c>
      <c r="C112" s="997"/>
      <c r="D112" s="997"/>
      <c r="E112" s="997"/>
      <c r="F112" s="997"/>
      <c r="G112" s="1031"/>
      <c r="H112" s="1031"/>
      <c r="I112" s="1031"/>
      <c r="J112" s="1031"/>
      <c r="K112" s="997"/>
      <c r="L112" s="1043"/>
      <c r="M112" s="1086"/>
      <c r="N112" s="1290"/>
      <c r="O112" s="1290"/>
      <c r="P112" s="1291"/>
      <c r="Q112" s="1285"/>
    </row>
    <row r="113" ht="14.75" spans="1:17">
      <c r="A113" s="1297"/>
      <c r="B113" s="1019"/>
      <c r="C113" s="1020"/>
      <c r="D113" s="1020"/>
      <c r="E113" s="1020"/>
      <c r="F113" s="1020"/>
      <c r="G113" s="1032"/>
      <c r="H113" s="1032"/>
      <c r="I113" s="1032"/>
      <c r="J113" s="1032"/>
      <c r="K113" s="1032"/>
      <c r="L113" s="1032"/>
      <c r="M113" s="1087"/>
      <c r="N113" s="1292"/>
      <c r="O113" s="1292"/>
      <c r="P113" s="1291"/>
      <c r="Q113"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2179</v>
      </c>
      <c r="B1" s="1102" t="s">
        <v>412</v>
      </c>
      <c r="C1" s="1103" t="s">
        <v>2105</v>
      </c>
      <c r="D1" s="1104" t="s">
        <v>2180</v>
      </c>
      <c r="E1" s="1105" t="s">
        <v>2106</v>
      </c>
      <c r="F1" s="1106" t="s">
        <v>2107</v>
      </c>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f ca="1">IF(E1="项目模式",IF(C2="——",ROUND(C37*D3/10000,0),ROUND(C37*D3/10000,0)-D2),IF(E1="单套模式",IF(C2="——",ROUND(C37*D3/10000,4),ROUND(C37*D3/10000,4)-D2)))</f>
        <v>0</v>
      </c>
      <c r="C2" s="1111" t="s">
        <v>124</v>
      </c>
      <c r="D2" s="1112" t="e">
        <f ca="1">IF(E1="项目模式",SUMIF(INDIRECT("'"&amp;F2&amp;"'"&amp;"!A:A"),"承租人权益价值",INDIRECT("'"&amp;F2&amp;"'"&amp;"!c:c")),SUMIF(INDIRECT("'"&amp;F2&amp;"'"&amp;"!A:A"),"承租人权益价值（单套）",INDIRECT("'"&amp;F2&amp;"'"&amp;"!c:c")))</f>
        <v>#REF!</v>
      </c>
      <c r="E2" s="1113" t="s">
        <v>1004</v>
      </c>
      <c r="F2" s="1114"/>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f ca="1">IF(C2="——",C37,ROUND(B2*10000/D3,0))</f>
        <v>4944</v>
      </c>
      <c r="C3" s="1115" t="s">
        <v>1108</v>
      </c>
      <c r="D3" s="1116">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1117" t="s">
        <v>2181</v>
      </c>
      <c r="F5" s="741"/>
      <c r="G5" s="1186" t="s">
        <v>2182</v>
      </c>
      <c r="H5" s="739"/>
      <c r="I5" s="1186" t="s">
        <v>2183</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SUMIF(46:46,YEAR(E7)&amp;"-"&amp;MONTH(E7),47:47)</f>
        <v>100</v>
      </c>
      <c r="G7" s="754">
        <f>E7</f>
        <v>45644</v>
      </c>
      <c r="H7" s="751">
        <f>SUMIF(46:46,YEAR(G7)&amp;"-"&amp;MONTH(G7),47:47)</f>
        <v>100</v>
      </c>
      <c r="I7" s="752">
        <f>G7</f>
        <v>45644</v>
      </c>
      <c r="J7" s="751">
        <f>SUMIF(46:46,YEAR(I7)&amp;"-"&amp;MONTH(I7),47:47)</f>
        <v>100</v>
      </c>
      <c r="K7" s="901"/>
      <c r="L7" s="902"/>
      <c r="M7" s="903"/>
      <c r="N7" s="903"/>
      <c r="O7" s="903"/>
      <c r="P7" s="904" t="s">
        <v>1390</v>
      </c>
      <c r="Q7" s="958"/>
      <c r="R7" s="959" t="s">
        <v>1391</v>
      </c>
      <c r="S7" s="960">
        <f t="shared" ref="S7:S14" si="0">F7</f>
        <v>100</v>
      </c>
      <c r="T7" s="959" t="s">
        <v>1391</v>
      </c>
      <c r="U7" s="960">
        <f t="shared" ref="U7:U14" si="1">H7</f>
        <v>100</v>
      </c>
      <c r="V7" s="959" t="s">
        <v>1391</v>
      </c>
      <c r="W7" s="960">
        <f t="shared" ref="W7:W14"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SUMIF(49:49,E8,50:50)-SUMIF(49:49,C8,50:50)+100</f>
        <v>100</v>
      </c>
      <c r="G8" s="755" t="s">
        <v>1394</v>
      </c>
      <c r="H8" s="751">
        <f>SUMIF(49:49,G8,50:50)-SUMIF(49:49,C8,50:50)+100</f>
        <v>100</v>
      </c>
      <c r="I8" s="755" t="s">
        <v>1394</v>
      </c>
      <c r="J8" s="751">
        <f>SUMIF(49:49,I8,50:50)-SUMIF(49:49,C8,50:50)+100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34" si="3">D8/F8</f>
        <v>1</v>
      </c>
      <c r="AB8" s="978">
        <f t="shared" ref="AB8:AB34" si="4">D8/H8</f>
        <v>1</v>
      </c>
      <c r="AC8" s="978">
        <f t="shared" ref="AC8:AC34" si="5">D8/J8</f>
        <v>1</v>
      </c>
    </row>
    <row r="9" s="711" customFormat="1" spans="1:29">
      <c r="A9" s="756" t="s">
        <v>1396</v>
      </c>
      <c r="B9" s="757" t="s">
        <v>1397</v>
      </c>
      <c r="C9" s="1124" t="s">
        <v>2180</v>
      </c>
      <c r="D9" s="759">
        <v>100</v>
      </c>
      <c r="E9" s="1125" t="s">
        <v>2180</v>
      </c>
      <c r="F9" s="1226">
        <f>SUMIF(51:51,E9,52:52)-SUMIF(51:51,C9,52:52)+100</f>
        <v>100</v>
      </c>
      <c r="G9" s="1125" t="s">
        <v>2180</v>
      </c>
      <c r="H9" s="759">
        <f>SUMIF(51:51,G9,52:52)-SUMIF(51:51,C9,52:52)+100</f>
        <v>100</v>
      </c>
      <c r="I9" s="1125" t="s">
        <v>2180</v>
      </c>
      <c r="J9" s="759">
        <f>SUMIF(51:51,I9,52:52)-SUMIF(51:51,C9,52:52)+100</f>
        <v>100</v>
      </c>
      <c r="K9" s="901"/>
      <c r="L9" s="902"/>
      <c r="M9" s="903"/>
      <c r="N9" s="903"/>
      <c r="O9" s="905"/>
      <c r="P9" s="863" t="s">
        <v>1398</v>
      </c>
      <c r="Q9" s="963" t="str">
        <f t="shared" ref="Q9:Q14" si="6">B9</f>
        <v>用途</v>
      </c>
      <c r="R9" s="959" t="s">
        <v>1391</v>
      </c>
      <c r="S9" s="960">
        <f t="shared" si="0"/>
        <v>100</v>
      </c>
      <c r="T9" s="959" t="s">
        <v>1391</v>
      </c>
      <c r="U9" s="960">
        <f t="shared" si="1"/>
        <v>100</v>
      </c>
      <c r="V9" s="959" t="s">
        <v>1391</v>
      </c>
      <c r="W9" s="960">
        <f t="shared" si="2"/>
        <v>100</v>
      </c>
      <c r="X9" s="961"/>
      <c r="Y9" s="963" t="s">
        <v>1399</v>
      </c>
      <c r="Z9" s="979" t="str">
        <f t="shared" ref="Z9:Z14" si="7">Q9</f>
        <v>用途</v>
      </c>
      <c r="AA9" s="978">
        <f t="shared" si="3"/>
        <v>1</v>
      </c>
      <c r="AB9" s="978">
        <f t="shared" si="4"/>
        <v>1</v>
      </c>
      <c r="AC9" s="978">
        <f t="shared" si="5"/>
        <v>1</v>
      </c>
    </row>
    <row r="10" s="712" customFormat="1" ht="28" spans="1:29">
      <c r="A10" s="760"/>
      <c r="B10" s="761" t="s">
        <v>1400</v>
      </c>
      <c r="C10" s="1128" t="s">
        <v>2184</v>
      </c>
      <c r="D10" s="763">
        <v>100</v>
      </c>
      <c r="E10" s="1128" t="s">
        <v>2184</v>
      </c>
      <c r="F10" s="1227">
        <f>SUMIF(53:53,E10,54:54)-SUMIF(53:53,C10,54:54)+100</f>
        <v>100</v>
      </c>
      <c r="G10" s="1128" t="s">
        <v>2184</v>
      </c>
      <c r="H10" s="763">
        <f>SUMIF(53:53,G10,54:54)-SUMIF(53:53,C10,54:54)+100</f>
        <v>100</v>
      </c>
      <c r="I10" s="1128" t="s">
        <v>2184</v>
      </c>
      <c r="J10" s="763">
        <f>SUMIF(53:53,I10,54:54)-SUMIF(53:53,C10,54:54)+100</f>
        <v>100</v>
      </c>
      <c r="K10" s="901"/>
      <c r="L10" s="907"/>
      <c r="M10" s="908"/>
      <c r="N10" s="908"/>
      <c r="O10" s="909"/>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9"/>
      <c r="F11" s="1227">
        <f>SUMIF(55:55,E11,56:56)-SUMIF(55:55,C11,56:56)+100</f>
        <v>100</v>
      </c>
      <c r="G11" s="1159"/>
      <c r="H11" s="763">
        <f>SUMIF(55:55,G11,56:56)-SUMIF(55:55,C11,56:56)+100</f>
        <v>100</v>
      </c>
      <c r="I11" s="1159"/>
      <c r="J11" s="763">
        <f>SUMIF(55:55,I11,56:56)-SUMIF(55:55,C11,56:56)+100</f>
        <v>100</v>
      </c>
      <c r="K11" s="920"/>
      <c r="L11" s="911"/>
      <c r="M11" s="897"/>
      <c r="N11" s="897"/>
      <c r="O11" s="912"/>
      <c r="P11" s="863"/>
      <c r="Q11" s="963">
        <f t="shared" si="6"/>
        <v>111</v>
      </c>
      <c r="R11" s="959" t="s">
        <v>1391</v>
      </c>
      <c r="S11" s="960">
        <f t="shared" si="0"/>
        <v>100</v>
      </c>
      <c r="T11" s="959" t="s">
        <v>1391</v>
      </c>
      <c r="U11" s="960">
        <f t="shared" si="1"/>
        <v>100</v>
      </c>
      <c r="V11" s="959" t="s">
        <v>1391</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9"/>
      <c r="F12" s="1227">
        <f>SUMIF(57:57,E12,58:58)-SUMIF(57:57,C12,58:58)+100</f>
        <v>100</v>
      </c>
      <c r="G12" s="1159"/>
      <c r="H12" s="763">
        <f>SUMIF(57:57,G12,58:58)-SUMIF(57:57,C12,58:58)+100</f>
        <v>100</v>
      </c>
      <c r="I12" s="1159"/>
      <c r="J12" s="763">
        <f>SUMIF(57:57,I12,58:58)-SUMIF(57:57,C12,58:58)+100</f>
        <v>100</v>
      </c>
      <c r="K12" s="920"/>
      <c r="L12" s="902"/>
      <c r="M12" s="903"/>
      <c r="N12" s="903"/>
      <c r="O12" s="905"/>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9"/>
      <c r="F13" s="1227">
        <f>SUMIF(59:59,E13,60:60)-SUMIF(59:59,C13,60:60)+100</f>
        <v>100</v>
      </c>
      <c r="G13" s="1228"/>
      <c r="H13" s="777">
        <f>SUMIF(59:59,G13,60:60)-SUMIF(59:59,C13,60:60)+100</f>
        <v>100</v>
      </c>
      <c r="I13" s="1159"/>
      <c r="J13" s="773">
        <f>SUMIF(59:59,I13,60:60)-SUMIF(59:59,C13,60:60)+100</f>
        <v>100</v>
      </c>
      <c r="K13" s="920"/>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98" spans="1:29">
      <c r="A14" s="778" t="s">
        <v>1403</v>
      </c>
      <c r="B14" s="1229" t="s">
        <v>1408</v>
      </c>
      <c r="C14" s="780" t="str">
        <f>IF(B1="工业",估价对象房地状况!G4,估价对象房地状况!C6)</f>
        <v>估价对象周边道路状况、公共交通通达情况、停车便捷程度，综合评价交通便捷度较好</v>
      </c>
      <c r="D14" s="781">
        <v>100</v>
      </c>
      <c r="E14" s="782"/>
      <c r="F14" s="1134">
        <f>SUMIF(61:61,E15,62:62)-SUMIF(61:61,C15,62:62)+100</f>
        <v>100</v>
      </c>
      <c r="G14" s="914"/>
      <c r="H14" s="781">
        <f>SUMIF(61:61,G15,62:62)-SUMIF(61:61,C15,62:62)+100</f>
        <v>100</v>
      </c>
      <c r="I14" s="782"/>
      <c r="J14" s="781">
        <f>SUMIF(61:61,I15,62:62)-SUMIF(61:61,C15,62:62)+100</f>
        <v>100</v>
      </c>
      <c r="K14" s="1187">
        <v>2</v>
      </c>
      <c r="L14" s="913"/>
      <c r="M14" s="897"/>
      <c r="N14" s="897"/>
      <c r="O14" s="912"/>
      <c r="P14" s="915" t="s">
        <v>1405</v>
      </c>
      <c r="Q14" s="863" t="str">
        <f t="shared" si="6"/>
        <v>交通便捷度</v>
      </c>
      <c r="R14" s="964" t="s">
        <v>1391</v>
      </c>
      <c r="S14" s="965">
        <f t="shared" si="0"/>
        <v>100</v>
      </c>
      <c r="T14" s="964" t="s">
        <v>1391</v>
      </c>
      <c r="U14" s="965">
        <f t="shared" si="1"/>
        <v>100</v>
      </c>
      <c r="V14" s="964" t="s">
        <v>1391</v>
      </c>
      <c r="W14" s="965">
        <f t="shared" si="2"/>
        <v>100</v>
      </c>
      <c r="X14" s="951"/>
      <c r="Y14" s="915" t="s">
        <v>1405</v>
      </c>
      <c r="Z14" s="937" t="str">
        <f t="shared" si="7"/>
        <v>交通便捷度</v>
      </c>
      <c r="AA14" s="980">
        <f t="shared" si="3"/>
        <v>1</v>
      </c>
      <c r="AB14" s="980">
        <f t="shared" si="4"/>
        <v>1</v>
      </c>
      <c r="AC14" s="980">
        <f t="shared" si="5"/>
        <v>1</v>
      </c>
    </row>
    <row r="15" ht="15.5" spans="1:29">
      <c r="A15" s="764"/>
      <c r="B15" s="1230"/>
      <c r="C15" s="784" t="s">
        <v>1292</v>
      </c>
      <c r="D15" s="785"/>
      <c r="E15" s="784" t="s">
        <v>1292</v>
      </c>
      <c r="F15" s="1136"/>
      <c r="G15" s="784" t="s">
        <v>1292</v>
      </c>
      <c r="H15" s="787"/>
      <c r="I15" s="784" t="s">
        <v>1292</v>
      </c>
      <c r="J15" s="785"/>
      <c r="K15" s="1188"/>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231" t="s">
        <v>1411</v>
      </c>
      <c r="C16" s="789" t="str">
        <f>IF(B1="工业",估价对象房地状况!G5,估价对象房地状况!C7)</f>
        <v>估价对象所在区域公共配套设施齐备情况</v>
      </c>
      <c r="D16" s="791">
        <v>100</v>
      </c>
      <c r="E16" s="1137"/>
      <c r="F16" s="1138">
        <f>SUMIF(63:63,E17,64:64)-SUMIF(63:63,C17,64:64)+100</f>
        <v>100</v>
      </c>
      <c r="G16" s="1139"/>
      <c r="H16" s="791">
        <f>SUMIF(63:63,G17,64:64)-SUMIF(63:63,C17,64:64)+100</f>
        <v>100</v>
      </c>
      <c r="I16" s="1137"/>
      <c r="J16" s="791">
        <f>SUMIF(63:63,I17,64:64)-SUMIF(63:63,C17,64:64)+100</f>
        <v>100</v>
      </c>
      <c r="K16" s="1187">
        <v>2</v>
      </c>
      <c r="L16" s="913"/>
      <c r="M16" s="897"/>
      <c r="N16" s="897"/>
      <c r="O16" s="912"/>
      <c r="P16" s="916"/>
      <c r="Q16" s="863" t="str">
        <f>B16</f>
        <v>公共配套设施</v>
      </c>
      <c r="R16" s="964" t="s">
        <v>1391</v>
      </c>
      <c r="S16" s="965">
        <f>F16</f>
        <v>100</v>
      </c>
      <c r="T16" s="964" t="s">
        <v>1391</v>
      </c>
      <c r="U16" s="965">
        <f>H16</f>
        <v>100</v>
      </c>
      <c r="V16" s="964" t="s">
        <v>1391</v>
      </c>
      <c r="W16" s="965">
        <f>J16</f>
        <v>100</v>
      </c>
      <c r="X16" s="951"/>
      <c r="Y16" s="916"/>
      <c r="Z16" s="937" t="str">
        <f>Q16</f>
        <v>公共配套设施</v>
      </c>
      <c r="AA16" s="980">
        <f t="shared" si="3"/>
        <v>1</v>
      </c>
      <c r="AB16" s="980">
        <f t="shared" si="4"/>
        <v>1</v>
      </c>
      <c r="AC16" s="980">
        <f t="shared" si="5"/>
        <v>1</v>
      </c>
    </row>
    <row r="17" ht="15.5" spans="1:29">
      <c r="A17" s="764"/>
      <c r="B17" s="812"/>
      <c r="C17" s="1140" t="s">
        <v>1294</v>
      </c>
      <c r="D17" s="785"/>
      <c r="E17" s="1140" t="s">
        <v>1294</v>
      </c>
      <c r="F17" s="1136"/>
      <c r="G17" s="1140" t="s">
        <v>1294</v>
      </c>
      <c r="H17" s="785"/>
      <c r="I17" s="1140" t="s">
        <v>1294</v>
      </c>
      <c r="J17" s="785"/>
      <c r="K17" s="1188"/>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232" t="s">
        <v>1412</v>
      </c>
      <c r="C18" s="789" t="str">
        <f>IF(B1="工业",估价对象房地状况!G6,估价对象房地状况!C8)</f>
        <v>估价对象所在区域基础设施水平</v>
      </c>
      <c r="D18" s="791">
        <v>100</v>
      </c>
      <c r="E18" s="790"/>
      <c r="F18" s="1138">
        <f>SUMIF(65:65,E19,66:66)-SUMIF(65:65,C19,66:66)+100</f>
        <v>100</v>
      </c>
      <c r="G18" s="917"/>
      <c r="H18" s="791">
        <f>SUMIF(65:65,G19,66:66)-SUMIF(65:65,C19,66:66)+100</f>
        <v>100</v>
      </c>
      <c r="I18" s="1137"/>
      <c r="J18" s="791">
        <f>SUMIF(65:65,I19,66:66)-SUMIF(65:65,C19,66:66)+100</f>
        <v>100</v>
      </c>
      <c r="K18" s="1187">
        <v>2</v>
      </c>
      <c r="L18" s="913"/>
      <c r="M18" s="897"/>
      <c r="N18" s="897"/>
      <c r="O18" s="912"/>
      <c r="P18" s="916"/>
      <c r="Q18" s="863" t="str">
        <f>B18</f>
        <v>基础设施水平</v>
      </c>
      <c r="R18" s="964" t="s">
        <v>1391</v>
      </c>
      <c r="S18" s="965">
        <f>F18</f>
        <v>100</v>
      </c>
      <c r="T18" s="964" t="s">
        <v>1391</v>
      </c>
      <c r="U18" s="965">
        <f>H18</f>
        <v>100</v>
      </c>
      <c r="V18" s="964" t="s">
        <v>1391</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232"/>
      <c r="C19" s="1140" t="s">
        <v>236</v>
      </c>
      <c r="D19" s="787"/>
      <c r="E19" s="1140" t="s">
        <v>236</v>
      </c>
      <c r="F19" s="1141"/>
      <c r="G19" s="1140" t="s">
        <v>236</v>
      </c>
      <c r="H19" s="785"/>
      <c r="I19" s="1140" t="s">
        <v>236</v>
      </c>
      <c r="J19" s="785"/>
      <c r="K19" s="1189"/>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231" t="s">
        <v>2112</v>
      </c>
      <c r="C20" s="789" t="str">
        <f>IF(B1="工业",估价对象房地状况!G7,估价对象房地状况!C9)</f>
        <v>区域自然环境：；人文环境；综合评价环境状况一般</v>
      </c>
      <c r="D20" s="791">
        <v>100</v>
      </c>
      <c r="E20" s="1137"/>
      <c r="F20" s="1138">
        <f>SUMIF(67:67,E21,68:68)-SUMIF(67:67,C21,68:68)+100</f>
        <v>100</v>
      </c>
      <c r="G20" s="1139"/>
      <c r="H20" s="787">
        <f>SUMIF(67:67,G21,68:68)-SUMIF(67:67,C21,68:68)+100</f>
        <v>100</v>
      </c>
      <c r="I20" s="790"/>
      <c r="J20" s="787">
        <f>SUMIF(67:67,I21,68:68)-SUMIF(67:67,C21,68:68)+100</f>
        <v>100</v>
      </c>
      <c r="K20" s="1187">
        <v>2</v>
      </c>
      <c r="L20" s="913"/>
      <c r="M20" s="897"/>
      <c r="N20" s="897"/>
      <c r="O20" s="912"/>
      <c r="P20" s="916"/>
      <c r="Q20" s="863" t="str">
        <f>B20</f>
        <v>自然及人文环境</v>
      </c>
      <c r="R20" s="964" t="s">
        <v>1391</v>
      </c>
      <c r="S20" s="965">
        <f>F20</f>
        <v>100</v>
      </c>
      <c r="T20" s="964" t="s">
        <v>1391</v>
      </c>
      <c r="U20" s="965">
        <f>H20</f>
        <v>100</v>
      </c>
      <c r="V20" s="964" t="s">
        <v>1391</v>
      </c>
      <c r="W20" s="965">
        <f>J20</f>
        <v>100</v>
      </c>
      <c r="X20" s="951"/>
      <c r="Y20" s="916"/>
      <c r="Z20" s="937" t="str">
        <f>Q20</f>
        <v>自然及人文环境</v>
      </c>
      <c r="AA20" s="980">
        <f t="shared" si="3"/>
        <v>1</v>
      </c>
      <c r="AB20" s="980">
        <f t="shared" si="4"/>
        <v>1</v>
      </c>
      <c r="AC20" s="980">
        <f t="shared" si="5"/>
        <v>1</v>
      </c>
    </row>
    <row r="21" ht="15.5" spans="1:29">
      <c r="A21" s="764"/>
      <c r="B21" s="812"/>
      <c r="C21" s="784" t="s">
        <v>1292</v>
      </c>
      <c r="D21" s="785"/>
      <c r="E21" s="784" t="s">
        <v>1292</v>
      </c>
      <c r="F21" s="1136"/>
      <c r="G21" s="784" t="s">
        <v>1292</v>
      </c>
      <c r="H21" s="785"/>
      <c r="I21" s="784" t="s">
        <v>1292</v>
      </c>
      <c r="J21" s="785"/>
      <c r="K21" s="1188"/>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231" t="s">
        <v>2163</v>
      </c>
      <c r="C22" s="798"/>
      <c r="D22" s="787">
        <v>100</v>
      </c>
      <c r="E22" s="798"/>
      <c r="F22" s="1142">
        <f>SUMIF(69:69,E22,70:70)-SUMIF(69:69,C22,70:70)+100</f>
        <v>100</v>
      </c>
      <c r="G22" s="798"/>
      <c r="H22" s="773">
        <f>SUMIF(69:69,G22,70:70)-SUMIF(69:69,C22,70:70)+100</f>
        <v>100</v>
      </c>
      <c r="I22" s="798"/>
      <c r="J22" s="773">
        <f>SUMIF(69:69,I22,70:70)-SUMIF(69:69,C22,70:70)+100</f>
        <v>100</v>
      </c>
      <c r="K22" s="921">
        <v>2</v>
      </c>
      <c r="L22" s="913"/>
      <c r="M22" s="897"/>
      <c r="N22" s="897"/>
      <c r="O22" s="912"/>
      <c r="P22" s="916"/>
      <c r="Q22" s="863" t="str">
        <f>B22</f>
        <v>楼层</v>
      </c>
      <c r="R22" s="964" t="s">
        <v>1391</v>
      </c>
      <c r="S22" s="965">
        <f>F22</f>
        <v>100</v>
      </c>
      <c r="T22" s="964" t="s">
        <v>1391</v>
      </c>
      <c r="U22" s="965">
        <f>H22</f>
        <v>100</v>
      </c>
      <c r="V22" s="964" t="s">
        <v>1391</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42">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1391</v>
      </c>
      <c r="S23" s="965">
        <f>F23</f>
        <v>100</v>
      </c>
      <c r="T23" s="964" t="s">
        <v>1391</v>
      </c>
      <c r="U23" s="965">
        <f>H23</f>
        <v>100</v>
      </c>
      <c r="V23" s="964" t="s">
        <v>1391</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42">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1391</v>
      </c>
      <c r="S24" s="965">
        <f>F24</f>
        <v>100</v>
      </c>
      <c r="T24" s="964" t="s">
        <v>1391</v>
      </c>
      <c r="U24" s="965">
        <f>H24</f>
        <v>100</v>
      </c>
      <c r="V24" s="964" t="s">
        <v>1391</v>
      </c>
      <c r="W24" s="965">
        <f>J24</f>
        <v>100</v>
      </c>
      <c r="X24" s="951"/>
      <c r="Y24" s="916"/>
      <c r="Z24" s="937">
        <f>Q24</f>
        <v>111</v>
      </c>
      <c r="AA24" s="980">
        <f t="shared" si="3"/>
        <v>1</v>
      </c>
      <c r="AB24" s="980">
        <f t="shared" si="4"/>
        <v>1</v>
      </c>
      <c r="AC24" s="980">
        <f t="shared" si="5"/>
        <v>1</v>
      </c>
    </row>
    <row r="25" s="711" customFormat="1" ht="16.25" spans="1:29">
      <c r="A25" s="767"/>
      <c r="B25" s="768">
        <v>111</v>
      </c>
      <c r="C25" s="1233"/>
      <c r="D25" s="1234">
        <v>100</v>
      </c>
      <c r="E25" s="1233"/>
      <c r="F25" s="1235">
        <f>SUMIF(75:75,E25,76:76)-SUMIF(75:75,C25,76:76)+100</f>
        <v>100</v>
      </c>
      <c r="G25" s="1233"/>
      <c r="H25" s="1234">
        <f>SUMIF(75:75,G25,76:76)-SUMIF(75:75,C25,76:76)+100</f>
        <v>100</v>
      </c>
      <c r="I25" s="1233"/>
      <c r="J25" s="1234">
        <f>SUMIF(75:75,I25,76:76)-SUMIF(75:75,C25,76:76)+100</f>
        <v>100</v>
      </c>
      <c r="K25" s="920"/>
      <c r="L25" s="902"/>
      <c r="M25" s="903"/>
      <c r="N25" s="903"/>
      <c r="O25" s="905"/>
      <c r="P25" s="916"/>
      <c r="Q25" s="963">
        <f t="shared" si="11"/>
        <v>111</v>
      </c>
      <c r="R25" s="959" t="s">
        <v>1391</v>
      </c>
      <c r="S25" s="960">
        <f>F25</f>
        <v>100</v>
      </c>
      <c r="T25" s="959" t="s">
        <v>1391</v>
      </c>
      <c r="U25" s="960">
        <f>H25</f>
        <v>100</v>
      </c>
      <c r="V25" s="959" t="s">
        <v>1391</v>
      </c>
      <c r="W25" s="960">
        <f>J25</f>
        <v>100</v>
      </c>
      <c r="X25" s="961"/>
      <c r="Y25" s="916"/>
      <c r="Z25" s="979">
        <f>Q25</f>
        <v>111</v>
      </c>
      <c r="AA25" s="980">
        <f t="shared" si="3"/>
        <v>1</v>
      </c>
      <c r="AB25" s="980">
        <f t="shared" si="4"/>
        <v>1</v>
      </c>
      <c r="AC25" s="980">
        <f t="shared" si="5"/>
        <v>1</v>
      </c>
    </row>
    <row r="26" ht="15.5" spans="1:29">
      <c r="A26" s="1236" t="s">
        <v>1417</v>
      </c>
      <c r="B26" s="757" t="s">
        <v>2123</v>
      </c>
      <c r="C26" s="1237"/>
      <c r="D26" s="814">
        <v>100</v>
      </c>
      <c r="E26" s="1237"/>
      <c r="F26" s="1238">
        <f>SUMIF(77:77,E26,78:78)-SUMIF(77:77,C26,78:78)+100</f>
        <v>100</v>
      </c>
      <c r="G26" s="1237"/>
      <c r="H26" s="814">
        <f>SUMIF(77:77,G26,78:78)-SUMIF(77:77,C26,78:78)+100</f>
        <v>100</v>
      </c>
      <c r="I26" s="1237"/>
      <c r="J26" s="814">
        <f>SUMIF(77:77,I26,78:78)-SUMIF(77:77,C26,78:78)+100</f>
        <v>100</v>
      </c>
      <c r="K26" s="921">
        <v>2</v>
      </c>
      <c r="L26" s="913"/>
      <c r="M26" s="897"/>
      <c r="N26" s="897"/>
      <c r="O26" s="912"/>
      <c r="P26" s="922" t="s">
        <v>1416</v>
      </c>
      <c r="Q26" s="863" t="str">
        <f t="shared" si="11"/>
        <v>公共部分装修</v>
      </c>
      <c r="R26" s="964" t="s">
        <v>1391</v>
      </c>
      <c r="S26" s="965">
        <f t="shared" ref="S26:S34" si="12">F26</f>
        <v>100</v>
      </c>
      <c r="T26" s="964" t="s">
        <v>1391</v>
      </c>
      <c r="U26" s="965">
        <f t="shared" ref="U26:U34" si="13">H26</f>
        <v>100</v>
      </c>
      <c r="V26" s="964" t="s">
        <v>1391</v>
      </c>
      <c r="W26" s="965">
        <f t="shared" ref="W26:W34" si="14">J26</f>
        <v>100</v>
      </c>
      <c r="X26" s="951"/>
      <c r="Y26" s="925" t="s">
        <v>1416</v>
      </c>
      <c r="Z26" s="937" t="str">
        <f t="shared" ref="Z26:Z34" si="15">Q26</f>
        <v>公共部分装修</v>
      </c>
      <c r="AA26" s="980">
        <f t="shared" si="3"/>
        <v>1</v>
      </c>
      <c r="AB26" s="980">
        <f t="shared" si="4"/>
        <v>1</v>
      </c>
      <c r="AC26" s="980">
        <f t="shared" si="5"/>
        <v>1</v>
      </c>
    </row>
    <row r="27" s="713" customFormat="1" ht="15.5" spans="1:29">
      <c r="A27" s="820"/>
      <c r="B27" s="761" t="s">
        <v>2185</v>
      </c>
      <c r="C27" s="1156">
        <v>1</v>
      </c>
      <c r="D27" s="763">
        <v>100</v>
      </c>
      <c r="E27" s="1239">
        <v>1</v>
      </c>
      <c r="F27" s="1142">
        <f>LOOKUP(E27,80:80,81:81)-LOOKUP(C27,80:80,81:81)+100</f>
        <v>100</v>
      </c>
      <c r="G27" s="1240">
        <v>1</v>
      </c>
      <c r="H27" s="773">
        <f>LOOKUP(G27,80:80,81:81)-LOOKUP(C27,80:80,81:81)+100</f>
        <v>100</v>
      </c>
      <c r="I27" s="1240">
        <v>1</v>
      </c>
      <c r="J27" s="773">
        <f>LOOKUP(I27,80:80,81:81)-LOOKUP(C27,80:80,81:81)+100</f>
        <v>100</v>
      </c>
      <c r="K27" s="921">
        <v>2</v>
      </c>
      <c r="L27" s="911"/>
      <c r="M27" s="923"/>
      <c r="N27" s="923"/>
      <c r="O27" s="924"/>
      <c r="P27" s="925"/>
      <c r="Q27" s="1205" t="str">
        <f t="shared" si="11"/>
        <v>成新率</v>
      </c>
      <c r="R27" s="966" t="s">
        <v>1391</v>
      </c>
      <c r="S27" s="967">
        <f t="shared" si="12"/>
        <v>100</v>
      </c>
      <c r="T27" s="966" t="s">
        <v>1391</v>
      </c>
      <c r="U27" s="967">
        <f t="shared" si="13"/>
        <v>100</v>
      </c>
      <c r="V27" s="966" t="s">
        <v>1391</v>
      </c>
      <c r="W27" s="967">
        <f t="shared" si="14"/>
        <v>100</v>
      </c>
      <c r="X27" s="968"/>
      <c r="Y27" s="925"/>
      <c r="Z27" s="981" t="str">
        <f t="shared" si="15"/>
        <v>成新率</v>
      </c>
      <c r="AA27" s="980">
        <f t="shared" si="3"/>
        <v>1</v>
      </c>
      <c r="AB27" s="980">
        <f t="shared" si="4"/>
        <v>1</v>
      </c>
      <c r="AC27" s="980">
        <f t="shared" si="5"/>
        <v>1</v>
      </c>
    </row>
    <row r="28" ht="15.5" spans="1:29">
      <c r="A28" s="815"/>
      <c r="B28" s="761" t="s">
        <v>2186</v>
      </c>
      <c r="C28" s="1155"/>
      <c r="D28" s="773">
        <v>100</v>
      </c>
      <c r="E28" s="1155"/>
      <c r="F28" s="1142">
        <f>SUMIF(82:82,E28,83:83)-SUMIF(82:82,C28,83:83)+100</f>
        <v>100</v>
      </c>
      <c r="G28" s="1155"/>
      <c r="H28" s="773">
        <f>SUMIF(82:82,G28,83:83)-SUMIF(82:82,C28,83:83)+100</f>
        <v>100</v>
      </c>
      <c r="I28" s="1155"/>
      <c r="J28" s="773">
        <f>SUMIF(82:82,I28,83:83)-SUMIF(82:82,C28,83:83)+100</f>
        <v>100</v>
      </c>
      <c r="K28" s="921"/>
      <c r="L28" s="913"/>
      <c r="M28" s="897"/>
      <c r="N28" s="897"/>
      <c r="O28" s="912"/>
      <c r="P28" s="925"/>
      <c r="Q28" s="863" t="str">
        <f t="shared" si="11"/>
        <v>物业等级</v>
      </c>
      <c r="R28" s="964" t="s">
        <v>1391</v>
      </c>
      <c r="S28" s="965">
        <f t="shared" si="12"/>
        <v>100</v>
      </c>
      <c r="T28" s="964" t="s">
        <v>1391</v>
      </c>
      <c r="U28" s="965">
        <f t="shared" si="13"/>
        <v>100</v>
      </c>
      <c r="V28" s="964" t="s">
        <v>1391</v>
      </c>
      <c r="W28" s="965">
        <f t="shared" si="14"/>
        <v>100</v>
      </c>
      <c r="X28" s="951"/>
      <c r="Y28" s="925"/>
      <c r="Z28" s="937" t="str">
        <f t="shared" si="15"/>
        <v>物业等级</v>
      </c>
      <c r="AA28" s="980">
        <f t="shared" si="3"/>
        <v>1</v>
      </c>
      <c r="AB28" s="980">
        <f t="shared" si="4"/>
        <v>1</v>
      </c>
      <c r="AC28" s="980">
        <f t="shared" si="5"/>
        <v>1</v>
      </c>
    </row>
    <row r="29" ht="15.5" spans="1:29">
      <c r="A29" s="815"/>
      <c r="B29" s="761" t="s">
        <v>2187</v>
      </c>
      <c r="C29" s="1157"/>
      <c r="D29" s="773">
        <v>100</v>
      </c>
      <c r="E29" s="1157"/>
      <c r="F29" s="1142">
        <f>SUMIF(84:84,E29,85:85)-SUMIF(84:84,C29,85:85)+100</f>
        <v>100</v>
      </c>
      <c r="G29" s="1157"/>
      <c r="H29" s="773">
        <f>SUMIF(84:84,G29,85:85)-SUMIF(84:84,C29,85:85)+100</f>
        <v>100</v>
      </c>
      <c r="I29" s="1157"/>
      <c r="J29" s="773">
        <f>SUMIF(84:84,I29,85:85)-SUMIF(84:84,C29,85:85)+100</f>
        <v>100</v>
      </c>
      <c r="K29" s="921"/>
      <c r="L29" s="913"/>
      <c r="M29" s="897"/>
      <c r="N29" s="897"/>
      <c r="O29" s="912"/>
      <c r="P29" s="925"/>
      <c r="Q29" s="863" t="str">
        <f t="shared" si="11"/>
        <v>有无电梯</v>
      </c>
      <c r="R29" s="964" t="s">
        <v>1391</v>
      </c>
      <c r="S29" s="965">
        <f t="shared" si="12"/>
        <v>100</v>
      </c>
      <c r="T29" s="964" t="s">
        <v>1391</v>
      </c>
      <c r="U29" s="965">
        <f t="shared" si="13"/>
        <v>100</v>
      </c>
      <c r="V29" s="964" t="s">
        <v>1391</v>
      </c>
      <c r="W29" s="965">
        <f t="shared" si="14"/>
        <v>100</v>
      </c>
      <c r="X29" s="951"/>
      <c r="Y29" s="925"/>
      <c r="Z29" s="937" t="str">
        <f t="shared" si="15"/>
        <v>有无电梯</v>
      </c>
      <c r="AA29" s="980">
        <f t="shared" si="3"/>
        <v>1</v>
      </c>
      <c r="AB29" s="980">
        <f t="shared" si="4"/>
        <v>1</v>
      </c>
      <c r="AC29" s="980">
        <f t="shared" si="5"/>
        <v>1</v>
      </c>
    </row>
    <row r="30" ht="15.5" spans="1:29">
      <c r="A30" s="815"/>
      <c r="B30" s="761" t="s">
        <v>598</v>
      </c>
      <c r="C30" s="1159"/>
      <c r="D30" s="773">
        <v>100</v>
      </c>
      <c r="E30" s="1159"/>
      <c r="F30" s="1142">
        <f>LOOKUP(E30,87:87,88:88)-LOOKUP(C30,87:87,88:88)+100</f>
        <v>100</v>
      </c>
      <c r="G30" s="1159"/>
      <c r="H30" s="773">
        <f>LOOKUP(G30,87:87,88:88)-LOOKUP(C30,87:87,88:88)+100</f>
        <v>100</v>
      </c>
      <c r="I30" s="1159"/>
      <c r="J30" s="773">
        <f>LOOKUP(I30,87:87,88:88)-LOOKUP(C30,87:87,88:88)+100</f>
        <v>100</v>
      </c>
      <c r="K30" s="920"/>
      <c r="L30" s="913"/>
      <c r="M30" s="897"/>
      <c r="N30" s="897"/>
      <c r="O30" s="912"/>
      <c r="P30" s="925"/>
      <c r="Q30" s="863" t="str">
        <f t="shared" si="11"/>
        <v>建筑面积</v>
      </c>
      <c r="R30" s="964" t="s">
        <v>1391</v>
      </c>
      <c r="S30" s="965">
        <f t="shared" si="12"/>
        <v>100</v>
      </c>
      <c r="T30" s="964" t="s">
        <v>1391</v>
      </c>
      <c r="U30" s="965">
        <f t="shared" si="13"/>
        <v>100</v>
      </c>
      <c r="V30" s="964" t="s">
        <v>1391</v>
      </c>
      <c r="W30" s="965">
        <f t="shared" si="14"/>
        <v>100</v>
      </c>
      <c r="X30" s="951"/>
      <c r="Y30" s="925"/>
      <c r="Z30" s="937" t="str">
        <f t="shared" si="15"/>
        <v>建筑面积</v>
      </c>
      <c r="AA30" s="980">
        <f t="shared" si="3"/>
        <v>1</v>
      </c>
      <c r="AB30" s="980">
        <f t="shared" si="4"/>
        <v>1</v>
      </c>
      <c r="AC30" s="980">
        <f t="shared" si="5"/>
        <v>1</v>
      </c>
    </row>
    <row r="31" s="711" customFormat="1" ht="15.5" spans="1:29">
      <c r="A31" s="817"/>
      <c r="B31" s="761" t="s">
        <v>2188</v>
      </c>
      <c r="C31" s="1157"/>
      <c r="D31" s="763">
        <v>100</v>
      </c>
      <c r="E31" s="1157"/>
      <c r="F31" s="1142">
        <f>SUMIF(89:89,E31,90:90)-SUMIF(89:89,C31,90:90)+100</f>
        <v>100</v>
      </c>
      <c r="G31" s="1157"/>
      <c r="H31" s="773">
        <f>SUMIF(89:89,G31,90:90)-SUMIF(89:89,C31,90:90)+100</f>
        <v>100</v>
      </c>
      <c r="I31" s="1157"/>
      <c r="J31" s="773">
        <f>SUMIF(89:89,I31,90:90)-SUMIF(89:89,C31,90:90)+100</f>
        <v>100</v>
      </c>
      <c r="K31" s="921"/>
      <c r="L31" s="902"/>
      <c r="M31" s="903"/>
      <c r="N31" s="903"/>
      <c r="O31" s="905"/>
      <c r="P31" s="925"/>
      <c r="Q31" s="963" t="str">
        <f t="shared" si="11"/>
        <v>是否封闭</v>
      </c>
      <c r="R31" s="959" t="s">
        <v>1391</v>
      </c>
      <c r="S31" s="960">
        <f t="shared" si="12"/>
        <v>100</v>
      </c>
      <c r="T31" s="959" t="s">
        <v>1391</v>
      </c>
      <c r="U31" s="960">
        <f t="shared" si="13"/>
        <v>100</v>
      </c>
      <c r="V31" s="959" t="s">
        <v>1391</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9"/>
      <c r="F32" s="1142">
        <f>SUMIF(91:91,E32,92:92)-SUMIF(91:91,C32,92:92)+100</f>
        <v>100</v>
      </c>
      <c r="G32" s="1159"/>
      <c r="H32" s="773">
        <f>SUMIF(91:91,G32,92:92)-SUMIF(91:91,C32,92:92)+100</f>
        <v>100</v>
      </c>
      <c r="I32" s="1159"/>
      <c r="J32" s="773">
        <f>SUMIF(91:91,I32,92:92)-SUMIF(91:91,C32,92:92)+100</f>
        <v>100</v>
      </c>
      <c r="K32" s="920"/>
      <c r="L32" s="913"/>
      <c r="M32" s="897"/>
      <c r="N32" s="897"/>
      <c r="O32" s="912"/>
      <c r="P32" s="925" t="s">
        <v>1416</v>
      </c>
      <c r="Q32" s="863">
        <f t="shared" si="11"/>
        <v>111</v>
      </c>
      <c r="R32" s="964" t="s">
        <v>1391</v>
      </c>
      <c r="S32" s="965">
        <f t="shared" si="12"/>
        <v>100</v>
      </c>
      <c r="T32" s="964" t="s">
        <v>1391</v>
      </c>
      <c r="U32" s="965">
        <f t="shared" si="13"/>
        <v>100</v>
      </c>
      <c r="V32" s="964" t="s">
        <v>1391</v>
      </c>
      <c r="W32" s="965">
        <f t="shared" si="14"/>
        <v>100</v>
      </c>
      <c r="X32" s="951"/>
      <c r="Y32" s="925" t="s">
        <v>1416</v>
      </c>
      <c r="Z32" s="937">
        <f t="shared" si="15"/>
        <v>111</v>
      </c>
      <c r="AA32" s="980">
        <f t="shared" si="3"/>
        <v>1</v>
      </c>
      <c r="AB32" s="980">
        <f t="shared" si="4"/>
        <v>1</v>
      </c>
      <c r="AC32" s="980">
        <f t="shared" si="5"/>
        <v>1</v>
      </c>
    </row>
    <row r="33" ht="15.5" spans="1:29">
      <c r="A33" s="815"/>
      <c r="B33" s="768">
        <v>111</v>
      </c>
      <c r="C33" s="762"/>
      <c r="D33" s="773">
        <v>100</v>
      </c>
      <c r="E33" s="1159"/>
      <c r="F33" s="1142">
        <f>SUMIF(93:93,E33,94:94)-SUMIF(93:93,C33,94:94)+100</f>
        <v>100</v>
      </c>
      <c r="G33" s="1159"/>
      <c r="H33" s="773">
        <f>SUMIF(93:93,G33,94:94)-SUMIF(93:93,C33,94:94)+100</f>
        <v>100</v>
      </c>
      <c r="I33" s="1159"/>
      <c r="J33" s="773">
        <f>SUMIF(93:93,I33,94:94)-SUMIF(93:93,C33,94:94)+100</f>
        <v>100</v>
      </c>
      <c r="K33" s="920"/>
      <c r="L33" s="913"/>
      <c r="M33" s="897"/>
      <c r="N33" s="897"/>
      <c r="O33" s="912"/>
      <c r="P33" s="925"/>
      <c r="Q33" s="863">
        <f t="shared" si="11"/>
        <v>111</v>
      </c>
      <c r="R33" s="964" t="s">
        <v>1391</v>
      </c>
      <c r="S33" s="965">
        <f t="shared" si="12"/>
        <v>100</v>
      </c>
      <c r="T33" s="964" t="s">
        <v>1391</v>
      </c>
      <c r="U33" s="965">
        <f t="shared" si="13"/>
        <v>100</v>
      </c>
      <c r="V33" s="964" t="s">
        <v>1391</v>
      </c>
      <c r="W33" s="965">
        <f t="shared" si="14"/>
        <v>100</v>
      </c>
      <c r="X33" s="951"/>
      <c r="Y33" s="925"/>
      <c r="Z33" s="937">
        <f t="shared" si="15"/>
        <v>111</v>
      </c>
      <c r="AA33" s="980">
        <f t="shared" si="3"/>
        <v>1</v>
      </c>
      <c r="AB33" s="980">
        <f t="shared" si="4"/>
        <v>1</v>
      </c>
      <c r="AC33" s="980">
        <f t="shared" si="5"/>
        <v>1</v>
      </c>
    </row>
    <row r="34" ht="16.25" spans="1:29">
      <c r="A34" s="1241"/>
      <c r="B34" s="775">
        <v>111</v>
      </c>
      <c r="C34" s="776"/>
      <c r="D34" s="777">
        <v>100</v>
      </c>
      <c r="E34" s="1228"/>
      <c r="F34" s="1242">
        <f>SUMIF(95:95,E34,96:96)-SUMIF(95:95,C34,96:96)+100</f>
        <v>100</v>
      </c>
      <c r="G34" s="1228"/>
      <c r="H34" s="777">
        <f>SUMIF(95:95,G34,96:96)-SUMIF(95:95,C34,96:96)+100</f>
        <v>100</v>
      </c>
      <c r="I34" s="1228"/>
      <c r="J34" s="777">
        <f>SUMIF(95:95,I34,96:96)-SUMIF(95:95,C34,96:96)+100</f>
        <v>100</v>
      </c>
      <c r="K34" s="920"/>
      <c r="L34" s="913"/>
      <c r="M34" s="897"/>
      <c r="N34" s="897"/>
      <c r="O34" s="912"/>
      <c r="P34" s="925"/>
      <c r="Q34" s="863">
        <f t="shared" si="11"/>
        <v>111</v>
      </c>
      <c r="R34" s="964" t="s">
        <v>1391</v>
      </c>
      <c r="S34" s="965">
        <f t="shared" si="12"/>
        <v>100</v>
      </c>
      <c r="T34" s="964" t="s">
        <v>1391</v>
      </c>
      <c r="U34" s="965">
        <f t="shared" si="13"/>
        <v>100</v>
      </c>
      <c r="V34" s="964" t="s">
        <v>1391</v>
      </c>
      <c r="W34" s="965">
        <f t="shared" si="14"/>
        <v>100</v>
      </c>
      <c r="X34" s="951"/>
      <c r="Y34" s="925"/>
      <c r="Z34" s="937">
        <f t="shared" si="15"/>
        <v>111</v>
      </c>
      <c r="AA34" s="980">
        <f t="shared" si="3"/>
        <v>1</v>
      </c>
      <c r="AB34" s="980">
        <f t="shared" si="4"/>
        <v>1</v>
      </c>
      <c r="AC34" s="980">
        <f t="shared" si="5"/>
        <v>1</v>
      </c>
    </row>
    <row r="35" spans="1:29">
      <c r="A35" s="822" t="s">
        <v>2132</v>
      </c>
      <c r="B35" s="1243"/>
      <c r="C35" s="1162" t="s">
        <v>124</v>
      </c>
      <c r="D35" s="1163"/>
      <c r="E35" s="1164">
        <v>6066</v>
      </c>
      <c r="F35" s="1165"/>
      <c r="G35" s="1166">
        <v>4314</v>
      </c>
      <c r="H35" s="1167"/>
      <c r="I35" s="1164">
        <v>5324</v>
      </c>
      <c r="J35" s="1167"/>
      <c r="K35" s="928"/>
      <c r="L35" s="929"/>
      <c r="M35" s="839"/>
      <c r="N35" s="897"/>
      <c r="O35" s="839"/>
      <c r="P35" s="863" t="str">
        <f>A35</f>
        <v>成交单价（元/平方米）</v>
      </c>
      <c r="Q35" s="863"/>
      <c r="R35" s="980">
        <f>E35</f>
        <v>6066</v>
      </c>
      <c r="S35" s="980"/>
      <c r="T35" s="980">
        <f>G35</f>
        <v>4314</v>
      </c>
      <c r="U35" s="980"/>
      <c r="V35" s="980">
        <f>I35</f>
        <v>5324</v>
      </c>
      <c r="W35" s="980"/>
      <c r="X35" s="885"/>
      <c r="Y35" s="982"/>
      <c r="Z35" s="885"/>
      <c r="AA35" s="885"/>
      <c r="AB35" s="885"/>
      <c r="AC35" s="885"/>
    </row>
    <row r="36" ht="14.75" spans="1:29">
      <c r="A36" s="830" t="s">
        <v>1427</v>
      </c>
      <c r="B36" s="1168"/>
      <c r="C36" s="1169">
        <f>R37</f>
        <v>4944</v>
      </c>
      <c r="D36" s="833" t="s">
        <v>2189</v>
      </c>
      <c r="E36" s="1170">
        <f>R36</f>
        <v>6066</v>
      </c>
      <c r="F36" s="834">
        <v>0.1</v>
      </c>
      <c r="G36" s="1169">
        <f>T36</f>
        <v>4314</v>
      </c>
      <c r="H36" s="834">
        <v>0.45</v>
      </c>
      <c r="I36" s="1170">
        <f>V36</f>
        <v>5324</v>
      </c>
      <c r="J36" s="834">
        <v>0.45</v>
      </c>
      <c r="K36" s="930">
        <f>F36+H36+J36</f>
        <v>1</v>
      </c>
      <c r="L36" s="929"/>
      <c r="M36" s="839"/>
      <c r="N36" s="897"/>
      <c r="O36" s="839"/>
      <c r="P36" s="863" t="str">
        <f>A36</f>
        <v>比较价值（元/平方米）</v>
      </c>
      <c r="Q36" s="863"/>
      <c r="R36" s="980">
        <f>IF(F1="售价",ROUND(PRODUCT(R35,AA7:AA34),0),ROUND(PRODUCT(R35,AA7:AA34),1))</f>
        <v>6066</v>
      </c>
      <c r="S36" s="980"/>
      <c r="T36" s="980">
        <f>IF(F1="售价",ROUND(PRODUCT(T35,AB7:AB34),0),ROUND(PRODUCT(T35,AB7:AB34),1))</f>
        <v>4314</v>
      </c>
      <c r="U36" s="980"/>
      <c r="V36" s="980">
        <f>IF(F1="售价",ROUND(PRODUCT(V35,AC7:AC34),0),ROUND(PRODUCT(V35,AC7:AC34),1))</f>
        <v>5324</v>
      </c>
      <c r="W36" s="980"/>
      <c r="X36" s="885"/>
      <c r="Y36" s="885"/>
      <c r="Z36" s="885"/>
      <c r="AA36" s="885"/>
      <c r="AB36" s="885"/>
      <c r="AC36" s="885"/>
    </row>
    <row r="37" ht="14.75" spans="1:29">
      <c r="A37" s="836" t="s">
        <v>2133</v>
      </c>
      <c r="B37" s="837"/>
      <c r="C37" s="1171">
        <f>R37</f>
        <v>4944</v>
      </c>
      <c r="D37" s="1171"/>
      <c r="E37" s="1171"/>
      <c r="F37" s="1171"/>
      <c r="G37" s="1171"/>
      <c r="H37" s="1171"/>
      <c r="I37" s="1171"/>
      <c r="J37" s="1171"/>
      <c r="K37" s="931"/>
      <c r="L37" s="929"/>
      <c r="M37" s="839"/>
      <c r="N37" s="839"/>
      <c r="O37" s="839"/>
      <c r="P37" s="932" t="str">
        <f>A37</f>
        <v>估价对象XX用房的比较价值（楼面单价，元/平方米）</v>
      </c>
      <c r="Q37" s="970"/>
      <c r="R37" s="1206">
        <f>IF(F1="售价",ROUND(IF(D36="简单平均",AVERAGE(R36:W36),R36*F36+T36*H36+V36*J36),0),ROUND(IF(D36="简单平均",AVERAGE(R36:V36),R36*F36+T36*H36+V36*J36),1))</f>
        <v>4944</v>
      </c>
      <c r="S37" s="1206"/>
      <c r="T37" s="1206"/>
      <c r="U37" s="1206"/>
      <c r="V37" s="1206"/>
      <c r="W37" s="1206"/>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1430</v>
      </c>
      <c r="D40" s="842"/>
      <c r="E40" s="843">
        <f>IF(E35&lt;E36,E36/E35-1,E35/E36-1)</f>
        <v>0</v>
      </c>
      <c r="F40" s="844" t="str">
        <f>IF(OR(E40&gt;=0.3,E40&lt;=-0.3),"超过30%","")</f>
        <v/>
      </c>
      <c r="G40" s="843">
        <f>IF(G35&lt;G36,G36/G35-1,G35/G36-1)</f>
        <v>0</v>
      </c>
      <c r="H40" s="844" t="str">
        <f>IF(OR(G40&gt;=0.3,G40&lt;=-0.3),"超过30%","")</f>
        <v/>
      </c>
      <c r="I40" s="843">
        <f>IF(I35&lt;I36,I36/I35-1,I35/I36-1)</f>
        <v>0</v>
      </c>
      <c r="J40" s="844" t="str">
        <f>IF(OR(I40&gt;=0.3,I40&lt;=-0.3),"超过30%","")</f>
        <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1431</v>
      </c>
      <c r="D41" s="845"/>
      <c r="E41" s="843">
        <f>IF(E36&lt;G36,G36/E36-1,E36/G36-1)</f>
        <v>0.406119610570236</v>
      </c>
      <c r="F41" s="844" t="str">
        <f>IF(OR(E41&gt;=0.2,E41&lt;=-0.2),"超过20%","")</f>
        <v>超过20%</v>
      </c>
      <c r="G41" s="843">
        <f>IF(G36&lt;I36,I36/G36-1,G36/I36-1)</f>
        <v>0.234121464997682</v>
      </c>
      <c r="H41" s="844" t="str">
        <f>IF(OR(G41&gt;=0.2,G41&lt;=-0.2),"超过20%","")</f>
        <v>超过20%</v>
      </c>
      <c r="I41" s="843">
        <f>IF(I36&lt;E36,E36/I36-1,I36/E36-1)</f>
        <v>0.139368895567243</v>
      </c>
      <c r="J41" s="844" t="str">
        <f>IF(OR(I41&gt;=0.2,I41&lt;=-0.2),"超过20%","")</f>
        <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1432</v>
      </c>
      <c r="D42" s="845"/>
      <c r="E42" s="843">
        <f>IF(E35&lt;G35,G35/E35-1,E35/G35-1)</f>
        <v>0.406119610570236</v>
      </c>
      <c r="F42" s="844" t="str">
        <f>IF(OR(E42&gt;=0.3,E42&lt;=-0.3),"超过30%","")</f>
        <v>超过30%</v>
      </c>
      <c r="G42" s="843">
        <f>IF(G35&lt;I35,I35/G35-1,G35/I35-1)</f>
        <v>0.234121464997682</v>
      </c>
      <c r="H42" s="844" t="str">
        <f>IF(OR(G42&gt;=0.3,G42&lt;=-0.3),"超过30%","")</f>
        <v/>
      </c>
      <c r="I42" s="843">
        <f>IF(I35&lt;E35,E35/I35-1,I35/E35-1)</f>
        <v>0.139368895567243</v>
      </c>
      <c r="J42" s="844" t="str">
        <f>IF(OR(I42&gt;=0.3,I42&lt;=-0.3),"超过30%","")</f>
        <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2"/>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2"/>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1456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75" t="s">
        <v>1389</v>
      </c>
      <c r="B46" s="1176"/>
      <c r="C46" s="1177" t="str">
        <f>YEAR(C7)&amp;"-"&amp;MONTH(C7)</f>
        <v>2024-12</v>
      </c>
      <c r="D46" s="1178">
        <f>EDATE(C46,-1)</f>
        <v>45597</v>
      </c>
      <c r="E46" s="1178">
        <f t="shared" ref="E46:O46" si="16">EDATE(D46,-1)</f>
        <v>45566</v>
      </c>
      <c r="F46" s="1178">
        <f t="shared" si="16"/>
        <v>45536</v>
      </c>
      <c r="G46" s="1178">
        <f t="shared" si="16"/>
        <v>45505</v>
      </c>
      <c r="H46" s="1178">
        <f t="shared" si="16"/>
        <v>45474</v>
      </c>
      <c r="I46" s="1178">
        <f t="shared" si="16"/>
        <v>45444</v>
      </c>
      <c r="J46" s="1178">
        <f t="shared" si="16"/>
        <v>45413</v>
      </c>
      <c r="K46" s="1178">
        <f t="shared" si="16"/>
        <v>45383</v>
      </c>
      <c r="L46" s="1178">
        <f t="shared" si="16"/>
        <v>45352</v>
      </c>
      <c r="M46" s="1178">
        <f t="shared" si="16"/>
        <v>45323</v>
      </c>
      <c r="N46" s="1178">
        <f t="shared" si="16"/>
        <v>45292</v>
      </c>
      <c r="O46" s="1178">
        <f t="shared" si="16"/>
        <v>45261</v>
      </c>
      <c r="P46" s="1038"/>
      <c r="Q46" s="1094"/>
      <c r="R46" s="1094"/>
      <c r="S46" s="1094"/>
      <c r="T46" s="1094"/>
      <c r="U46" s="1094"/>
      <c r="V46" s="1094"/>
      <c r="W46" s="1094"/>
      <c r="X46" s="1094"/>
      <c r="Y46" s="1094"/>
      <c r="Z46" s="1094"/>
      <c r="AA46" s="1094"/>
      <c r="AB46" s="1094"/>
      <c r="AC46" s="1094"/>
      <c r="AD46" s="1094"/>
    </row>
    <row r="47" s="711" customFormat="1" spans="1:30">
      <c r="A47" s="1179"/>
      <c r="B47" s="995"/>
      <c r="C47" s="1244">
        <v>100</v>
      </c>
      <c r="D47" s="999"/>
      <c r="E47" s="999"/>
      <c r="F47" s="999"/>
      <c r="G47" s="999"/>
      <c r="H47" s="999"/>
      <c r="I47" s="999"/>
      <c r="J47" s="999"/>
      <c r="K47" s="999"/>
      <c r="L47" s="999"/>
      <c r="M47" s="1198"/>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1459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1392</v>
      </c>
      <c r="B49" s="995"/>
      <c r="C49" s="996" t="s">
        <v>1393</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1460</v>
      </c>
      <c r="B51" s="1001" t="s">
        <v>1397</v>
      </c>
      <c r="C51" s="1023" t="str">
        <f>C9</f>
        <v>仓储</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1400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1403</v>
      </c>
      <c r="B61" s="1001" t="s">
        <v>1408</v>
      </c>
      <c r="C61" s="1022" t="s">
        <v>1271</v>
      </c>
      <c r="D61" s="1022" t="s">
        <v>1272</v>
      </c>
      <c r="E61" s="1022" t="s">
        <v>1273</v>
      </c>
      <c r="F61" s="1022" t="s">
        <v>1274</v>
      </c>
      <c r="G61" s="1022" t="s">
        <v>1275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98</v>
      </c>
      <c r="E62" s="1008">
        <f>D62-$K14</f>
        <v>96</v>
      </c>
      <c r="F62" s="1008">
        <f>E62-$K14</f>
        <v>94</v>
      </c>
      <c r="G62" s="1008">
        <f>F62-$K14</f>
        <v>92</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2190</v>
      </c>
      <c r="C63" s="1024" t="s">
        <v>1271</v>
      </c>
      <c r="D63" s="1024" t="s">
        <v>1272</v>
      </c>
      <c r="E63" s="1024" t="s">
        <v>1273</v>
      </c>
      <c r="F63" s="1024" t="s">
        <v>1274</v>
      </c>
      <c r="G63" s="1024" t="s">
        <v>1275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98</v>
      </c>
      <c r="E64" s="1008">
        <f>D64-$K16</f>
        <v>96</v>
      </c>
      <c r="F64" s="1008">
        <f>E64-$K16</f>
        <v>94</v>
      </c>
      <c r="G64" s="1008">
        <f>F64-$K16</f>
        <v>92</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1412</v>
      </c>
      <c r="C65" s="1029" t="s">
        <v>1463</v>
      </c>
      <c r="D65" s="1029" t="s">
        <v>1464</v>
      </c>
      <c r="E65" s="1029" t="s">
        <v>1465</v>
      </c>
      <c r="F65" s="1029" t="s">
        <v>1466</v>
      </c>
      <c r="G65" s="1029" t="s">
        <v>1467</v>
      </c>
      <c r="H65" s="1006"/>
      <c r="I65" s="1006"/>
      <c r="J65" s="1006"/>
      <c r="K65" s="1006"/>
      <c r="L65" s="1006"/>
      <c r="M65" s="1212"/>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98</v>
      </c>
      <c r="E66" s="1008">
        <f>D66-$K18</f>
        <v>96</v>
      </c>
      <c r="F66" s="1008">
        <f>E66-$K18</f>
        <v>94</v>
      </c>
      <c r="G66" s="1008">
        <f>F66-$K18</f>
        <v>92</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2112</v>
      </c>
      <c r="C67" s="1024" t="s">
        <v>1271</v>
      </c>
      <c r="D67" s="1024" t="s">
        <v>1272</v>
      </c>
      <c r="E67" s="1024" t="s">
        <v>1273</v>
      </c>
      <c r="F67" s="1024" t="s">
        <v>1274</v>
      </c>
      <c r="G67" s="1024" t="s">
        <v>1275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98</v>
      </c>
      <c r="E68" s="1008">
        <f>D68-$K20</f>
        <v>96</v>
      </c>
      <c r="F68" s="1008">
        <f>E68-$K20</f>
        <v>94</v>
      </c>
      <c r="G68" s="1008">
        <f>F68-$K20</f>
        <v>92</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2163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98</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13"/>
      <c r="M71" s="1214"/>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4"/>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1417</v>
      </c>
      <c r="B77" s="1001" t="s">
        <v>2123</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98</v>
      </c>
      <c r="E78" s="1008">
        <f t="shared" si="17"/>
        <v>96</v>
      </c>
      <c r="F78" s="1008">
        <f t="shared" si="17"/>
        <v>94</v>
      </c>
      <c r="G78" s="1008">
        <f t="shared" si="17"/>
        <v>92</v>
      </c>
      <c r="H78" s="1008">
        <f t="shared" si="17"/>
        <v>90</v>
      </c>
      <c r="I78" s="1008">
        <f t="shared" si="17"/>
        <v>88</v>
      </c>
      <c r="J78" s="1008">
        <f t="shared" si="17"/>
        <v>86</v>
      </c>
      <c r="K78" s="1008">
        <f t="shared" si="17"/>
        <v>84</v>
      </c>
      <c r="L78" s="1008">
        <f t="shared" si="17"/>
        <v>82</v>
      </c>
      <c r="M78" s="1058">
        <f t="shared" si="17"/>
        <v>80</v>
      </c>
      <c r="N78" s="1054"/>
      <c r="O78" s="1054"/>
      <c r="P78" s="1052"/>
      <c r="Q78" s="972"/>
      <c r="R78" s="839"/>
      <c r="S78" s="839"/>
      <c r="T78" s="839"/>
      <c r="U78" s="839"/>
      <c r="V78" s="839"/>
      <c r="W78" s="839"/>
      <c r="X78" s="839"/>
      <c r="Y78" s="839"/>
      <c r="Z78" s="839"/>
      <c r="AA78" s="839"/>
      <c r="AB78" s="839"/>
      <c r="AC78" s="839"/>
      <c r="AD78" s="839"/>
    </row>
    <row r="79" ht="14.75" spans="1:30">
      <c r="A79" s="1002"/>
      <c r="B79" s="1005" t="s">
        <v>2185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49"/>
      <c r="L80" s="1250"/>
      <c r="M80" s="1251"/>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102</v>
      </c>
      <c r="E81" s="1008">
        <f t="shared" si="18"/>
        <v>104</v>
      </c>
      <c r="F81" s="1008">
        <f t="shared" si="18"/>
        <v>106</v>
      </c>
      <c r="G81" s="1008">
        <f t="shared" si="18"/>
        <v>108</v>
      </c>
      <c r="H81" s="1008">
        <f t="shared" si="18"/>
        <v>110</v>
      </c>
      <c r="I81" s="1008">
        <f t="shared" si="18"/>
        <v>112</v>
      </c>
      <c r="J81" s="1008">
        <f t="shared" si="18"/>
        <v>114</v>
      </c>
      <c r="K81" s="1008">
        <f t="shared" si="18"/>
        <v>116</v>
      </c>
      <c r="L81" s="1008">
        <f t="shared" si="18"/>
        <v>118</v>
      </c>
      <c r="M81" s="1008">
        <f t="shared" si="18"/>
        <v>120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2186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2187</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598</v>
      </c>
      <c r="C86" s="1024" t="str">
        <f t="shared" ref="C86:L86" si="21">C87&amp;"(含)"&amp;"-"&amp;D87</f>
        <v>0(含)-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v>0</v>
      </c>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2188</v>
      </c>
      <c r="C89" s="1013"/>
      <c r="D89" s="1013"/>
      <c r="E89" s="1013"/>
      <c r="F89" s="1013"/>
      <c r="G89" s="1013"/>
      <c r="H89" s="1013"/>
      <c r="I89" s="1013"/>
      <c r="J89" s="1013"/>
      <c r="K89" s="1013"/>
      <c r="L89" s="1013"/>
      <c r="M89" s="1214"/>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11">
        <f>B34</f>
        <v>111</v>
      </c>
      <c r="C95" s="770"/>
      <c r="D95" s="770"/>
      <c r="E95" s="770"/>
      <c r="F95" s="770"/>
      <c r="G95" s="1013"/>
      <c r="H95" s="1014"/>
      <c r="I95" s="1014"/>
      <c r="J95" s="1014"/>
      <c r="K95" s="1014"/>
      <c r="L95" s="1062"/>
      <c r="M95" s="1063"/>
      <c r="N95" s="1054"/>
      <c r="O95" s="1054"/>
      <c r="P95" s="1252"/>
      <c r="Q95" s="1223"/>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48"/>
      <c r="B98" s="1248"/>
      <c r="C98" s="1248"/>
      <c r="D98" s="1248"/>
      <c r="E98" s="1248"/>
      <c r="F98" s="1248"/>
      <c r="G98" s="1248"/>
      <c r="H98" s="1248"/>
      <c r="I98" s="1248"/>
      <c r="J98" s="1248"/>
      <c r="K98" s="1253"/>
      <c r="L98" s="1254"/>
      <c r="M98" s="1248"/>
      <c r="N98" s="839"/>
      <c r="O98" s="839"/>
      <c r="P98" s="839"/>
      <c r="Q98" s="839"/>
      <c r="R98" s="839"/>
      <c r="S98" s="839"/>
      <c r="T98" s="839"/>
      <c r="U98" s="839"/>
      <c r="V98" s="839"/>
      <c r="W98" s="839"/>
      <c r="X98" s="839"/>
      <c r="Y98" s="839"/>
      <c r="Z98" s="839"/>
      <c r="AA98" s="839"/>
      <c r="AB98" s="839"/>
      <c r="AC98" s="839"/>
      <c r="AD98" s="839"/>
    </row>
    <row r="99" spans="1:30">
      <c r="A99" s="1248"/>
      <c r="B99" s="1248"/>
      <c r="C99" s="1248"/>
      <c r="D99" s="1248"/>
      <c r="E99" s="1248"/>
      <c r="F99" s="1248"/>
      <c r="G99" s="1248"/>
      <c r="H99" s="1248"/>
      <c r="I99" s="1248"/>
      <c r="J99" s="1248"/>
      <c r="K99" s="1253"/>
      <c r="L99" s="1254"/>
      <c r="M99" s="1248"/>
      <c r="N99" s="839"/>
      <c r="O99" s="839"/>
      <c r="P99" s="839"/>
      <c r="Q99" s="839"/>
      <c r="R99" s="839"/>
      <c r="S99" s="839"/>
      <c r="T99" s="839"/>
      <c r="U99" s="839"/>
      <c r="V99" s="839"/>
      <c r="W99" s="839"/>
      <c r="X99" s="839"/>
      <c r="Y99" s="839"/>
      <c r="Z99" s="839"/>
      <c r="AA99" s="839"/>
      <c r="AB99" s="839"/>
      <c r="AC99" s="839"/>
      <c r="AD99" s="839"/>
    </row>
    <row r="100" spans="1:30">
      <c r="A100" s="1248"/>
      <c r="B100" s="1248"/>
      <c r="C100" s="1248"/>
      <c r="D100" s="1248"/>
      <c r="E100" s="1248"/>
      <c r="F100" s="1248"/>
      <c r="G100" s="1248"/>
      <c r="H100" s="1248"/>
      <c r="I100" s="1248"/>
      <c r="J100" s="1248"/>
      <c r="K100" s="1253"/>
      <c r="L100" s="1254"/>
      <c r="M100" s="1248"/>
      <c r="N100" s="839"/>
      <c r="O100" s="839"/>
      <c r="P100" s="839"/>
      <c r="Q100" s="839"/>
      <c r="R100" s="839"/>
      <c r="S100" s="839"/>
      <c r="T100" s="839"/>
      <c r="U100" s="839"/>
      <c r="V100" s="839"/>
      <c r="W100" s="839"/>
      <c r="X100" s="839"/>
      <c r="Y100" s="839"/>
      <c r="Z100" s="839"/>
      <c r="AA100" s="839"/>
      <c r="AB100" s="839"/>
      <c r="AC100" s="839"/>
      <c r="AD100" s="839"/>
    </row>
    <row r="101" spans="1:30">
      <c r="A101" s="1248"/>
      <c r="B101" s="1248"/>
      <c r="C101" s="1248"/>
      <c r="D101" s="1248"/>
      <c r="E101" s="1248"/>
      <c r="F101" s="1248"/>
      <c r="G101" s="1248"/>
      <c r="H101" s="1248"/>
      <c r="I101" s="1248"/>
      <c r="J101" s="1248"/>
      <c r="K101" s="1253"/>
      <c r="L101" s="1254"/>
      <c r="M101" s="1248"/>
      <c r="N101" s="839"/>
      <c r="O101" s="839"/>
      <c r="P101" s="839"/>
      <c r="Q101" s="839"/>
      <c r="R101" s="839"/>
      <c r="S101" s="839"/>
      <c r="T101" s="839"/>
      <c r="U101" s="839"/>
      <c r="V101" s="839"/>
      <c r="W101" s="839"/>
      <c r="X101" s="839"/>
      <c r="Y101" s="839"/>
      <c r="Z101" s="839"/>
      <c r="AA101" s="839"/>
      <c r="AB101" s="839"/>
      <c r="AC101" s="839"/>
      <c r="AD101" s="839"/>
    </row>
    <row r="102" spans="1:30">
      <c r="A102" s="1248"/>
      <c r="B102" s="1248"/>
      <c r="C102" s="1248"/>
      <c r="D102" s="1248"/>
      <c r="E102" s="1248"/>
      <c r="F102" s="1248"/>
      <c r="G102" s="1248"/>
      <c r="H102" s="1248"/>
      <c r="I102" s="1248"/>
      <c r="J102" s="1248"/>
      <c r="K102" s="1253"/>
      <c r="L102" s="1254"/>
      <c r="M102" s="1248"/>
      <c r="N102" s="839"/>
      <c r="O102" s="839"/>
      <c r="P102" s="839"/>
      <c r="Q102" s="839"/>
      <c r="R102" s="839"/>
      <c r="S102" s="839"/>
      <c r="T102" s="839"/>
      <c r="U102" s="839"/>
      <c r="V102" s="839"/>
      <c r="W102" s="839"/>
      <c r="X102" s="839"/>
      <c r="Y102" s="839"/>
      <c r="Z102" s="839"/>
      <c r="AA102" s="839"/>
      <c r="AB102" s="839"/>
      <c r="AC102" s="839"/>
      <c r="AD102" s="839"/>
    </row>
    <row r="103" spans="1:30">
      <c r="A103" s="1248"/>
      <c r="B103" s="1248"/>
      <c r="C103" s="1248"/>
      <c r="D103" s="1248"/>
      <c r="E103" s="1248"/>
      <c r="F103" s="1248"/>
      <c r="G103" s="1248"/>
      <c r="H103" s="1248"/>
      <c r="I103" s="1248"/>
      <c r="J103" s="1248"/>
      <c r="K103" s="1253"/>
      <c r="L103" s="1254"/>
      <c r="M103" s="1248"/>
      <c r="N103" s="1248"/>
      <c r="O103" s="1248"/>
      <c r="P103" s="839"/>
      <c r="Q103" s="839"/>
      <c r="R103" s="839"/>
      <c r="S103" s="839"/>
      <c r="T103" s="839"/>
      <c r="U103" s="839"/>
      <c r="V103" s="839"/>
      <c r="W103" s="839"/>
      <c r="X103" s="839"/>
      <c r="Y103" s="839"/>
      <c r="Z103" s="839"/>
      <c r="AA103" s="839"/>
      <c r="AB103" s="839"/>
      <c r="AC103" s="839"/>
      <c r="AD103" s="839"/>
    </row>
    <row r="104" spans="1:20">
      <c r="A104" s="1248"/>
      <c r="B104" s="1248"/>
      <c r="C104" s="1248"/>
      <c r="D104" s="1248"/>
      <c r="E104" s="1248"/>
      <c r="F104" s="1248"/>
      <c r="G104" s="1248"/>
      <c r="H104" s="1248"/>
      <c r="I104" s="1248"/>
      <c r="J104" s="1248"/>
      <c r="K104" s="1253"/>
      <c r="L104" s="1254"/>
      <c r="M104" s="1248"/>
      <c r="N104" s="1248"/>
      <c r="O104" s="1248"/>
      <c r="P104" s="1248"/>
      <c r="Q104" s="1248"/>
      <c r="R104" s="1248"/>
      <c r="S104" s="1248"/>
      <c r="T104" s="1248"/>
    </row>
    <row r="105" spans="1:20">
      <c r="A105" s="1248"/>
      <c r="B105" s="1248"/>
      <c r="C105" s="1248"/>
      <c r="D105" s="1248"/>
      <c r="E105" s="1248"/>
      <c r="F105" s="1248"/>
      <c r="G105" s="1248"/>
      <c r="H105" s="1248"/>
      <c r="I105" s="1248"/>
      <c r="J105" s="1248"/>
      <c r="K105" s="1253"/>
      <c r="L105" s="1254"/>
      <c r="M105" s="1248"/>
      <c r="N105" s="1248"/>
      <c r="O105" s="1248"/>
      <c r="P105" s="1248"/>
      <c r="Q105" s="1248"/>
      <c r="R105" s="1248"/>
      <c r="S105" s="1248"/>
      <c r="T105" s="1248"/>
    </row>
    <row r="106" spans="1:20">
      <c r="A106" s="1248"/>
      <c r="B106" s="1248"/>
      <c r="C106" s="1248"/>
      <c r="D106" s="1248"/>
      <c r="E106" s="1248"/>
      <c r="F106" s="1248"/>
      <c r="G106" s="1248"/>
      <c r="H106" s="1248"/>
      <c r="I106" s="1248"/>
      <c r="J106" s="1248"/>
      <c r="K106" s="1253"/>
      <c r="L106" s="1254"/>
      <c r="M106" s="1248"/>
      <c r="N106" s="1248"/>
      <c r="O106" s="1248"/>
      <c r="P106" s="1248"/>
      <c r="Q106" s="1248"/>
      <c r="R106" s="1248"/>
      <c r="S106" s="1248"/>
      <c r="T106" s="1248"/>
    </row>
    <row r="107" spans="1:20">
      <c r="A107" s="1248"/>
      <c r="B107" s="1248"/>
      <c r="C107" s="1248"/>
      <c r="D107" s="1248"/>
      <c r="E107" s="1248"/>
      <c r="F107" s="1248"/>
      <c r="G107" s="1248"/>
      <c r="H107" s="1248"/>
      <c r="I107" s="1248"/>
      <c r="J107" s="1248"/>
      <c r="K107" s="1253"/>
      <c r="L107" s="1254"/>
      <c r="M107" s="1248"/>
      <c r="N107" s="1248"/>
      <c r="O107" s="1248"/>
      <c r="P107" s="1248"/>
      <c r="Q107" s="1248"/>
      <c r="R107" s="1248"/>
      <c r="S107" s="1248"/>
      <c r="T107" s="1248"/>
    </row>
    <row r="108" spans="1:20">
      <c r="A108" s="1248"/>
      <c r="B108" s="1248"/>
      <c r="C108" s="1248"/>
      <c r="D108" s="1248"/>
      <c r="E108" s="1248"/>
      <c r="F108" s="1248"/>
      <c r="G108" s="1248"/>
      <c r="H108" s="1248"/>
      <c r="I108" s="1248"/>
      <c r="J108" s="1248"/>
      <c r="K108" s="1253"/>
      <c r="L108" s="1254"/>
      <c r="M108" s="1248"/>
      <c r="N108" s="1248"/>
      <c r="O108" s="1248"/>
      <c r="P108" s="1248"/>
      <c r="Q108" s="1248"/>
      <c r="R108" s="1248"/>
      <c r="S108" s="1248"/>
      <c r="T108" s="1248"/>
    </row>
    <row r="109" spans="1:20">
      <c r="A109" s="1248"/>
      <c r="B109" s="1248"/>
      <c r="C109" s="1248"/>
      <c r="D109" s="1248"/>
      <c r="E109" s="1248"/>
      <c r="F109" s="1248"/>
      <c r="G109" s="1248"/>
      <c r="H109" s="1248"/>
      <c r="I109" s="1248"/>
      <c r="J109" s="1248"/>
      <c r="K109" s="1253"/>
      <c r="L109" s="1254"/>
      <c r="M109" s="1248"/>
      <c r="N109" s="1248"/>
      <c r="O109" s="1248"/>
      <c r="P109" s="1248"/>
      <c r="Q109" s="1248"/>
      <c r="R109" s="1248"/>
      <c r="S109" s="1248"/>
      <c r="T109" s="1248"/>
    </row>
    <row r="110" spans="1:20">
      <c r="A110" s="1248"/>
      <c r="B110" s="1248"/>
      <c r="C110" s="1248"/>
      <c r="D110" s="1248"/>
      <c r="E110" s="1248"/>
      <c r="F110" s="1248"/>
      <c r="G110" s="1248"/>
      <c r="H110" s="1248"/>
      <c r="I110" s="1248"/>
      <c r="J110" s="1248"/>
      <c r="K110" s="1253"/>
      <c r="L110" s="1254"/>
      <c r="M110" s="1248"/>
      <c r="N110" s="1248"/>
      <c r="O110" s="1248"/>
      <c r="P110" s="1248"/>
      <c r="Q110" s="1248"/>
      <c r="R110" s="1248"/>
      <c r="S110" s="1248"/>
      <c r="T110" s="1248"/>
    </row>
    <row r="111" spans="1:20">
      <c r="A111" s="1248"/>
      <c r="B111" s="1248"/>
      <c r="C111" s="1248"/>
      <c r="D111" s="1248"/>
      <c r="E111" s="1248"/>
      <c r="F111" s="1248"/>
      <c r="G111" s="1248"/>
      <c r="H111" s="1248"/>
      <c r="I111" s="1248"/>
      <c r="J111" s="1248"/>
      <c r="K111" s="1253"/>
      <c r="L111" s="1254"/>
      <c r="M111" s="1248"/>
      <c r="N111" s="1248"/>
      <c r="O111" s="1248"/>
      <c r="P111" s="1248"/>
      <c r="Q111" s="1248"/>
      <c r="R111" s="1248"/>
      <c r="S111" s="1248"/>
      <c r="T111" s="1248"/>
    </row>
    <row r="112" spans="1:20">
      <c r="A112" s="1248"/>
      <c r="B112" s="1248"/>
      <c r="C112" s="1248"/>
      <c r="D112" s="1248"/>
      <c r="E112" s="1248"/>
      <c r="F112" s="1248"/>
      <c r="G112" s="1248"/>
      <c r="H112" s="1248"/>
      <c r="I112" s="1248"/>
      <c r="J112" s="1248"/>
      <c r="K112" s="1253"/>
      <c r="L112" s="1254"/>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3"/>
      <c r="L113" s="1254"/>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3"/>
      <c r="L114" s="1254"/>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3"/>
      <c r="L115" s="1254"/>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3"/>
      <c r="L116" s="1254"/>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3"/>
      <c r="L117" s="1254"/>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3"/>
      <c r="L118" s="1254"/>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3"/>
      <c r="L119" s="1254"/>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3"/>
      <c r="L120" s="1254"/>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3"/>
      <c r="L121" s="1254"/>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3"/>
      <c r="L122" s="1254"/>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3"/>
      <c r="L123" s="1254"/>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3"/>
      <c r="L124" s="1254"/>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3"/>
      <c r="L125" s="1254"/>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3"/>
      <c r="L126" s="1254"/>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3"/>
      <c r="L127" s="1254"/>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3"/>
      <c r="L128" s="1254"/>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3"/>
      <c r="L129" s="1254"/>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3"/>
      <c r="L130" s="1254"/>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3"/>
      <c r="L131" s="1254"/>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3"/>
      <c r="L132" s="1254"/>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3"/>
      <c r="L133" s="1254"/>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3"/>
      <c r="L134" s="1254"/>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3"/>
      <c r="L135" s="1254"/>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3"/>
      <c r="L136" s="1254"/>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3"/>
      <c r="L137" s="1254"/>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3"/>
      <c r="L138" s="1254"/>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3"/>
      <c r="L139" s="1254"/>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3"/>
      <c r="L140" s="1254"/>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3"/>
      <c r="L141" s="1254"/>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3"/>
      <c r="L142" s="1254"/>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3"/>
      <c r="L143" s="1254"/>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3"/>
      <c r="L144" s="1254"/>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3"/>
      <c r="L145" s="1254"/>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3"/>
      <c r="L146" s="1254"/>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3"/>
      <c r="L147" s="1254"/>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3"/>
      <c r="L148" s="1254"/>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3"/>
      <c r="L149" s="1254"/>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3"/>
      <c r="L150" s="1254"/>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3"/>
      <c r="L151" s="1254"/>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3"/>
      <c r="L152" s="1254"/>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3"/>
      <c r="L153" s="1254"/>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3"/>
      <c r="L154" s="1254"/>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3"/>
      <c r="L155" s="1254"/>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3"/>
      <c r="L156" s="1254"/>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3"/>
      <c r="L157" s="1254"/>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3"/>
      <c r="L158" s="1254"/>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3"/>
      <c r="L159" s="1254"/>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3"/>
      <c r="L160" s="1254"/>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3"/>
      <c r="L161" s="1254"/>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3"/>
      <c r="L162" s="1254"/>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3"/>
      <c r="L163" s="1254"/>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3"/>
      <c r="L164" s="1254"/>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3"/>
      <c r="L165" s="1254"/>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3"/>
      <c r="L166" s="1254"/>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3"/>
      <c r="L167" s="1254"/>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3"/>
      <c r="L168" s="1254"/>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3"/>
      <c r="L169" s="1254"/>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3"/>
      <c r="L170" s="1254"/>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3"/>
      <c r="L171" s="1254"/>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3"/>
      <c r="L172" s="1254"/>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3"/>
      <c r="L173" s="1254"/>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3"/>
      <c r="L174" s="1254"/>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3"/>
      <c r="L175" s="1254"/>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3"/>
      <c r="L176" s="1254"/>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3"/>
      <c r="L177" s="1254"/>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3"/>
      <c r="L178" s="1254"/>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3"/>
      <c r="L179" s="1254"/>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3"/>
      <c r="L180" s="1254"/>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3"/>
      <c r="L181" s="1254"/>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3"/>
      <c r="L182" s="1254"/>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3"/>
      <c r="L183" s="1254"/>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3"/>
      <c r="L184" s="1254"/>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3"/>
      <c r="L185" s="1254"/>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3"/>
      <c r="L186" s="1254"/>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3"/>
      <c r="L187" s="1254"/>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3"/>
      <c r="L188" s="1254"/>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3"/>
      <c r="L189" s="1254"/>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3"/>
      <c r="L190" s="1254"/>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3"/>
      <c r="L191" s="1254"/>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3"/>
      <c r="L192" s="1254"/>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3"/>
      <c r="L193" s="1254"/>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3"/>
      <c r="L194" s="1254"/>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3"/>
      <c r="L195" s="1254"/>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3"/>
      <c r="L196" s="1254"/>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3"/>
      <c r="L197" s="1254"/>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3"/>
      <c r="L198" s="1254"/>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3"/>
      <c r="L199" s="1254"/>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3"/>
      <c r="L200" s="1254"/>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3"/>
      <c r="L201" s="1254"/>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3"/>
      <c r="L202" s="1254"/>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3"/>
      <c r="L203" s="1254"/>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3"/>
      <c r="L204" s="1254"/>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3"/>
      <c r="L205" s="1254"/>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3"/>
      <c r="L206" s="1254"/>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3"/>
      <c r="L207" s="1254"/>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3"/>
      <c r="L208" s="1254"/>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3"/>
      <c r="L209" s="1254"/>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3"/>
      <c r="L210" s="1254"/>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3"/>
      <c r="L211" s="1254"/>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3"/>
      <c r="L212" s="1254"/>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3"/>
      <c r="L213" s="1254"/>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3"/>
      <c r="L214" s="1254"/>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3"/>
      <c r="L215" s="1254"/>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3"/>
      <c r="L216" s="1254"/>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3"/>
      <c r="L217" s="1254"/>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3"/>
      <c r="L218" s="1254"/>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3"/>
      <c r="L219" s="1254"/>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3"/>
      <c r="L220" s="1254"/>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3"/>
      <c r="L221" s="1254"/>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3"/>
      <c r="L222" s="1254"/>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3"/>
      <c r="L223" s="1254"/>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3"/>
      <c r="L224" s="1254"/>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3"/>
      <c r="L225" s="1254"/>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3"/>
      <c r="L226" s="1254"/>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3"/>
      <c r="L227" s="1254"/>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3"/>
      <c r="L228" s="1254"/>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3"/>
      <c r="L229" s="1254"/>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3"/>
      <c r="L230" s="1254"/>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3"/>
      <c r="L231" s="1254"/>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3"/>
      <c r="L232" s="1254"/>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3"/>
      <c r="L233" s="1254"/>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3"/>
      <c r="L234" s="1254"/>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3"/>
      <c r="L235" s="1254"/>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3"/>
      <c r="L236" s="1254"/>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3"/>
      <c r="L237" s="1254"/>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3"/>
      <c r="L238" s="1254"/>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3"/>
      <c r="L239" s="1254"/>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3"/>
      <c r="L240" s="1254"/>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3"/>
      <c r="L241" s="1254"/>
      <c r="M241" s="1248"/>
      <c r="N241" s="1248"/>
      <c r="O241" s="1248"/>
      <c r="P241" s="1248"/>
      <c r="Q241" s="1248"/>
      <c r="R241" s="1248"/>
      <c r="S241" s="1248"/>
      <c r="T24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5"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2179</v>
      </c>
      <c r="B1" s="1102" t="s">
        <v>412</v>
      </c>
      <c r="C1" s="1103" t="s">
        <v>2105</v>
      </c>
      <c r="D1" s="1104" t="s">
        <v>2191</v>
      </c>
      <c r="E1" s="1105" t="s">
        <v>2106</v>
      </c>
      <c r="F1" s="1106" t="s">
        <v>2107</v>
      </c>
      <c r="G1" s="1107" t="s">
        <v>1378</v>
      </c>
      <c r="H1" s="1108"/>
      <c r="I1" s="1108"/>
      <c r="J1" s="1108"/>
      <c r="K1" s="1181"/>
      <c r="L1" s="1182"/>
      <c r="M1" s="1183"/>
      <c r="N1" s="1183"/>
      <c r="O1" s="1183"/>
      <c r="P1" s="1184"/>
      <c r="Q1" s="1103"/>
      <c r="R1" s="1103"/>
      <c r="S1" s="1103"/>
      <c r="T1" s="1103"/>
      <c r="U1" s="1103"/>
      <c r="V1" s="1103"/>
      <c r="W1" s="1103"/>
      <c r="X1" s="1103"/>
      <c r="Y1" s="1103"/>
      <c r="Z1" s="1103"/>
      <c r="AA1" s="1103"/>
      <c r="AB1" s="1103"/>
      <c r="AC1" s="1207"/>
    </row>
    <row r="2" s="710" customFormat="1" ht="28.5" customHeight="1" spans="1:29">
      <c r="A2" s="1109" t="s">
        <v>1003</v>
      </c>
      <c r="B2" s="1110" t="e">
        <f ca="1">IF(E1="项目模式",IF(C2="——",IF(B37="元/平方米",ROUND(C39*D3/10000,0),ROUND(F3*C39/10000,0)),IF(B37="元/平方米",ROUND(C39*D3/10000,0),ROUND(F3*C39/10000,0))-D2),IF(E1="单套模式",IF(C2="——",IF(B37="元/平方米",ROUND(C39*D3/10000,0),ROUND(F3*C39/10000,0)),IF(B37="元/平方米",ROUND(C39*D3/10000,0),ROUND(F3*C39/10000,0))-D2)))</f>
        <v>#REF!</v>
      </c>
      <c r="C2" s="1111" t="s">
        <v>124</v>
      </c>
      <c r="D2" s="1112" t="e">
        <f ca="1">IF(E1="项目模式",SUMIF(INDIRECT("'"&amp;F2&amp;"'"&amp;"!A:A"),"承租人权益价值",INDIRECT("'"&amp;F2&amp;"'"&amp;"!c:c")),SUMIF(INDIRECT("'"&amp;F2&amp;"'"&amp;"!A:A"),"承租人权益价值（单套）",INDIRECT("'"&amp;F2&amp;"'"&amp;"!c:c")))</f>
        <v>#REF!</v>
      </c>
      <c r="E2" s="1113" t="s">
        <v>1004</v>
      </c>
      <c r="F2" s="1114"/>
      <c r="G2" s="726"/>
      <c r="H2" s="726"/>
      <c r="I2" s="726"/>
      <c r="J2" s="726"/>
      <c r="K2" s="892"/>
      <c r="L2" s="893"/>
      <c r="M2" s="894"/>
      <c r="N2" s="894"/>
      <c r="O2" s="894"/>
      <c r="P2" s="1185"/>
      <c r="Q2" s="891"/>
      <c r="R2" s="891"/>
      <c r="S2" s="891"/>
      <c r="T2" s="891"/>
      <c r="U2" s="891"/>
      <c r="V2" s="891"/>
      <c r="W2" s="891"/>
      <c r="X2" s="891"/>
      <c r="Y2" s="891"/>
      <c r="Z2" s="891"/>
      <c r="AA2" s="891"/>
      <c r="AB2" s="891"/>
      <c r="AC2" s="973"/>
    </row>
    <row r="3" s="710" customFormat="1" ht="28.5" customHeight="1" spans="1:29">
      <c r="A3" s="396" t="s">
        <v>1005</v>
      </c>
      <c r="B3" s="728" t="e">
        <f ca="1">IF(AND(C2="——",B37="元/平方米"),C39,ROUND(B2*10000/D3,0))</f>
        <v>#REF!</v>
      </c>
      <c r="C3" s="1115" t="s">
        <v>1108</v>
      </c>
      <c r="D3" s="1116">
        <f>SUMIF('数据-汇总表'!$C19:$C33,D1,'数据-汇总表'!$E19:$E33)</f>
        <v>0</v>
      </c>
      <c r="E3" s="1115" t="s">
        <v>2192</v>
      </c>
      <c r="F3" s="1116">
        <f>SUMIF('数据-取费表'!A5:A15,D1,'数据-取费表'!AH5:AH15)</f>
        <v>0</v>
      </c>
      <c r="G3" s="726"/>
      <c r="H3" s="726"/>
      <c r="I3" s="726"/>
      <c r="J3" s="726"/>
      <c r="K3" s="892"/>
      <c r="L3" s="893"/>
      <c r="M3" s="894" t="e">
        <f ca="1">IF(C2="——",IF(B37="元/平方米",ROUND(C39*D3/10000,0),ROUND(F3*C39/10000,0)),IF(B37="元/平方米",ROUND(C39*D3/10000,0),ROUND(F3*C39/10000,0))-D2)</f>
        <v>#REF!</v>
      </c>
      <c r="N3" s="894"/>
      <c r="O3" s="894"/>
      <c r="P3" s="1185"/>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1117" t="s">
        <v>2181</v>
      </c>
      <c r="F5" s="741"/>
      <c r="G5" s="738" t="s">
        <v>2182</v>
      </c>
      <c r="H5" s="739"/>
      <c r="I5" s="1186" t="s">
        <v>2110</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SUMIF(48:48,YEAR(E7)&amp;"-"&amp;MONTH(E7),49:49)</f>
        <v>100</v>
      </c>
      <c r="G7" s="752">
        <f>E7</f>
        <v>45644</v>
      </c>
      <c r="H7" s="751">
        <f>SUMIF(48:48,YEAR(G7)&amp;"-"&amp;MONTH(G7),49:49)</f>
        <v>100</v>
      </c>
      <c r="I7" s="752">
        <f>G7</f>
        <v>45644</v>
      </c>
      <c r="J7" s="751">
        <f>SUMIF(48:48,YEAR(I7)&amp;"-"&amp;MONTH(I7),49:49)</f>
        <v>100</v>
      </c>
      <c r="K7" s="901"/>
      <c r="L7" s="902"/>
      <c r="M7" s="903"/>
      <c r="N7" s="903"/>
      <c r="O7" s="903"/>
      <c r="P7" s="904" t="s">
        <v>1390</v>
      </c>
      <c r="Q7" s="958"/>
      <c r="R7" s="959" t="s">
        <v>1391</v>
      </c>
      <c r="S7" s="960">
        <f t="shared" ref="S7:S14" si="0">F7</f>
        <v>100</v>
      </c>
      <c r="T7" s="959" t="s">
        <v>1391</v>
      </c>
      <c r="U7" s="960">
        <f t="shared" ref="U7:U14" si="1">H7</f>
        <v>100</v>
      </c>
      <c r="V7" s="959" t="s">
        <v>1391</v>
      </c>
      <c r="W7" s="960">
        <f t="shared" ref="W7:W14"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SUMIF(51:51,E8,52:52)-SUMIF(51:51,C8,52:52)+100</f>
        <v>100</v>
      </c>
      <c r="G8" s="755" t="s">
        <v>1394</v>
      </c>
      <c r="H8" s="751">
        <f>SUMIF(51:51,G8,52:52)-SUMIF(51:51,C8,52:52)+100</f>
        <v>100</v>
      </c>
      <c r="I8" s="755" t="s">
        <v>1394</v>
      </c>
      <c r="J8" s="751">
        <f>SUMIF(51:51,I8,52:52)-SUMIF(51:51,C8,52:52)+100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36" si="3">D8/F8</f>
        <v>1</v>
      </c>
      <c r="AB8" s="978">
        <f t="shared" ref="AB8:AB36" si="4">D8/H8</f>
        <v>1</v>
      </c>
      <c r="AC8" s="978">
        <f t="shared" ref="AC8:AC36" si="5">D8/J8</f>
        <v>1</v>
      </c>
    </row>
    <row r="9" s="711" customFormat="1" spans="1:29">
      <c r="A9" s="1122" t="s">
        <v>1396</v>
      </c>
      <c r="B9" s="1123" t="s">
        <v>1397</v>
      </c>
      <c r="C9" s="1124" t="s">
        <v>2191</v>
      </c>
      <c r="D9" s="759">
        <v>100</v>
      </c>
      <c r="E9" s="1125" t="s">
        <v>2191</v>
      </c>
      <c r="F9" s="759">
        <f>SUMIF(53:53,E9,54:54)-SUMIF(53:53,C9,54:54)+100</f>
        <v>100</v>
      </c>
      <c r="G9" s="1125" t="s">
        <v>2191</v>
      </c>
      <c r="H9" s="759">
        <f>SUMIF(53:53,G9,54:54)-SUMIF(53:53,C9,54:54)+100</f>
        <v>100</v>
      </c>
      <c r="I9" s="1125" t="s">
        <v>2191</v>
      </c>
      <c r="J9" s="759">
        <f>SUMIF(53:53,I9,54:54)-SUMIF(53:53,C9,54:54)+100</f>
        <v>100</v>
      </c>
      <c r="K9" s="901"/>
      <c r="L9" s="902"/>
      <c r="M9" s="903"/>
      <c r="N9" s="903"/>
      <c r="O9" s="903"/>
      <c r="P9" s="863" t="s">
        <v>1398</v>
      </c>
      <c r="Q9" s="963" t="str">
        <f t="shared" ref="Q9:Q14" si="6">B9</f>
        <v>用途</v>
      </c>
      <c r="R9" s="959" t="s">
        <v>1391</v>
      </c>
      <c r="S9" s="960">
        <f t="shared" si="0"/>
        <v>100</v>
      </c>
      <c r="T9" s="959" t="s">
        <v>1391</v>
      </c>
      <c r="U9" s="960">
        <f t="shared" si="1"/>
        <v>100</v>
      </c>
      <c r="V9" s="959" t="s">
        <v>1391</v>
      </c>
      <c r="W9" s="960">
        <f t="shared" si="2"/>
        <v>100</v>
      </c>
      <c r="X9" s="961"/>
      <c r="Y9" s="963" t="s">
        <v>1399</v>
      </c>
      <c r="Z9" s="979" t="str">
        <f t="shared" ref="Z9:Z14" si="7">Q9</f>
        <v>用途</v>
      </c>
      <c r="AA9" s="978">
        <f t="shared" si="3"/>
        <v>1</v>
      </c>
      <c r="AB9" s="978">
        <f t="shared" si="4"/>
        <v>1</v>
      </c>
      <c r="AC9" s="978">
        <f t="shared" si="5"/>
        <v>1</v>
      </c>
    </row>
    <row r="10" s="712" customFormat="1" ht="28" spans="1:29">
      <c r="A10" s="1126"/>
      <c r="B10" s="1127" t="s">
        <v>1400</v>
      </c>
      <c r="C10" s="1128"/>
      <c r="D10" s="763">
        <v>100</v>
      </c>
      <c r="E10" s="1128"/>
      <c r="F10" s="763">
        <f>SUMIF(55:55,E10,56:56)-SUMIF(55:55,C10,56:56)+100</f>
        <v>100</v>
      </c>
      <c r="G10" s="1129"/>
      <c r="H10" s="763">
        <f>SUMIF(55:55,G10,56:56)-SUMIF(55:55,C10,56:56)+100</f>
        <v>100</v>
      </c>
      <c r="I10" s="1128"/>
      <c r="J10" s="763">
        <f>SUMIF(55:55,I10,56:56)-SUMIF(55:55,C10,56:56)+100</f>
        <v>100</v>
      </c>
      <c r="K10" s="901"/>
      <c r="L10" s="907"/>
      <c r="M10" s="908"/>
      <c r="N10" s="908"/>
      <c r="O10" s="908"/>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1130"/>
      <c r="B11" s="1131">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1391</v>
      </c>
      <c r="S11" s="960">
        <f t="shared" si="0"/>
        <v>100</v>
      </c>
      <c r="T11" s="959" t="s">
        <v>1391</v>
      </c>
      <c r="U11" s="960">
        <f t="shared" si="1"/>
        <v>100</v>
      </c>
      <c r="V11" s="959" t="s">
        <v>1391</v>
      </c>
      <c r="W11" s="960">
        <f t="shared" si="2"/>
        <v>100</v>
      </c>
      <c r="X11" s="961"/>
      <c r="Y11" s="963"/>
      <c r="Z11" s="979">
        <f t="shared" si="7"/>
        <v>111</v>
      </c>
      <c r="AA11" s="978">
        <f t="shared" si="3"/>
        <v>1</v>
      </c>
      <c r="AB11" s="978">
        <f t="shared" si="4"/>
        <v>1</v>
      </c>
      <c r="AC11" s="978">
        <f t="shared" si="5"/>
        <v>1</v>
      </c>
    </row>
    <row r="12" s="711" customFormat="1" ht="15.5" spans="1:29">
      <c r="A12" s="1132"/>
      <c r="B12" s="1131">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6.25" spans="1:29">
      <c r="A13" s="1133"/>
      <c r="B13" s="1131">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98" spans="1:29">
      <c r="A14" s="730" t="s">
        <v>1403</v>
      </c>
      <c r="B14" s="779" t="s">
        <v>1408</v>
      </c>
      <c r="C14" s="780" t="str">
        <f>IF(B1="工业",估价对象房地状况!G4,估价对象房地状况!C6)</f>
        <v>估价对象周边道路状况、公共交通通达情况、停车便捷程度，综合评价交通便捷度较好</v>
      </c>
      <c r="D14" s="781">
        <v>100</v>
      </c>
      <c r="E14" s="782"/>
      <c r="F14" s="1134">
        <f>SUMIF(63:63,E15,64:64)-SUMIF(63:63,C15,64:64)+100</f>
        <v>100</v>
      </c>
      <c r="G14" s="914"/>
      <c r="H14" s="781">
        <f>SUMIF(63:63,G15,64:64)-SUMIF(63:63,C15,64:64)+100</f>
        <v>100</v>
      </c>
      <c r="I14" s="782"/>
      <c r="J14" s="781">
        <f>SUMIF(63:63,I15,64:64)-SUMIF(63:63,C15,64:64)+100</f>
        <v>100</v>
      </c>
      <c r="K14" s="1187">
        <v>2</v>
      </c>
      <c r="L14" s="913"/>
      <c r="M14" s="897"/>
      <c r="N14" s="897"/>
      <c r="O14" s="897"/>
      <c r="P14" s="915" t="s">
        <v>1405</v>
      </c>
      <c r="Q14" s="863" t="str">
        <f t="shared" si="6"/>
        <v>交通便捷度</v>
      </c>
      <c r="R14" s="964" t="s">
        <v>1391</v>
      </c>
      <c r="S14" s="965">
        <f t="shared" si="0"/>
        <v>100</v>
      </c>
      <c r="T14" s="964" t="s">
        <v>1391</v>
      </c>
      <c r="U14" s="965">
        <f t="shared" si="1"/>
        <v>100</v>
      </c>
      <c r="V14" s="964" t="s">
        <v>1391</v>
      </c>
      <c r="W14" s="965">
        <f t="shared" si="2"/>
        <v>100</v>
      </c>
      <c r="X14" s="951"/>
      <c r="Y14" s="915" t="s">
        <v>1405</v>
      </c>
      <c r="Z14" s="937" t="str">
        <f t="shared" si="7"/>
        <v>交通便捷度</v>
      </c>
      <c r="AA14" s="980">
        <f t="shared" si="3"/>
        <v>1</v>
      </c>
      <c r="AB14" s="980">
        <f t="shared" si="4"/>
        <v>1</v>
      </c>
      <c r="AC14" s="980">
        <f t="shared" si="5"/>
        <v>1</v>
      </c>
    </row>
    <row r="15" ht="15.5" spans="1:29">
      <c r="A15" s="736"/>
      <c r="B15" s="1135"/>
      <c r="C15" s="784" t="s">
        <v>1292</v>
      </c>
      <c r="D15" s="785"/>
      <c r="E15" s="784" t="s">
        <v>1292</v>
      </c>
      <c r="F15" s="1136"/>
      <c r="G15" s="784" t="s">
        <v>1292</v>
      </c>
      <c r="H15" s="787"/>
      <c r="I15" s="784" t="s">
        <v>1292</v>
      </c>
      <c r="J15" s="785"/>
      <c r="K15" s="1188"/>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1411</v>
      </c>
      <c r="C16" s="789" t="str">
        <f>IF(B1="工业",估价对象房地状况!G5,估价对象房地状况!C7)</f>
        <v>估价对象所在区域公共配套设施齐备情况</v>
      </c>
      <c r="D16" s="791">
        <v>100</v>
      </c>
      <c r="E16" s="1137"/>
      <c r="F16" s="1138">
        <f>SUMIF(65:65,E17,66:66)-SUMIF(65:65,C17,66:66)+100</f>
        <v>100</v>
      </c>
      <c r="G16" s="1139"/>
      <c r="H16" s="791">
        <f>SUMIF(65:65,G17,66:66)-SUMIF(65:65,C17,66:66)+100</f>
        <v>100</v>
      </c>
      <c r="I16" s="1137"/>
      <c r="J16" s="791">
        <f>SUMIF(65:65,I17,66:66)-SUMIF(65:65,C17,66:66)+100</f>
        <v>100</v>
      </c>
      <c r="K16" s="1187">
        <v>2</v>
      </c>
      <c r="L16" s="913"/>
      <c r="M16" s="897"/>
      <c r="N16" s="897"/>
      <c r="O16" s="897"/>
      <c r="P16" s="916"/>
      <c r="Q16" s="863" t="str">
        <f>B16</f>
        <v>公共配套设施</v>
      </c>
      <c r="R16" s="964" t="s">
        <v>1391</v>
      </c>
      <c r="S16" s="965">
        <f>F16</f>
        <v>100</v>
      </c>
      <c r="T16" s="964" t="s">
        <v>1391</v>
      </c>
      <c r="U16" s="965">
        <f>H16</f>
        <v>100</v>
      </c>
      <c r="V16" s="964" t="s">
        <v>1391</v>
      </c>
      <c r="W16" s="965">
        <f>J16</f>
        <v>100</v>
      </c>
      <c r="X16" s="951"/>
      <c r="Y16" s="916"/>
      <c r="Z16" s="937" t="str">
        <f>Q16</f>
        <v>公共配套设施</v>
      </c>
      <c r="AA16" s="980">
        <f t="shared" si="3"/>
        <v>1</v>
      </c>
      <c r="AB16" s="980">
        <f t="shared" si="4"/>
        <v>1</v>
      </c>
      <c r="AC16" s="980">
        <f t="shared" si="5"/>
        <v>1</v>
      </c>
    </row>
    <row r="17" ht="15.5" spans="1:29">
      <c r="A17" s="736"/>
      <c r="B17" s="792"/>
      <c r="C17" s="1140" t="s">
        <v>1294</v>
      </c>
      <c r="D17" s="785"/>
      <c r="E17" s="1140" t="s">
        <v>1294</v>
      </c>
      <c r="F17" s="1136"/>
      <c r="G17" s="1140" t="s">
        <v>1294</v>
      </c>
      <c r="H17" s="785"/>
      <c r="I17" s="1140" t="s">
        <v>1294</v>
      </c>
      <c r="J17" s="785"/>
      <c r="K17" s="1188"/>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1412</v>
      </c>
      <c r="C18" s="789" t="str">
        <f>IF(B1="工业",估价对象房地状况!G6,估价对象房地状况!C8)</f>
        <v>估价对象所在区域基础设施水平</v>
      </c>
      <c r="D18" s="787">
        <v>100</v>
      </c>
      <c r="E18" s="790"/>
      <c r="F18" s="1138">
        <f>SUMIF(67:67,E19,68:68)-SUMIF(67:67,C19,68:68)+100</f>
        <v>100</v>
      </c>
      <c r="G18" s="917"/>
      <c r="H18" s="791">
        <f>SUMIF(67:67,G19,68:68)-SUMIF(67:67,C19,68:68)+100</f>
        <v>100</v>
      </c>
      <c r="I18" s="790"/>
      <c r="J18" s="791">
        <f>SUMIF(67:67,I19,68:68)-SUMIF(67:67,C19,68:68)+100</f>
        <v>100</v>
      </c>
      <c r="K18" s="1187">
        <v>2</v>
      </c>
      <c r="L18" s="913"/>
      <c r="M18" s="897"/>
      <c r="N18" s="897"/>
      <c r="O18" s="897"/>
      <c r="P18" s="916"/>
      <c r="Q18" s="863" t="str">
        <f>B18</f>
        <v>基础设施水平</v>
      </c>
      <c r="R18" s="964" t="s">
        <v>1391</v>
      </c>
      <c r="S18" s="965">
        <f>F18</f>
        <v>100</v>
      </c>
      <c r="T18" s="964" t="s">
        <v>1391</v>
      </c>
      <c r="U18" s="965">
        <f>H18</f>
        <v>100</v>
      </c>
      <c r="V18" s="964" t="s">
        <v>1391</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40" t="s">
        <v>236</v>
      </c>
      <c r="D19" s="787"/>
      <c r="E19" s="1140" t="s">
        <v>236</v>
      </c>
      <c r="F19" s="1141"/>
      <c r="G19" s="1140" t="s">
        <v>236</v>
      </c>
      <c r="H19" s="785"/>
      <c r="I19" s="1140" t="s">
        <v>236</v>
      </c>
      <c r="J19" s="785"/>
      <c r="K19" s="1189"/>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2112</v>
      </c>
      <c r="C20" s="789" t="str">
        <f>IF(B1="工业",估价对象房地状况!G7,估价对象房地状况!C9)</f>
        <v>区域自然环境：；人文环境；综合评价环境状况一般</v>
      </c>
      <c r="D20" s="791">
        <v>100</v>
      </c>
      <c r="E20" s="1137"/>
      <c r="F20" s="1138">
        <f>SUMIF(69:69,E21,70:70)-SUMIF(69:69,C21,70:70)+100</f>
        <v>100</v>
      </c>
      <c r="G20" s="1139"/>
      <c r="H20" s="787">
        <f>SUMIF(69:69,G21,70:70)-SUMIF(69:69,C21,70:70)+100</f>
        <v>100</v>
      </c>
      <c r="I20" s="790"/>
      <c r="J20" s="787">
        <f>SUMIF(69:69,I21,70:70)-SUMIF(69:69,C21,70:70)+100</f>
        <v>100</v>
      </c>
      <c r="K20" s="1187">
        <v>2</v>
      </c>
      <c r="L20" s="913"/>
      <c r="M20" s="897"/>
      <c r="N20" s="897"/>
      <c r="O20" s="897"/>
      <c r="P20" s="916"/>
      <c r="Q20" s="863" t="str">
        <f>B20</f>
        <v>自然及人文环境</v>
      </c>
      <c r="R20" s="964" t="s">
        <v>1391</v>
      </c>
      <c r="S20" s="965">
        <f>F20</f>
        <v>100</v>
      </c>
      <c r="T20" s="964" t="s">
        <v>1391</v>
      </c>
      <c r="U20" s="965">
        <f>H20</f>
        <v>100</v>
      </c>
      <c r="V20" s="964" t="s">
        <v>1391</v>
      </c>
      <c r="W20" s="965">
        <f>J20</f>
        <v>100</v>
      </c>
      <c r="X20" s="951"/>
      <c r="Y20" s="916"/>
      <c r="Z20" s="937" t="str">
        <f>Q20</f>
        <v>自然及人文环境</v>
      </c>
      <c r="AA20" s="980">
        <f t="shared" si="3"/>
        <v>1</v>
      </c>
      <c r="AB20" s="980">
        <f t="shared" si="4"/>
        <v>1</v>
      </c>
      <c r="AC20" s="980">
        <f t="shared" si="5"/>
        <v>1</v>
      </c>
    </row>
    <row r="21" ht="15.5" spans="1:29">
      <c r="A21" s="736"/>
      <c r="B21" s="792"/>
      <c r="C21" s="784" t="s">
        <v>1292</v>
      </c>
      <c r="D21" s="785"/>
      <c r="E21" s="784" t="s">
        <v>1292</v>
      </c>
      <c r="F21" s="1136"/>
      <c r="G21" s="784" t="s">
        <v>1292</v>
      </c>
      <c r="H21" s="785"/>
      <c r="I21" s="784" t="s">
        <v>1292</v>
      </c>
      <c r="J21" s="785"/>
      <c r="K21" s="1188"/>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2163</v>
      </c>
      <c r="C22" s="798"/>
      <c r="D22" s="787">
        <v>100</v>
      </c>
      <c r="E22" s="798"/>
      <c r="F22" s="1142">
        <f>SUMIF(71:71,E22,72:72)-SUMIF(71:71,C22,72:72)+100</f>
        <v>100</v>
      </c>
      <c r="G22" s="798"/>
      <c r="H22" s="773">
        <f>SUMIF(71:71,G22,72:72)-SUMIF(71:71,C22,72:72)+100</f>
        <v>100</v>
      </c>
      <c r="I22" s="798"/>
      <c r="J22" s="773">
        <f>SUMIF(71:71,I22,72:72)-SUMIF(71:71,C22,72:72)+100</f>
        <v>100</v>
      </c>
      <c r="K22" s="921">
        <v>2</v>
      </c>
      <c r="L22" s="913"/>
      <c r="M22" s="897"/>
      <c r="N22" s="897"/>
      <c r="O22" s="897"/>
      <c r="P22" s="916"/>
      <c r="Q22" s="863" t="str">
        <f>B22</f>
        <v>楼层</v>
      </c>
      <c r="R22" s="964" t="s">
        <v>1391</v>
      </c>
      <c r="S22" s="965">
        <f>F22</f>
        <v>100</v>
      </c>
      <c r="T22" s="964" t="s">
        <v>1391</v>
      </c>
      <c r="U22" s="965">
        <f>H22</f>
        <v>100</v>
      </c>
      <c r="V22" s="964" t="s">
        <v>1391</v>
      </c>
      <c r="W22" s="965">
        <f>J22</f>
        <v>100</v>
      </c>
      <c r="X22" s="951"/>
      <c r="Y22" s="916"/>
      <c r="Z22" s="937" t="str">
        <f>Q22</f>
        <v>楼层</v>
      </c>
      <c r="AA22" s="980">
        <f t="shared" si="3"/>
        <v>1</v>
      </c>
      <c r="AB22" s="980">
        <f t="shared" si="4"/>
        <v>1</v>
      </c>
      <c r="AC22" s="980">
        <f t="shared" si="5"/>
        <v>1</v>
      </c>
    </row>
    <row r="23" ht="15.5" spans="1:29">
      <c r="A23" s="736"/>
      <c r="B23" s="1143">
        <v>111</v>
      </c>
      <c r="C23" s="762"/>
      <c r="D23" s="773">
        <v>100</v>
      </c>
      <c r="E23" s="762"/>
      <c r="F23" s="1142">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1391</v>
      </c>
      <c r="S23" s="965">
        <f>F23</f>
        <v>100</v>
      </c>
      <c r="T23" s="964" t="s">
        <v>1391</v>
      </c>
      <c r="U23" s="965">
        <f>H23</f>
        <v>100</v>
      </c>
      <c r="V23" s="964" t="s">
        <v>1391</v>
      </c>
      <c r="W23" s="965">
        <f>J23</f>
        <v>100</v>
      </c>
      <c r="X23" s="951"/>
      <c r="Y23" s="916"/>
      <c r="Z23" s="937">
        <f>Q23</f>
        <v>111</v>
      </c>
      <c r="AA23" s="980">
        <f t="shared" si="3"/>
        <v>1</v>
      </c>
      <c r="AB23" s="980">
        <f t="shared" si="4"/>
        <v>1</v>
      </c>
      <c r="AC23" s="980">
        <f t="shared" si="5"/>
        <v>1</v>
      </c>
    </row>
    <row r="24" ht="15.5" spans="1:29">
      <c r="A24" s="736"/>
      <c r="B24" s="1143">
        <v>111</v>
      </c>
      <c r="C24" s="762"/>
      <c r="D24" s="773">
        <v>100</v>
      </c>
      <c r="E24" s="762"/>
      <c r="F24" s="1142">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1391</v>
      </c>
      <c r="S24" s="965">
        <f>F24</f>
        <v>100</v>
      </c>
      <c r="T24" s="964" t="s">
        <v>1391</v>
      </c>
      <c r="U24" s="965">
        <f>H24</f>
        <v>100</v>
      </c>
      <c r="V24" s="964" t="s">
        <v>1391</v>
      </c>
      <c r="W24" s="965">
        <f>J24</f>
        <v>100</v>
      </c>
      <c r="X24" s="951"/>
      <c r="Y24" s="916"/>
      <c r="Z24" s="937">
        <f>Q24</f>
        <v>111</v>
      </c>
      <c r="AA24" s="980">
        <f t="shared" si="3"/>
        <v>1</v>
      </c>
      <c r="AB24" s="980">
        <f t="shared" si="4"/>
        <v>1</v>
      </c>
      <c r="AC24" s="980">
        <f t="shared" si="5"/>
        <v>1</v>
      </c>
    </row>
    <row r="25" s="711" customFormat="1" ht="16.25" spans="1:29">
      <c r="A25" s="794"/>
      <c r="B25" s="1144">
        <v>111</v>
      </c>
      <c r="C25" s="776"/>
      <c r="D25" s="1145">
        <v>100</v>
      </c>
      <c r="E25" s="1146"/>
      <c r="F25" s="1147">
        <f>SUMIF(77:77,E25,78:78)-SUMIF(77:77,C25,78:78)+100</f>
        <v>100</v>
      </c>
      <c r="G25" s="1146"/>
      <c r="H25" s="1145">
        <f>SUMIF(77:77,G25,78:78)-SUMIF(77:77,C25,78:78)+100</f>
        <v>100</v>
      </c>
      <c r="I25" s="1146"/>
      <c r="J25" s="1145">
        <f>SUMIF(77:77,I25,78:78)-SUMIF(77:77,C25,78:78)+100</f>
        <v>100</v>
      </c>
      <c r="K25" s="920"/>
      <c r="L25" s="902"/>
      <c r="M25" s="903"/>
      <c r="N25" s="903"/>
      <c r="O25" s="903"/>
      <c r="P25" s="916"/>
      <c r="Q25" s="963">
        <f t="shared" si="11"/>
        <v>111</v>
      </c>
      <c r="R25" s="959" t="s">
        <v>1391</v>
      </c>
      <c r="S25" s="960">
        <f>F25</f>
        <v>100</v>
      </c>
      <c r="T25" s="959" t="s">
        <v>1391</v>
      </c>
      <c r="U25" s="960">
        <f>H25</f>
        <v>100</v>
      </c>
      <c r="V25" s="959" t="s">
        <v>1391</v>
      </c>
      <c r="W25" s="960">
        <f>J25</f>
        <v>100</v>
      </c>
      <c r="X25" s="961"/>
      <c r="Y25" s="916"/>
      <c r="Z25" s="979">
        <f>Q25</f>
        <v>111</v>
      </c>
      <c r="AA25" s="980">
        <f t="shared" si="3"/>
        <v>1</v>
      </c>
      <c r="AB25" s="980">
        <f t="shared" si="4"/>
        <v>1</v>
      </c>
      <c r="AC25" s="980">
        <f t="shared" si="5"/>
        <v>1</v>
      </c>
    </row>
    <row r="26" ht="15.5" spans="1:29">
      <c r="A26" s="1148" t="s">
        <v>1417</v>
      </c>
      <c r="B26" s="1149" t="s">
        <v>2193</v>
      </c>
      <c r="C26" s="1150" t="str">
        <f>B1</f>
        <v>住宅</v>
      </c>
      <c r="D26" s="785">
        <v>100</v>
      </c>
      <c r="E26" s="784" t="s">
        <v>412</v>
      </c>
      <c r="F26" s="1136">
        <f>SUMIF(79:79,E26,80:80)-SUMIF(79:79,C26,80:80)+100</f>
        <v>100</v>
      </c>
      <c r="G26" s="784" t="s">
        <v>412</v>
      </c>
      <c r="H26" s="785">
        <f>SUMIF(79:79,G26,80:80)-SUMIF(79:79,C26,80:80)+100</f>
        <v>100</v>
      </c>
      <c r="I26" s="784" t="s">
        <v>412</v>
      </c>
      <c r="J26" s="785">
        <f>SUMIF(79:79,I26,80:80)-SUMIF(79:79,C26,80:80)+100</f>
        <v>100</v>
      </c>
      <c r="K26" s="921">
        <v>2</v>
      </c>
      <c r="L26" s="913"/>
      <c r="M26" s="897"/>
      <c r="N26" s="897"/>
      <c r="O26" s="897"/>
      <c r="P26" s="922" t="s">
        <v>1416</v>
      </c>
      <c r="Q26" s="863" t="str">
        <f t="shared" si="11"/>
        <v>配套类型</v>
      </c>
      <c r="R26" s="964" t="s">
        <v>1391</v>
      </c>
      <c r="S26" s="965">
        <f t="shared" ref="S26:S36" si="12">F26</f>
        <v>100</v>
      </c>
      <c r="T26" s="964" t="s">
        <v>1391</v>
      </c>
      <c r="U26" s="965">
        <f t="shared" ref="U26:U36" si="13">H26</f>
        <v>100</v>
      </c>
      <c r="V26" s="964" t="s">
        <v>1391</v>
      </c>
      <c r="W26" s="965">
        <f t="shared" ref="W26:W36" si="14">J26</f>
        <v>100</v>
      </c>
      <c r="X26" s="951"/>
      <c r="Y26" s="925" t="s">
        <v>1416</v>
      </c>
      <c r="Z26" s="937" t="str">
        <f t="shared" ref="Z26:Z36" si="15">Q26</f>
        <v>配套类型</v>
      </c>
      <c r="AA26" s="980">
        <f t="shared" si="3"/>
        <v>1</v>
      </c>
      <c r="AB26" s="980">
        <f t="shared" si="4"/>
        <v>1</v>
      </c>
      <c r="AC26" s="980">
        <f t="shared" si="5"/>
        <v>1</v>
      </c>
    </row>
    <row r="27" s="713" customFormat="1" ht="15.5" spans="1:29">
      <c r="A27" s="1151"/>
      <c r="B27" s="801" t="s">
        <v>2194</v>
      </c>
      <c r="C27" s="1152" t="s">
        <v>2195</v>
      </c>
      <c r="D27" s="763">
        <v>100</v>
      </c>
      <c r="E27" s="1153" t="s">
        <v>2196</v>
      </c>
      <c r="F27" s="1142">
        <f>SUMIF(81:81,E27,82:82)-SUMIF(81:81,C27,82:82)+100</f>
        <v>100</v>
      </c>
      <c r="G27" s="1152" t="s">
        <v>2197</v>
      </c>
      <c r="H27" s="773">
        <f>SUMIF(81:81,G27,82:82)-SUMIF(81:81,C27,82:82)+100</f>
        <v>100</v>
      </c>
      <c r="I27" s="1152" t="s">
        <v>2196</v>
      </c>
      <c r="J27" s="773">
        <f>SUMIF(81:81,I27,82:82)-SUMIF(81:81,C27,82:82)+100</f>
        <v>100</v>
      </c>
      <c r="K27" s="920"/>
      <c r="L27" s="911"/>
      <c r="M27" s="923"/>
      <c r="N27" s="923"/>
      <c r="O27" s="923"/>
      <c r="P27" s="925"/>
      <c r="Q27" s="1205" t="str">
        <f t="shared" si="11"/>
        <v>项目停车位配比</v>
      </c>
      <c r="R27" s="966" t="s">
        <v>1391</v>
      </c>
      <c r="S27" s="967">
        <f t="shared" si="12"/>
        <v>100</v>
      </c>
      <c r="T27" s="966" t="s">
        <v>1391</v>
      </c>
      <c r="U27" s="967">
        <f t="shared" si="13"/>
        <v>100</v>
      </c>
      <c r="V27" s="966" t="s">
        <v>1391</v>
      </c>
      <c r="W27" s="967">
        <f t="shared" si="14"/>
        <v>100</v>
      </c>
      <c r="X27" s="968"/>
      <c r="Y27" s="925"/>
      <c r="Z27" s="981" t="str">
        <f t="shared" si="15"/>
        <v>项目停车位配比</v>
      </c>
      <c r="AA27" s="980">
        <f t="shared" si="3"/>
        <v>1</v>
      </c>
      <c r="AB27" s="980">
        <f t="shared" si="4"/>
        <v>1</v>
      </c>
      <c r="AC27" s="980">
        <f t="shared" si="5"/>
        <v>1</v>
      </c>
    </row>
    <row r="28" ht="15.5" spans="1:29">
      <c r="A28" s="1154"/>
      <c r="B28" s="801" t="s">
        <v>2123</v>
      </c>
      <c r="C28" s="1155"/>
      <c r="D28" s="773">
        <v>100</v>
      </c>
      <c r="E28" s="1155"/>
      <c r="F28" s="1142">
        <f>SUMIF(83:83,E28,84:84)-SUMIF(83:83,C28,84:84)+100</f>
        <v>100</v>
      </c>
      <c r="G28" s="1155"/>
      <c r="H28" s="773">
        <f>SUMIF(83:83,G28,84:84)-SUMIF(83:83,C28,84:84)+100</f>
        <v>100</v>
      </c>
      <c r="I28" s="1155"/>
      <c r="J28" s="773">
        <f>SUMIF(83:83,I28,84:84)-SUMIF(83:83,C28,84:84)+100</f>
        <v>100</v>
      </c>
      <c r="K28" s="921">
        <v>2</v>
      </c>
      <c r="L28" s="913"/>
      <c r="M28" s="897"/>
      <c r="N28" s="897"/>
      <c r="O28" s="897"/>
      <c r="P28" s="925"/>
      <c r="Q28" s="863" t="str">
        <f t="shared" si="11"/>
        <v>公共部分装修</v>
      </c>
      <c r="R28" s="964" t="s">
        <v>1391</v>
      </c>
      <c r="S28" s="965">
        <f t="shared" si="12"/>
        <v>100</v>
      </c>
      <c r="T28" s="964" t="s">
        <v>1391</v>
      </c>
      <c r="U28" s="965">
        <f t="shared" si="13"/>
        <v>100</v>
      </c>
      <c r="V28" s="964" t="s">
        <v>1391</v>
      </c>
      <c r="W28" s="965">
        <f t="shared" si="14"/>
        <v>100</v>
      </c>
      <c r="X28" s="951"/>
      <c r="Y28" s="925"/>
      <c r="Z28" s="937" t="str">
        <f t="shared" si="15"/>
        <v>公共部分装修</v>
      </c>
      <c r="AA28" s="980">
        <f t="shared" si="3"/>
        <v>1</v>
      </c>
      <c r="AB28" s="980">
        <f t="shared" si="4"/>
        <v>1</v>
      </c>
      <c r="AC28" s="980">
        <f t="shared" si="5"/>
        <v>1</v>
      </c>
    </row>
    <row r="29" ht="15.5" spans="1:29">
      <c r="A29" s="1154"/>
      <c r="B29" s="801" t="s">
        <v>2185</v>
      </c>
      <c r="C29" s="1156">
        <v>1</v>
      </c>
      <c r="D29" s="773">
        <v>100</v>
      </c>
      <c r="E29" s="1156">
        <v>1</v>
      </c>
      <c r="F29" s="1142">
        <f>LOOKUP(E29,86:86,87:87)-LOOKUP(C29,86:86,87:87)+100</f>
        <v>100</v>
      </c>
      <c r="G29" s="1156">
        <v>1</v>
      </c>
      <c r="H29" s="1142">
        <f>LOOKUP(G29,86:86,87:87)-LOOKUP(C29,86:86,87:87)+100</f>
        <v>100</v>
      </c>
      <c r="I29" s="1156">
        <v>1</v>
      </c>
      <c r="J29" s="773">
        <f>LOOKUP(I29,86:86,87:87)-LOOKUP(C29,86:86,87:87)+100</f>
        <v>100</v>
      </c>
      <c r="K29" s="921">
        <v>2</v>
      </c>
      <c r="L29" s="913"/>
      <c r="M29" s="897"/>
      <c r="N29" s="897"/>
      <c r="O29" s="897"/>
      <c r="P29" s="925"/>
      <c r="Q29" s="863" t="str">
        <f t="shared" si="11"/>
        <v>成新率</v>
      </c>
      <c r="R29" s="964" t="s">
        <v>1391</v>
      </c>
      <c r="S29" s="965">
        <f t="shared" si="12"/>
        <v>100</v>
      </c>
      <c r="T29" s="964" t="s">
        <v>1391</v>
      </c>
      <c r="U29" s="965">
        <f t="shared" si="13"/>
        <v>100</v>
      </c>
      <c r="V29" s="964" t="s">
        <v>1391</v>
      </c>
      <c r="W29" s="965">
        <f t="shared" si="14"/>
        <v>100</v>
      </c>
      <c r="X29" s="951"/>
      <c r="Y29" s="925"/>
      <c r="Z29" s="937" t="str">
        <f t="shared" si="15"/>
        <v>成新率</v>
      </c>
      <c r="AA29" s="980">
        <f t="shared" si="3"/>
        <v>1</v>
      </c>
      <c r="AB29" s="980">
        <f t="shared" si="4"/>
        <v>1</v>
      </c>
      <c r="AC29" s="980">
        <f t="shared" si="5"/>
        <v>1</v>
      </c>
    </row>
    <row r="30" ht="15.5" spans="1:29">
      <c r="A30" s="1154"/>
      <c r="B30" s="801" t="s">
        <v>2186</v>
      </c>
      <c r="C30" s="1157"/>
      <c r="D30" s="773">
        <v>100</v>
      </c>
      <c r="E30" s="1157"/>
      <c r="F30" s="1142">
        <f>SUMIF(88:88,E30,89:89)-SUMIF(88:88,C30,89:89)+100</f>
        <v>100</v>
      </c>
      <c r="G30" s="1157"/>
      <c r="H30" s="773">
        <f>SUMIF(88:88,E30,89:89)-SUMIF(88:88,C30,89:89)+100</f>
        <v>100</v>
      </c>
      <c r="I30" s="1157"/>
      <c r="J30" s="773">
        <f>SUMIF(88:88,E30,89:89)-SUMIF(88:88,C30,89:89)+100</f>
        <v>100</v>
      </c>
      <c r="K30" s="921"/>
      <c r="L30" s="913"/>
      <c r="M30" s="897"/>
      <c r="N30" s="897"/>
      <c r="O30" s="897"/>
      <c r="P30" s="925"/>
      <c r="Q30" s="863" t="str">
        <f t="shared" si="11"/>
        <v>物业等级</v>
      </c>
      <c r="R30" s="964" t="s">
        <v>1391</v>
      </c>
      <c r="S30" s="965">
        <f t="shared" si="12"/>
        <v>100</v>
      </c>
      <c r="T30" s="964" t="s">
        <v>1391</v>
      </c>
      <c r="U30" s="965">
        <f t="shared" si="13"/>
        <v>100</v>
      </c>
      <c r="V30" s="964" t="s">
        <v>1391</v>
      </c>
      <c r="W30" s="965">
        <f t="shared" si="14"/>
        <v>100</v>
      </c>
      <c r="X30" s="951"/>
      <c r="Y30" s="925"/>
      <c r="Z30" s="937" t="str">
        <f t="shared" si="15"/>
        <v>物业等级</v>
      </c>
      <c r="AA30" s="980">
        <f t="shared" si="3"/>
        <v>1</v>
      </c>
      <c r="AB30" s="980">
        <f t="shared" si="4"/>
        <v>1</v>
      </c>
      <c r="AC30" s="980">
        <f t="shared" si="5"/>
        <v>1</v>
      </c>
    </row>
    <row r="31" s="711" customFormat="1" ht="15.5" spans="1:29">
      <c r="A31" s="1158"/>
      <c r="B31" s="801" t="s">
        <v>2198</v>
      </c>
      <c r="C31" s="1159"/>
      <c r="D31" s="763">
        <v>100</v>
      </c>
      <c r="E31" s="1159"/>
      <c r="F31" s="1142">
        <f>LOOKUP(E31,91:91,92:92)-LOOKUP(C31,91:91,92:92)+100</f>
        <v>100</v>
      </c>
      <c r="G31" s="1159"/>
      <c r="H31" s="773">
        <f>LOOKUP(G31,91:91,92:92)-LOOKUP(C31,91:91,92:92)+100</f>
        <v>100</v>
      </c>
      <c r="I31" s="1159"/>
      <c r="J31" s="773">
        <f>LOOKUP(I31,91:91,92:92)-LOOKUP(C31,91:91,92:92)+100</f>
        <v>100</v>
      </c>
      <c r="K31" s="921"/>
      <c r="L31" s="902"/>
      <c r="M31" s="903"/>
      <c r="N31" s="903"/>
      <c r="O31" s="903"/>
      <c r="P31" s="925"/>
      <c r="Q31" s="963" t="str">
        <f t="shared" si="11"/>
        <v>停车位面积</v>
      </c>
      <c r="R31" s="959" t="s">
        <v>1391</v>
      </c>
      <c r="S31" s="960">
        <f t="shared" si="12"/>
        <v>100</v>
      </c>
      <c r="T31" s="959" t="s">
        <v>1391</v>
      </c>
      <c r="U31" s="960">
        <f t="shared" si="13"/>
        <v>100</v>
      </c>
      <c r="V31" s="959" t="s">
        <v>1391</v>
      </c>
      <c r="W31" s="960">
        <f t="shared" si="14"/>
        <v>100</v>
      </c>
      <c r="X31" s="961"/>
      <c r="Y31" s="925"/>
      <c r="Z31" s="979" t="str">
        <f t="shared" si="15"/>
        <v>停车位面积</v>
      </c>
      <c r="AA31" s="978">
        <f t="shared" si="3"/>
        <v>1</v>
      </c>
      <c r="AB31" s="978">
        <f t="shared" si="4"/>
        <v>1</v>
      </c>
      <c r="AC31" s="978">
        <f t="shared" si="5"/>
        <v>1</v>
      </c>
    </row>
    <row r="32" ht="15.5" spans="1:29">
      <c r="A32" s="1154"/>
      <c r="B32" s="801" t="s">
        <v>2199</v>
      </c>
      <c r="C32" s="1155" t="s">
        <v>2200</v>
      </c>
      <c r="D32" s="773">
        <v>100</v>
      </c>
      <c r="E32" s="1155" t="s">
        <v>2200</v>
      </c>
      <c r="F32" s="1142">
        <f>SUMIF(93:93,E32,94:94)-SUMIF(93:93,C32,94:94)+100</f>
        <v>100</v>
      </c>
      <c r="G32" s="1155" t="s">
        <v>2200</v>
      </c>
      <c r="H32" s="773">
        <f>SUMIF(93:93,G32,94:94)-SUMIF(93:93,C32,94:94)+100</f>
        <v>100</v>
      </c>
      <c r="I32" s="1155" t="s">
        <v>2200</v>
      </c>
      <c r="J32" s="773">
        <f>SUMIF(93:93,I32,94:94)-SUMIF(93:93,C32,94:94)+100</f>
        <v>100</v>
      </c>
      <c r="K32" s="921">
        <v>2</v>
      </c>
      <c r="L32" s="913"/>
      <c r="M32" s="897"/>
      <c r="N32" s="897"/>
      <c r="O32" s="897"/>
      <c r="P32" s="925" t="s">
        <v>1416</v>
      </c>
      <c r="Q32" s="863" t="str">
        <f t="shared" si="11"/>
        <v>车位类型</v>
      </c>
      <c r="R32" s="964" t="s">
        <v>1391</v>
      </c>
      <c r="S32" s="965">
        <f t="shared" si="12"/>
        <v>100</v>
      </c>
      <c r="T32" s="964" t="s">
        <v>1391</v>
      </c>
      <c r="U32" s="965">
        <f t="shared" si="13"/>
        <v>100</v>
      </c>
      <c r="V32" s="964" t="s">
        <v>1391</v>
      </c>
      <c r="W32" s="965">
        <f t="shared" si="14"/>
        <v>100</v>
      </c>
      <c r="X32" s="951"/>
      <c r="Y32" s="925" t="s">
        <v>1416</v>
      </c>
      <c r="Z32" s="937" t="str">
        <f t="shared" si="15"/>
        <v>车位类型</v>
      </c>
      <c r="AA32" s="980">
        <f t="shared" si="3"/>
        <v>1</v>
      </c>
      <c r="AB32" s="980">
        <f t="shared" si="4"/>
        <v>1</v>
      </c>
      <c r="AC32" s="980">
        <f t="shared" si="5"/>
        <v>1</v>
      </c>
    </row>
    <row r="33" ht="15.5" spans="1:29">
      <c r="A33" s="1154"/>
      <c r="B33" s="801" t="s">
        <v>2201</v>
      </c>
      <c r="C33" s="1155" t="s">
        <v>1624</v>
      </c>
      <c r="D33" s="773">
        <v>100</v>
      </c>
      <c r="E33" s="1155" t="s">
        <v>1624</v>
      </c>
      <c r="F33" s="1142">
        <f>SUMIF(95:95,E33,96:96)-SUMIF(95:95,C33,96:96)+100</f>
        <v>100</v>
      </c>
      <c r="G33" s="1155" t="s">
        <v>1624</v>
      </c>
      <c r="H33" s="773">
        <f>SUMIF(95:95,G33,96:96)-SUMIF(95:95,C33,96:96)+100</f>
        <v>100</v>
      </c>
      <c r="I33" s="1155" t="s">
        <v>1624</v>
      </c>
      <c r="J33" s="773">
        <f>SUMIF(95:95,I33,96:96)-SUMIF(95:95,C33,96:96)+100</f>
        <v>100</v>
      </c>
      <c r="K33" s="921">
        <v>2</v>
      </c>
      <c r="L33" s="913"/>
      <c r="M33" s="897"/>
      <c r="N33" s="897"/>
      <c r="O33" s="897"/>
      <c r="P33" s="925"/>
      <c r="Q33" s="863" t="str">
        <f t="shared" si="11"/>
        <v>是否直接入户</v>
      </c>
      <c r="R33" s="964" t="s">
        <v>1391</v>
      </c>
      <c r="S33" s="965">
        <f t="shared" si="12"/>
        <v>100</v>
      </c>
      <c r="T33" s="964" t="s">
        <v>1391</v>
      </c>
      <c r="U33" s="965">
        <f t="shared" si="13"/>
        <v>100</v>
      </c>
      <c r="V33" s="964" t="s">
        <v>1391</v>
      </c>
      <c r="W33" s="965">
        <f t="shared" si="14"/>
        <v>100</v>
      </c>
      <c r="X33" s="951"/>
      <c r="Y33" s="925"/>
      <c r="Z33" s="937" t="str">
        <f t="shared" si="15"/>
        <v>是否直接入户</v>
      </c>
      <c r="AA33" s="980">
        <f t="shared" si="3"/>
        <v>1</v>
      </c>
      <c r="AB33" s="980">
        <f t="shared" si="4"/>
        <v>1</v>
      </c>
      <c r="AC33" s="980">
        <f t="shared" si="5"/>
        <v>1</v>
      </c>
    </row>
    <row r="34" ht="15.5" spans="1:29">
      <c r="A34" s="1154"/>
      <c r="B34" s="1143">
        <v>111</v>
      </c>
      <c r="C34" s="762"/>
      <c r="D34" s="773">
        <v>100</v>
      </c>
      <c r="E34" s="762"/>
      <c r="F34" s="1142">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1391</v>
      </c>
      <c r="S34" s="965">
        <f t="shared" si="12"/>
        <v>100</v>
      </c>
      <c r="T34" s="964" t="s">
        <v>1391</v>
      </c>
      <c r="U34" s="965">
        <f t="shared" si="13"/>
        <v>100</v>
      </c>
      <c r="V34" s="964" t="s">
        <v>1391</v>
      </c>
      <c r="W34" s="965">
        <f t="shared" si="14"/>
        <v>100</v>
      </c>
      <c r="X34" s="951"/>
      <c r="Y34" s="925"/>
      <c r="Z34" s="937">
        <f t="shared" si="15"/>
        <v>111</v>
      </c>
      <c r="AA34" s="980">
        <f t="shared" si="3"/>
        <v>1</v>
      </c>
      <c r="AB34" s="980">
        <f t="shared" si="4"/>
        <v>1</v>
      </c>
      <c r="AC34" s="980">
        <f t="shared" si="5"/>
        <v>1</v>
      </c>
    </row>
    <row r="35" s="713" customFormat="1" ht="15.5" spans="1:29">
      <c r="A35" s="1151"/>
      <c r="B35" s="1143">
        <v>111</v>
      </c>
      <c r="C35" s="762"/>
      <c r="D35" s="773">
        <v>100</v>
      </c>
      <c r="E35" s="762"/>
      <c r="F35" s="1142">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5">
        <f t="shared" si="11"/>
        <v>111</v>
      </c>
      <c r="R35" s="966" t="s">
        <v>1391</v>
      </c>
      <c r="S35" s="967">
        <f t="shared" si="12"/>
        <v>100</v>
      </c>
      <c r="T35" s="966" t="s">
        <v>1391</v>
      </c>
      <c r="U35" s="967">
        <f t="shared" si="13"/>
        <v>100</v>
      </c>
      <c r="V35" s="966" t="s">
        <v>1391</v>
      </c>
      <c r="W35" s="967">
        <f t="shared" si="14"/>
        <v>100</v>
      </c>
      <c r="X35" s="968"/>
      <c r="Y35" s="925"/>
      <c r="Z35" s="981">
        <f t="shared" si="15"/>
        <v>111</v>
      </c>
      <c r="AA35" s="980">
        <f t="shared" si="3"/>
        <v>1</v>
      </c>
      <c r="AB35" s="980">
        <f t="shared" si="4"/>
        <v>1</v>
      </c>
      <c r="AC35" s="980">
        <f t="shared" si="5"/>
        <v>1</v>
      </c>
    </row>
    <row r="36" ht="16.25" spans="1:29">
      <c r="A36" s="1160"/>
      <c r="B36" s="1144">
        <v>111</v>
      </c>
      <c r="C36" s="772"/>
      <c r="D36" s="773">
        <v>100</v>
      </c>
      <c r="E36" s="762"/>
      <c r="F36" s="1142">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1391</v>
      </c>
      <c r="S36" s="965">
        <f t="shared" si="12"/>
        <v>100</v>
      </c>
      <c r="T36" s="964" t="s">
        <v>1391</v>
      </c>
      <c r="U36" s="965">
        <f t="shared" si="13"/>
        <v>100</v>
      </c>
      <c r="V36" s="964" t="s">
        <v>1391</v>
      </c>
      <c r="W36" s="965">
        <f t="shared" si="14"/>
        <v>100</v>
      </c>
      <c r="X36" s="951"/>
      <c r="Y36" s="925"/>
      <c r="Z36" s="937">
        <f t="shared" si="15"/>
        <v>111</v>
      </c>
      <c r="AA36" s="980">
        <f t="shared" si="3"/>
        <v>1</v>
      </c>
      <c r="AB36" s="980">
        <f t="shared" si="4"/>
        <v>1</v>
      </c>
      <c r="AC36" s="980">
        <f t="shared" si="5"/>
        <v>1</v>
      </c>
    </row>
    <row r="37" spans="1:29">
      <c r="A37" s="822" t="s">
        <v>1425</v>
      </c>
      <c r="B37" s="1161" t="s">
        <v>2202</v>
      </c>
      <c r="C37" s="1162" t="s">
        <v>124</v>
      </c>
      <c r="D37" s="1163"/>
      <c r="E37" s="1164" t="e">
        <f>#REF!</f>
        <v>#REF!</v>
      </c>
      <c r="F37" s="1165"/>
      <c r="G37" s="1166" t="e">
        <f>#REF!</f>
        <v>#REF!</v>
      </c>
      <c r="H37" s="1167"/>
      <c r="I37" s="1164" t="e">
        <f>#REF!</f>
        <v>#REF!</v>
      </c>
      <c r="J37" s="1167"/>
      <c r="K37" s="1190"/>
      <c r="L37" s="929"/>
      <c r="M37" s="839"/>
      <c r="N37" s="897"/>
      <c r="O37" s="839"/>
      <c r="P37" s="863" t="str">
        <f>A37</f>
        <v>成交单价</v>
      </c>
      <c r="Q37" s="863"/>
      <c r="R37" s="980" t="e">
        <f>E37</f>
        <v>#REF!</v>
      </c>
      <c r="S37" s="980"/>
      <c r="T37" s="980" t="e">
        <f>G37</f>
        <v>#REF!</v>
      </c>
      <c r="U37" s="980"/>
      <c r="V37" s="980" t="e">
        <f>I37</f>
        <v>#REF!</v>
      </c>
      <c r="W37" s="980"/>
      <c r="X37" s="885"/>
      <c r="Y37" s="982"/>
      <c r="Z37" s="885"/>
      <c r="AA37" s="885"/>
      <c r="AB37" s="885"/>
      <c r="AC37" s="885"/>
    </row>
    <row r="38" ht="14.75" spans="1:29">
      <c r="A38" s="830" t="s">
        <v>1427</v>
      </c>
      <c r="B38" s="1168" t="str">
        <f>B37</f>
        <v>元/车位</v>
      </c>
      <c r="C38" s="1169" t="e">
        <f>R39</f>
        <v>#REF!</v>
      </c>
      <c r="D38" s="833" t="s">
        <v>2189</v>
      </c>
      <c r="E38" s="1170" t="e">
        <f>R38</f>
        <v>#REF!</v>
      </c>
      <c r="F38" s="834">
        <v>0.8</v>
      </c>
      <c r="G38" s="1169" t="e">
        <f>T38</f>
        <v>#REF!</v>
      </c>
      <c r="H38" s="834">
        <v>0.1</v>
      </c>
      <c r="I38" s="1170" t="e">
        <f>V38</f>
        <v>#REF!</v>
      </c>
      <c r="J38" s="834">
        <v>0.1</v>
      </c>
      <c r="K38" s="930">
        <f>F38+H38+J38</f>
        <v>1</v>
      </c>
      <c r="L38" s="929"/>
      <c r="M38" s="839"/>
      <c r="N38" s="839"/>
      <c r="O38" s="839"/>
      <c r="P38" s="863" t="str">
        <f>A38</f>
        <v>比较价值（元/平方米）</v>
      </c>
      <c r="Q38" s="863"/>
      <c r="R38" s="980" t="e">
        <f>IF(F1="售价",ROUND(PRODUCT(R37,AA7:AA36),0),ROUND(PRODUCT(R37,AA7:AA36),1))</f>
        <v>#REF!</v>
      </c>
      <c r="S38" s="980"/>
      <c r="T38" s="980" t="e">
        <f>IF(F1="售价",ROUND(PRODUCT(T37,AB7:AB36),0),ROUND(PRODUCT(T37,AB7:AB36),1))</f>
        <v>#REF!</v>
      </c>
      <c r="U38" s="980"/>
      <c r="V38" s="980" t="e">
        <f>IF(F1="售价",ROUND(PRODUCT(V37,AC7:AC36),0),ROUND(PRODUCT(V37,AC7:AC36),1))</f>
        <v>#REF!</v>
      </c>
      <c r="W38" s="980"/>
      <c r="X38" s="885"/>
      <c r="Y38" s="885"/>
      <c r="Z38" s="885"/>
      <c r="AA38" s="885"/>
      <c r="AB38" s="885"/>
      <c r="AC38" s="885"/>
    </row>
    <row r="39" ht="14.75" spans="1:29">
      <c r="A39" s="836" t="s">
        <v>2203</v>
      </c>
      <c r="B39" s="837"/>
      <c r="C39" s="1171" t="e">
        <f>R39</f>
        <v>#REF!</v>
      </c>
      <c r="D39" s="1171"/>
      <c r="E39" s="1171"/>
      <c r="F39" s="1171"/>
      <c r="G39" s="1171"/>
      <c r="H39" s="1171"/>
      <c r="I39" s="1171"/>
      <c r="J39" s="1171"/>
      <c r="K39" s="1191"/>
      <c r="L39" s="929"/>
      <c r="M39" s="839"/>
      <c r="N39" s="839"/>
      <c r="O39" s="839"/>
      <c r="P39" s="932" t="str">
        <f>A39</f>
        <v>估价对象XX用房的比较价值（楼面单价，元/平方米）</v>
      </c>
      <c r="Q39" s="970"/>
      <c r="R39" s="1206" t="e">
        <f>IF(F1="售价",ROUND(IF(D38="简单平均",AVERAGE(R38:W38),R38*F38+T38*H38+V38*J38),0),ROUND(IF(D38="简单平均",AVERAGE(R38:V38),R38*F38+T38*H38+V38*J38),1))</f>
        <v>#REF!</v>
      </c>
      <c r="S39" s="1206"/>
      <c r="T39" s="1206"/>
      <c r="U39" s="1206"/>
      <c r="V39" s="1206"/>
      <c r="W39" s="1206"/>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192"/>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192"/>
      <c r="Q41" s="839"/>
      <c r="R41" s="839"/>
      <c r="S41" s="839"/>
      <c r="T41" s="839"/>
      <c r="U41" s="839"/>
      <c r="V41" s="839"/>
      <c r="W41" s="839"/>
      <c r="X41" s="839"/>
      <c r="Y41" s="839"/>
      <c r="Z41" s="839"/>
      <c r="AA41" s="839"/>
      <c r="AB41" s="839"/>
      <c r="AC41" s="839"/>
    </row>
    <row r="42" ht="13.5" customHeight="1" spans="1:29">
      <c r="A42" s="839"/>
      <c r="B42" s="839"/>
      <c r="C42" s="841" t="s">
        <v>1430</v>
      </c>
      <c r="D42" s="842"/>
      <c r="E42" s="843" t="e">
        <f>IF(E37&lt;E38,E38/E37-1,E37/E38-1)</f>
        <v>#REF!</v>
      </c>
      <c r="F42" s="844" t="e">
        <f>IF(OR(E42&gt;=0.3,E42&lt;=-0.3),"超过30%","")</f>
        <v>#REF!</v>
      </c>
      <c r="G42" s="843" t="e">
        <f>IF(G37&lt;G38,G38/G37-1,G37/G38-1)</f>
        <v>#REF!</v>
      </c>
      <c r="H42" s="844" t="e">
        <f>IF(OR(G42&gt;=0.3,G42&lt;=-0.3),"超过30%","")</f>
        <v>#REF!</v>
      </c>
      <c r="I42" s="843" t="e">
        <f>IF(I37&lt;I38,I38/I37-1,I37/I38-1)</f>
        <v>#REF!</v>
      </c>
      <c r="J42" s="844" t="e">
        <f>IF(OR(I42&gt;=0.3,I42&lt;=-0.3),"超过30%","")</f>
        <v>#REF!</v>
      </c>
      <c r="K42" s="933"/>
      <c r="L42" s="934"/>
      <c r="M42" s="839"/>
      <c r="N42" s="839"/>
      <c r="O42" s="839"/>
      <c r="P42" s="1192"/>
      <c r="Q42" s="839"/>
      <c r="R42" s="839"/>
      <c r="S42" s="839"/>
      <c r="T42" s="839"/>
      <c r="U42" s="839"/>
      <c r="V42" s="839"/>
      <c r="W42" s="839"/>
      <c r="X42" s="839"/>
      <c r="Y42" s="839"/>
      <c r="Z42" s="839"/>
      <c r="AA42" s="839"/>
      <c r="AB42" s="839"/>
      <c r="AC42" s="839"/>
    </row>
    <row r="43" ht="13.5" customHeight="1" spans="1:29">
      <c r="A43" s="839"/>
      <c r="B43" s="839"/>
      <c r="C43" s="841" t="s">
        <v>1431</v>
      </c>
      <c r="D43" s="845"/>
      <c r="E43" s="843" t="e">
        <f>IF(E38&lt;G38,G38/E38-1,E38/G38-1)</f>
        <v>#REF!</v>
      </c>
      <c r="F43" s="844" t="e">
        <f>IF(OR(E43&gt;=0.2,E43&lt;=-0.2),"超过20%","")</f>
        <v>#REF!</v>
      </c>
      <c r="G43" s="843" t="e">
        <f>IF(G38&lt;I38,I38/G38-1,G38/I38-1)</f>
        <v>#REF!</v>
      </c>
      <c r="H43" s="844" t="e">
        <f>IF(OR(G43&gt;=0.2,G43&lt;=-0.2),"超过20%","")</f>
        <v>#REF!</v>
      </c>
      <c r="I43" s="843" t="e">
        <f>IF(I38&lt;E38,E38/I38-1,I38/E38-1)</f>
        <v>#REF!</v>
      </c>
      <c r="J43" s="844" t="e">
        <f>IF(OR(I43&gt;=0.2,I43&lt;=-0.2),"超过20%","")</f>
        <v>#REF!</v>
      </c>
      <c r="K43" s="933"/>
      <c r="L43" s="934"/>
      <c r="M43" s="839"/>
      <c r="N43" s="839"/>
      <c r="O43" s="839"/>
      <c r="P43" s="1192"/>
      <c r="Q43" s="839"/>
      <c r="R43" s="839"/>
      <c r="S43" s="839"/>
      <c r="T43" s="839"/>
      <c r="U43" s="839"/>
      <c r="V43" s="839"/>
      <c r="W43" s="839"/>
      <c r="X43" s="839"/>
      <c r="Y43" s="839"/>
      <c r="Z43" s="839"/>
      <c r="AA43" s="839"/>
      <c r="AB43" s="839"/>
      <c r="AC43" s="839"/>
    </row>
    <row r="44" s="714" customFormat="1" ht="13.5" customHeight="1" spans="1:29">
      <c r="A44" s="846"/>
      <c r="B44" s="846"/>
      <c r="C44" s="841" t="s">
        <v>1432</v>
      </c>
      <c r="D44" s="845"/>
      <c r="E44" s="843" t="e">
        <f>IF(E37&lt;G37,G37/E37-1,E37/G37-1)</f>
        <v>#REF!</v>
      </c>
      <c r="F44" s="844" t="e">
        <f>IF(OR(E44&gt;=0.3,E44&lt;=-0.3),"超过30%","")</f>
        <v>#REF!</v>
      </c>
      <c r="G44" s="843" t="e">
        <f>IF(G37&lt;I37,I37/G37-1,G37/I37-1)</f>
        <v>#REF!</v>
      </c>
      <c r="H44" s="844" t="e">
        <f>IF(OR(G44&gt;=0.3,G44&lt;=-0.3),"超过30%","")</f>
        <v>#REF!</v>
      </c>
      <c r="I44" s="843" t="e">
        <f>IF(I37&lt;E37,E37/I37-1,I37/E37-1)</f>
        <v>#REF!</v>
      </c>
      <c r="J44" s="844" t="e">
        <f>IF(OR(I44&gt;=0.3,I44&lt;=-0.3),"超过30%","")</f>
        <v>#REF!</v>
      </c>
      <c r="K44" s="935"/>
      <c r="L44" s="936"/>
      <c r="M44" s="846"/>
      <c r="N44" s="846"/>
      <c r="O44" s="846"/>
      <c r="P44" s="1193"/>
      <c r="Q44" s="846"/>
      <c r="R44" s="846"/>
      <c r="S44" s="846"/>
      <c r="T44" s="846"/>
      <c r="U44" s="846"/>
      <c r="V44" s="846"/>
      <c r="W44" s="846"/>
      <c r="X44" s="846"/>
      <c r="Y44" s="846"/>
      <c r="Z44" s="846"/>
      <c r="AA44" s="846"/>
      <c r="AB44" s="846"/>
      <c r="AC44" s="846"/>
    </row>
    <row r="45" s="714" customFormat="1" spans="1:29">
      <c r="A45" s="846"/>
      <c r="B45" s="847"/>
      <c r="C45" s="1172"/>
      <c r="D45" s="846"/>
      <c r="E45" s="846"/>
      <c r="F45" s="846"/>
      <c r="G45" s="846"/>
      <c r="H45" s="846"/>
      <c r="I45" s="846"/>
      <c r="J45" s="846"/>
      <c r="K45" s="935"/>
      <c r="L45" s="936"/>
      <c r="M45" s="846"/>
      <c r="N45" s="846"/>
      <c r="O45" s="846"/>
      <c r="P45" s="1193"/>
      <c r="Q45" s="846"/>
      <c r="R45" s="846"/>
      <c r="S45" s="846"/>
      <c r="T45" s="846"/>
      <c r="U45" s="846"/>
      <c r="V45" s="846"/>
      <c r="W45" s="846"/>
      <c r="X45" s="846"/>
      <c r="Y45" s="846"/>
      <c r="Z45" s="846"/>
      <c r="AA45" s="846"/>
      <c r="AB45" s="846"/>
      <c r="AC45" s="846"/>
    </row>
    <row r="46" spans="1:29">
      <c r="A46" s="839"/>
      <c r="B46" s="847"/>
      <c r="C46" s="1172"/>
      <c r="D46" s="839"/>
      <c r="E46" s="839"/>
      <c r="F46" s="839"/>
      <c r="G46" s="839"/>
      <c r="H46" s="839"/>
      <c r="I46" s="839"/>
      <c r="J46" s="839"/>
      <c r="K46" s="933"/>
      <c r="L46" s="934"/>
      <c r="M46" s="839"/>
      <c r="N46" s="839"/>
      <c r="O46" s="839"/>
      <c r="P46" s="1192"/>
      <c r="Q46" s="839"/>
      <c r="R46" s="839"/>
      <c r="S46" s="839"/>
      <c r="T46" s="839"/>
      <c r="U46" s="839"/>
      <c r="V46" s="839"/>
      <c r="W46" s="839"/>
      <c r="X46" s="839"/>
      <c r="Y46" s="839"/>
      <c r="Z46" s="839"/>
      <c r="AA46" s="839"/>
      <c r="AB46" s="839"/>
      <c r="AC46" s="839"/>
    </row>
    <row r="47" ht="21.75" spans="1:29">
      <c r="A47" s="1173" t="s">
        <v>1456</v>
      </c>
      <c r="B47" s="880"/>
      <c r="C47" s="946"/>
      <c r="D47" s="946"/>
      <c r="E47" s="946"/>
      <c r="F47" s="1174"/>
      <c r="G47" s="1174"/>
      <c r="H47" s="946"/>
      <c r="I47" s="946"/>
      <c r="J47" s="946"/>
      <c r="K47" s="1194"/>
      <c r="L47" s="1195"/>
      <c r="M47" s="946"/>
      <c r="N47" s="947"/>
      <c r="O47" s="947"/>
      <c r="P47" s="1196"/>
      <c r="Q47" s="972"/>
      <c r="R47" s="839"/>
      <c r="S47" s="839"/>
      <c r="T47" s="839"/>
      <c r="U47" s="839"/>
      <c r="V47" s="839"/>
      <c r="W47" s="839"/>
      <c r="X47" s="839"/>
      <c r="Y47" s="839"/>
      <c r="Z47" s="839"/>
      <c r="AA47" s="839"/>
      <c r="AB47" s="839"/>
      <c r="AC47" s="839"/>
    </row>
    <row r="48" s="716" customFormat="1" spans="1:29">
      <c r="A48" s="1175" t="s">
        <v>1389</v>
      </c>
      <c r="B48" s="1176"/>
      <c r="C48" s="1177" t="str">
        <f>YEAR(C7)&amp;"-"&amp;MONTH(C7)</f>
        <v>2024-12</v>
      </c>
      <c r="D48" s="1178">
        <f>EDATE(C48,-1)</f>
        <v>45597</v>
      </c>
      <c r="E48" s="1178">
        <f t="shared" ref="E48:O48" si="16">EDATE(D48,-1)</f>
        <v>45566</v>
      </c>
      <c r="F48" s="1178">
        <f t="shared" si="16"/>
        <v>45536</v>
      </c>
      <c r="G48" s="1178">
        <f t="shared" si="16"/>
        <v>45505</v>
      </c>
      <c r="H48" s="1178">
        <f t="shared" si="16"/>
        <v>45474</v>
      </c>
      <c r="I48" s="1178">
        <f t="shared" si="16"/>
        <v>45444</v>
      </c>
      <c r="J48" s="1178">
        <f t="shared" si="16"/>
        <v>45413</v>
      </c>
      <c r="K48" s="1178">
        <f t="shared" si="16"/>
        <v>45383</v>
      </c>
      <c r="L48" s="1178">
        <f t="shared" si="16"/>
        <v>45352</v>
      </c>
      <c r="M48" s="1178">
        <f t="shared" si="16"/>
        <v>45323</v>
      </c>
      <c r="N48" s="1178">
        <f t="shared" si="16"/>
        <v>45292</v>
      </c>
      <c r="O48" s="1178">
        <f t="shared" si="16"/>
        <v>45261</v>
      </c>
      <c r="P48" s="1197"/>
      <c r="Q48" s="1094"/>
      <c r="R48" s="1094"/>
      <c r="S48" s="1094"/>
      <c r="T48" s="1094"/>
      <c r="U48" s="1094"/>
      <c r="V48" s="1094"/>
      <c r="W48" s="1094"/>
      <c r="X48" s="1094"/>
      <c r="Y48" s="1094"/>
      <c r="Z48" s="1094"/>
      <c r="AA48" s="1094"/>
      <c r="AB48" s="1094"/>
      <c r="AC48" s="1094"/>
    </row>
    <row r="49" s="711" customFormat="1" spans="1:29">
      <c r="A49" s="1179"/>
      <c r="B49" s="995"/>
      <c r="C49" s="1180">
        <v>100</v>
      </c>
      <c r="D49" s="999"/>
      <c r="E49" s="999"/>
      <c r="F49" s="999"/>
      <c r="G49" s="999"/>
      <c r="H49" s="999"/>
      <c r="I49" s="999"/>
      <c r="J49" s="999"/>
      <c r="K49" s="999"/>
      <c r="L49" s="999"/>
      <c r="M49" s="1198"/>
      <c r="N49" s="999"/>
      <c r="O49" s="1198"/>
      <c r="P49" s="1199"/>
      <c r="Q49" s="1095"/>
      <c r="R49" s="1095"/>
      <c r="S49" s="1095"/>
      <c r="T49" s="1095"/>
      <c r="U49" s="1095"/>
      <c r="V49" s="1095"/>
      <c r="W49" s="1095"/>
      <c r="X49" s="1095"/>
      <c r="Y49" s="1095"/>
      <c r="Z49" s="1095"/>
      <c r="AA49" s="1095"/>
      <c r="AB49" s="1095"/>
      <c r="AC49" s="1095"/>
    </row>
    <row r="50" s="711" customFormat="1" ht="14.75" spans="1:29">
      <c r="A50" s="990" t="s">
        <v>1459</v>
      </c>
      <c r="B50" s="991"/>
      <c r="C50" s="992"/>
      <c r="D50" s="993"/>
      <c r="E50" s="993"/>
      <c r="F50" s="993"/>
      <c r="G50" s="993"/>
      <c r="H50" s="993"/>
      <c r="I50" s="993"/>
      <c r="J50" s="993"/>
      <c r="K50" s="993"/>
      <c r="L50" s="993"/>
      <c r="M50" s="1041"/>
      <c r="N50" s="993"/>
      <c r="O50" s="1041"/>
      <c r="P50" s="1199"/>
      <c r="Q50" s="972"/>
      <c r="R50" s="1095"/>
      <c r="S50" s="1095"/>
      <c r="T50" s="1095"/>
      <c r="U50" s="1095"/>
      <c r="V50" s="1095"/>
      <c r="W50" s="1095"/>
      <c r="X50" s="1095"/>
      <c r="Y50" s="1095"/>
      <c r="Z50" s="1095"/>
      <c r="AA50" s="1095"/>
      <c r="AB50" s="1095"/>
      <c r="AC50" s="1095"/>
    </row>
    <row r="51" s="711" customFormat="1" spans="1:29">
      <c r="A51" s="994" t="s">
        <v>1392</v>
      </c>
      <c r="B51" s="995"/>
      <c r="C51" s="996" t="s">
        <v>1393</v>
      </c>
      <c r="D51" s="997"/>
      <c r="E51" s="997"/>
      <c r="F51" s="997"/>
      <c r="G51" s="997"/>
      <c r="H51" s="997"/>
      <c r="I51" s="997"/>
      <c r="J51" s="997"/>
      <c r="K51" s="997"/>
      <c r="L51" s="1043"/>
      <c r="M51" s="1044"/>
      <c r="N51" s="1045"/>
      <c r="O51" s="1045"/>
      <c r="P51" s="1200"/>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199"/>
      <c r="Q52" s="972"/>
      <c r="R52" s="1095"/>
      <c r="S52" s="1095"/>
      <c r="T52" s="1095"/>
      <c r="U52" s="1095"/>
      <c r="V52" s="1095"/>
      <c r="W52" s="1095"/>
      <c r="X52" s="1095"/>
      <c r="Y52" s="1095"/>
      <c r="Z52" s="1095"/>
      <c r="AA52" s="1095"/>
      <c r="AB52" s="1095"/>
      <c r="AC52" s="1095"/>
    </row>
    <row r="53" spans="1:29">
      <c r="A53" s="1000" t="s">
        <v>1460</v>
      </c>
      <c r="B53" s="1001" t="s">
        <v>1397</v>
      </c>
      <c r="C53" s="1023" t="str">
        <f>C9</f>
        <v>车库</v>
      </c>
      <c r="D53" s="926"/>
      <c r="E53" s="926"/>
      <c r="F53" s="926"/>
      <c r="G53" s="926"/>
      <c r="H53" s="926"/>
      <c r="I53" s="926"/>
      <c r="J53" s="926"/>
      <c r="K53" s="1048"/>
      <c r="L53" s="1049"/>
      <c r="M53" s="1050"/>
      <c r="N53" s="1051"/>
      <c r="O53" s="1051"/>
      <c r="P53" s="1201"/>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01"/>
      <c r="Q54" s="972"/>
      <c r="R54" s="839"/>
      <c r="S54" s="839"/>
      <c r="T54" s="839"/>
      <c r="U54" s="839"/>
      <c r="V54" s="839"/>
      <c r="W54" s="839"/>
      <c r="X54" s="839"/>
      <c r="Y54" s="839"/>
      <c r="Z54" s="839"/>
      <c r="AA54" s="839"/>
      <c r="AB54" s="839"/>
      <c r="AC54" s="839"/>
    </row>
    <row r="55" ht="28.75" spans="1:29">
      <c r="A55" s="1002"/>
      <c r="B55" s="1005" t="s">
        <v>1400</v>
      </c>
      <c r="C55" s="1030"/>
      <c r="D55" s="1030"/>
      <c r="E55" s="1030"/>
      <c r="F55" s="1030"/>
      <c r="G55" s="1030"/>
      <c r="H55" s="1030"/>
      <c r="I55" s="1030"/>
      <c r="J55" s="1030"/>
      <c r="K55" s="1081"/>
      <c r="L55" s="1082"/>
      <c r="M55" s="1083"/>
      <c r="N55" s="1051"/>
      <c r="O55" s="1051"/>
      <c r="P55" s="1201"/>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01"/>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01"/>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01"/>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02"/>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02"/>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03"/>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02"/>
      <c r="Q62" s="1096"/>
      <c r="R62" s="1097"/>
      <c r="S62" s="1097"/>
      <c r="T62" s="1097"/>
      <c r="U62" s="1097"/>
      <c r="V62" s="1097"/>
      <c r="W62" s="1097"/>
      <c r="X62" s="1097"/>
      <c r="Y62" s="1097"/>
      <c r="Z62" s="1097"/>
      <c r="AA62" s="1097"/>
      <c r="AB62" s="1097"/>
      <c r="AC62" s="1097"/>
    </row>
    <row r="63" ht="14.75" spans="1:29">
      <c r="A63" s="1000" t="s">
        <v>1403</v>
      </c>
      <c r="B63" s="1001" t="s">
        <v>1408</v>
      </c>
      <c r="C63" s="1022" t="s">
        <v>1271</v>
      </c>
      <c r="D63" s="1022" t="s">
        <v>1272</v>
      </c>
      <c r="E63" s="1022" t="s">
        <v>1273</v>
      </c>
      <c r="F63" s="1022" t="s">
        <v>1274</v>
      </c>
      <c r="G63" s="1022" t="s">
        <v>1275</v>
      </c>
      <c r="H63" s="1023"/>
      <c r="I63" s="1023"/>
      <c r="J63" s="1023"/>
      <c r="K63" s="1071"/>
      <c r="L63" s="1072"/>
      <c r="M63" s="1073"/>
      <c r="N63" s="1051"/>
      <c r="O63" s="1051"/>
      <c r="P63" s="1204"/>
      <c r="Q63" s="972"/>
      <c r="R63" s="839"/>
      <c r="S63" s="839"/>
      <c r="T63" s="839"/>
      <c r="U63" s="839"/>
      <c r="V63" s="839"/>
      <c r="W63" s="839"/>
      <c r="X63" s="839"/>
      <c r="Y63" s="839"/>
      <c r="Z63" s="839"/>
      <c r="AA63" s="839"/>
      <c r="AB63" s="839"/>
      <c r="AC63" s="839"/>
    </row>
    <row r="64" ht="14.75" spans="1:29">
      <c r="A64" s="1002"/>
      <c r="B64" s="1007"/>
      <c r="C64" s="1008">
        <v>100</v>
      </c>
      <c r="D64" s="1008">
        <f>C64-$K14</f>
        <v>98</v>
      </c>
      <c r="E64" s="1008">
        <f>D64-$K14</f>
        <v>96</v>
      </c>
      <c r="F64" s="1008">
        <f>E64-$K14</f>
        <v>94</v>
      </c>
      <c r="G64" s="1008">
        <f>F64-$K14</f>
        <v>92</v>
      </c>
      <c r="H64" s="1008"/>
      <c r="I64" s="1008"/>
      <c r="J64" s="1008"/>
      <c r="K64" s="1008"/>
      <c r="L64" s="1008"/>
      <c r="M64" s="1058"/>
      <c r="N64" s="1054"/>
      <c r="O64" s="1054"/>
      <c r="P64" s="1201"/>
      <c r="Q64" s="972"/>
      <c r="R64" s="839"/>
      <c r="S64" s="839"/>
      <c r="T64" s="839"/>
      <c r="U64" s="839"/>
      <c r="V64" s="839"/>
      <c r="W64" s="839"/>
      <c r="X64" s="839"/>
      <c r="Y64" s="839"/>
      <c r="Z64" s="839"/>
      <c r="AA64" s="839"/>
      <c r="AB64" s="839"/>
      <c r="AC64" s="839"/>
    </row>
    <row r="65" ht="14.75" spans="1:29">
      <c r="A65" s="1002"/>
      <c r="B65" s="1005" t="s">
        <v>1411</v>
      </c>
      <c r="C65" s="1024" t="s">
        <v>1271</v>
      </c>
      <c r="D65" s="1024" t="s">
        <v>1272</v>
      </c>
      <c r="E65" s="1024" t="s">
        <v>1273</v>
      </c>
      <c r="F65" s="1024" t="s">
        <v>1274</v>
      </c>
      <c r="G65" s="1024" t="s">
        <v>1275</v>
      </c>
      <c r="H65" s="1006"/>
      <c r="I65" s="1006"/>
      <c r="J65" s="1006"/>
      <c r="K65" s="1055"/>
      <c r="L65" s="1056"/>
      <c r="M65" s="1057"/>
      <c r="N65" s="1051"/>
      <c r="O65" s="1051"/>
      <c r="P65" s="1201"/>
      <c r="Q65" s="972"/>
      <c r="R65" s="839"/>
      <c r="S65" s="839"/>
      <c r="T65" s="839"/>
      <c r="U65" s="839"/>
      <c r="V65" s="839"/>
      <c r="W65" s="839"/>
      <c r="X65" s="839"/>
      <c r="Y65" s="839"/>
      <c r="Z65" s="839"/>
      <c r="AA65" s="839"/>
      <c r="AB65" s="839"/>
      <c r="AC65" s="839"/>
    </row>
    <row r="66" ht="14.75" spans="1:29">
      <c r="A66" s="1002"/>
      <c r="B66" s="1007"/>
      <c r="C66" s="1008">
        <v>100</v>
      </c>
      <c r="D66" s="1008">
        <f>C66-$K16</f>
        <v>98</v>
      </c>
      <c r="E66" s="1008">
        <f>D66-$K16</f>
        <v>96</v>
      </c>
      <c r="F66" s="1008">
        <f>E66-$K16</f>
        <v>94</v>
      </c>
      <c r="G66" s="1008">
        <f>F66-$K16</f>
        <v>92</v>
      </c>
      <c r="H66" s="1008"/>
      <c r="I66" s="1008"/>
      <c r="J66" s="1008"/>
      <c r="K66" s="1008"/>
      <c r="L66" s="1008"/>
      <c r="M66" s="1058"/>
      <c r="N66" s="1054"/>
      <c r="O66" s="1054"/>
      <c r="P66" s="1201"/>
      <c r="Q66" s="972"/>
      <c r="R66" s="839"/>
      <c r="S66" s="839"/>
      <c r="T66" s="839"/>
      <c r="U66" s="839"/>
      <c r="V66" s="839"/>
      <c r="W66" s="839"/>
      <c r="X66" s="839"/>
      <c r="Y66" s="839"/>
      <c r="Z66" s="839"/>
      <c r="AA66" s="839"/>
      <c r="AB66" s="839"/>
      <c r="AC66" s="839"/>
    </row>
    <row r="67" ht="14.75" spans="1:29">
      <c r="A67" s="1002"/>
      <c r="B67" s="1009" t="s">
        <v>1412</v>
      </c>
      <c r="C67" s="1029" t="s">
        <v>1463</v>
      </c>
      <c r="D67" s="1029" t="s">
        <v>1464</v>
      </c>
      <c r="E67" s="1029" t="s">
        <v>1465</v>
      </c>
      <c r="F67" s="1029" t="s">
        <v>1466</v>
      </c>
      <c r="G67" s="1029" t="s">
        <v>1467</v>
      </c>
      <c r="H67" s="1006"/>
      <c r="I67" s="1006"/>
      <c r="J67" s="1006"/>
      <c r="K67" s="1006"/>
      <c r="L67" s="1006"/>
      <c r="M67" s="1212"/>
      <c r="N67" s="1054"/>
      <c r="O67" s="1054"/>
      <c r="P67" s="1201"/>
      <c r="Q67" s="972"/>
      <c r="R67" s="839"/>
      <c r="S67" s="839"/>
      <c r="T67" s="839"/>
      <c r="U67" s="839"/>
      <c r="V67" s="839"/>
      <c r="W67" s="839"/>
      <c r="X67" s="839"/>
      <c r="Y67" s="839"/>
      <c r="Z67" s="839"/>
      <c r="AA67" s="839"/>
      <c r="AB67" s="839"/>
      <c r="AC67" s="839"/>
    </row>
    <row r="68" ht="14.75" spans="1:29">
      <c r="A68" s="1002"/>
      <c r="B68" s="1009"/>
      <c r="C68" s="1008">
        <v>100</v>
      </c>
      <c r="D68" s="1008">
        <f>C68-$K18</f>
        <v>98</v>
      </c>
      <c r="E68" s="1008">
        <f>D68-$K18</f>
        <v>96</v>
      </c>
      <c r="F68" s="1008">
        <f>E68-$K18</f>
        <v>94</v>
      </c>
      <c r="G68" s="1008">
        <f>F68-$K18</f>
        <v>92</v>
      </c>
      <c r="H68" s="1029"/>
      <c r="I68" s="1029"/>
      <c r="J68" s="1029"/>
      <c r="K68" s="1029"/>
      <c r="L68" s="1029"/>
      <c r="M68" s="787"/>
      <c r="N68" s="1054"/>
      <c r="O68" s="1054"/>
      <c r="P68" s="1201"/>
      <c r="Q68" s="972"/>
      <c r="R68" s="839"/>
      <c r="S68" s="839"/>
      <c r="T68" s="839"/>
      <c r="U68" s="839"/>
      <c r="V68" s="839"/>
      <c r="W68" s="839"/>
      <c r="X68" s="839"/>
      <c r="Y68" s="839"/>
      <c r="Z68" s="839"/>
      <c r="AA68" s="839"/>
      <c r="AB68" s="839"/>
      <c r="AC68" s="839"/>
    </row>
    <row r="69" ht="14.75" spans="1:29">
      <c r="A69" s="1002"/>
      <c r="B69" s="1005" t="s">
        <v>2112</v>
      </c>
      <c r="C69" s="1024" t="s">
        <v>1271</v>
      </c>
      <c r="D69" s="1024" t="s">
        <v>1272</v>
      </c>
      <c r="E69" s="1024" t="s">
        <v>1273</v>
      </c>
      <c r="F69" s="1024" t="s">
        <v>1274</v>
      </c>
      <c r="G69" s="1024" t="s">
        <v>1275</v>
      </c>
      <c r="H69" s="1006"/>
      <c r="I69" s="1006"/>
      <c r="J69" s="1006"/>
      <c r="K69" s="1055"/>
      <c r="L69" s="1056"/>
      <c r="M69" s="1057"/>
      <c r="N69" s="1051"/>
      <c r="O69" s="1051"/>
      <c r="P69" s="1201"/>
      <c r="Q69" s="972"/>
      <c r="R69" s="839"/>
      <c r="S69" s="839"/>
      <c r="T69" s="839"/>
      <c r="U69" s="839"/>
      <c r="V69" s="839"/>
      <c r="W69" s="839"/>
      <c r="X69" s="839"/>
      <c r="Y69" s="839"/>
      <c r="Z69" s="839"/>
      <c r="AA69" s="839"/>
      <c r="AB69" s="839"/>
      <c r="AC69" s="839"/>
    </row>
    <row r="70" ht="14.75" spans="1:29">
      <c r="A70" s="1002"/>
      <c r="B70" s="1007"/>
      <c r="C70" s="1008">
        <v>100</v>
      </c>
      <c r="D70" s="1008">
        <f>C70-$K20</f>
        <v>98</v>
      </c>
      <c r="E70" s="1008">
        <f>D70-$K20</f>
        <v>96</v>
      </c>
      <c r="F70" s="1008">
        <f>E70-$K20</f>
        <v>94</v>
      </c>
      <c r="G70" s="1008">
        <f>F70-$K20</f>
        <v>92</v>
      </c>
      <c r="H70" s="1008"/>
      <c r="I70" s="1008"/>
      <c r="J70" s="1008"/>
      <c r="K70" s="1008"/>
      <c r="L70" s="1008"/>
      <c r="M70" s="1058"/>
      <c r="N70" s="1054"/>
      <c r="O70" s="1054"/>
      <c r="P70" s="1201"/>
      <c r="Q70" s="972"/>
      <c r="R70" s="839"/>
      <c r="S70" s="839"/>
      <c r="T70" s="839"/>
      <c r="U70" s="839"/>
      <c r="V70" s="839"/>
      <c r="W70" s="839"/>
      <c r="X70" s="839"/>
      <c r="Y70" s="839"/>
      <c r="Z70" s="839"/>
      <c r="AA70" s="839"/>
      <c r="AB70" s="839"/>
      <c r="AC70" s="839"/>
    </row>
    <row r="71" ht="14.75" spans="1:29">
      <c r="A71" s="1002"/>
      <c r="B71" s="1005" t="s">
        <v>2163</v>
      </c>
      <c r="C71" s="1013"/>
      <c r="D71" s="1013"/>
      <c r="E71" s="1013"/>
      <c r="F71" s="1013"/>
      <c r="G71" s="1013"/>
      <c r="H71" s="1030"/>
      <c r="I71" s="1030"/>
      <c r="J71" s="1030"/>
      <c r="K71" s="1081"/>
      <c r="L71" s="1082"/>
      <c r="M71" s="1083"/>
      <c r="N71" s="1051"/>
      <c r="O71" s="1051"/>
      <c r="P71" s="1201"/>
      <c r="Q71" s="972"/>
      <c r="R71" s="839"/>
      <c r="S71" s="839"/>
      <c r="T71" s="839"/>
      <c r="U71" s="839"/>
      <c r="V71" s="839"/>
      <c r="W71" s="839"/>
      <c r="X71" s="839"/>
      <c r="Y71" s="839"/>
      <c r="Z71" s="839"/>
      <c r="AA71" s="839"/>
      <c r="AB71" s="839"/>
      <c r="AC71" s="839"/>
    </row>
    <row r="72" ht="14.75" spans="1:29">
      <c r="A72" s="1002"/>
      <c r="B72" s="1007"/>
      <c r="C72" s="1008">
        <v>100</v>
      </c>
      <c r="D72" s="1008">
        <f>C72-$K22</f>
        <v>98</v>
      </c>
      <c r="E72" s="1008">
        <f>D72-$K22</f>
        <v>96</v>
      </c>
      <c r="F72" s="1008">
        <f>E72-$K22</f>
        <v>94</v>
      </c>
      <c r="G72" s="1008">
        <f>F72-$K22</f>
        <v>92</v>
      </c>
      <c r="H72" s="1008"/>
      <c r="I72" s="1008"/>
      <c r="J72" s="1008"/>
      <c r="K72" s="1008"/>
      <c r="L72" s="1008"/>
      <c r="M72" s="1058"/>
      <c r="N72" s="1054"/>
      <c r="O72" s="1054"/>
      <c r="P72" s="1201"/>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13"/>
      <c r="M73" s="1214"/>
      <c r="N73" s="1045"/>
      <c r="O73" s="1045"/>
      <c r="P73" s="1201"/>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01"/>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4"/>
      <c r="N75" s="1045"/>
      <c r="O75" s="1045"/>
      <c r="P75" s="1201"/>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01"/>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02"/>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02"/>
      <c r="Q78" s="1096"/>
      <c r="R78" s="1097"/>
      <c r="S78" s="1097"/>
      <c r="T78" s="1097"/>
      <c r="U78" s="1097"/>
      <c r="V78" s="1097"/>
      <c r="W78" s="1097"/>
      <c r="X78" s="1097"/>
      <c r="Y78" s="1097"/>
      <c r="Z78" s="1097"/>
      <c r="AA78" s="1097"/>
      <c r="AB78" s="1097"/>
      <c r="AC78" s="1097"/>
    </row>
    <row r="79" ht="28.75" spans="1:29">
      <c r="A79" s="1000" t="s">
        <v>1417</v>
      </c>
      <c r="B79" s="1001" t="s">
        <v>2204</v>
      </c>
      <c r="C79" s="1023" t="str">
        <f>C26</f>
        <v>住宅</v>
      </c>
      <c r="D79" s="926"/>
      <c r="E79" s="926"/>
      <c r="F79" s="926"/>
      <c r="G79" s="926"/>
      <c r="H79" s="926"/>
      <c r="I79" s="926"/>
      <c r="J79" s="926"/>
      <c r="K79" s="1048"/>
      <c r="L79" s="1049"/>
      <c r="M79" s="1050"/>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98</v>
      </c>
      <c r="E80" s="1008">
        <f t="shared" si="17"/>
        <v>96</v>
      </c>
      <c r="F80" s="1008">
        <f t="shared" si="17"/>
        <v>94</v>
      </c>
      <c r="G80" s="1008">
        <f t="shared" si="17"/>
        <v>92</v>
      </c>
      <c r="H80" s="1008">
        <f t="shared" si="17"/>
        <v>90</v>
      </c>
      <c r="I80" s="1008">
        <f t="shared" si="17"/>
        <v>88</v>
      </c>
      <c r="J80" s="1008">
        <f t="shared" si="17"/>
        <v>86</v>
      </c>
      <c r="K80" s="1008">
        <f t="shared" si="17"/>
        <v>84</v>
      </c>
      <c r="L80" s="1008">
        <f t="shared" si="17"/>
        <v>82</v>
      </c>
      <c r="M80" s="1058">
        <f t="shared" si="17"/>
        <v>80</v>
      </c>
      <c r="N80" s="1054"/>
      <c r="O80" s="1054"/>
      <c r="P80" s="1201"/>
      <c r="Q80" s="972"/>
      <c r="R80" s="839"/>
      <c r="S80" s="839"/>
      <c r="T80" s="839"/>
      <c r="U80" s="839"/>
      <c r="V80" s="839"/>
      <c r="W80" s="839"/>
      <c r="X80" s="839"/>
      <c r="Y80" s="839"/>
      <c r="Z80" s="839"/>
      <c r="AA80" s="839"/>
      <c r="AB80" s="839"/>
      <c r="AC80" s="839"/>
    </row>
    <row r="81" ht="14.75" spans="1:29">
      <c r="A81" s="1002"/>
      <c r="B81" s="1005" t="s">
        <v>2194</v>
      </c>
      <c r="C81" s="1208" t="s">
        <v>2195</v>
      </c>
      <c r="D81" s="1208" t="s">
        <v>2196</v>
      </c>
      <c r="E81" s="1208" t="s">
        <v>2205</v>
      </c>
      <c r="F81" s="1208" t="s">
        <v>2206</v>
      </c>
      <c r="G81" s="1208" t="s">
        <v>2207</v>
      </c>
      <c r="H81" s="1208"/>
      <c r="I81" s="1208"/>
      <c r="J81" s="1208"/>
      <c r="K81" s="1215"/>
      <c r="L81" s="1216"/>
      <c r="M81" s="1217"/>
      <c r="N81" s="1045"/>
      <c r="O81" s="1045"/>
      <c r="P81" s="1201"/>
      <c r="Q81" s="972"/>
      <c r="R81" s="839"/>
      <c r="S81" s="839"/>
      <c r="T81" s="839"/>
      <c r="U81" s="839"/>
      <c r="V81" s="839"/>
      <c r="W81" s="839"/>
      <c r="X81" s="839"/>
      <c r="Y81" s="839"/>
      <c r="Z81" s="839"/>
      <c r="AA81" s="839"/>
      <c r="AB81" s="839"/>
      <c r="AC81" s="839"/>
    </row>
    <row r="82" s="713" customFormat="1" ht="14.75" spans="1:29">
      <c r="A82" s="1012"/>
      <c r="B82" s="1007"/>
      <c r="C82" s="1015">
        <v>100</v>
      </c>
      <c r="D82" s="1004">
        <v>100</v>
      </c>
      <c r="E82" s="1004">
        <v>100</v>
      </c>
      <c r="F82" s="1004">
        <v>100</v>
      </c>
      <c r="G82" s="1004">
        <v>100</v>
      </c>
      <c r="H82" s="1004"/>
      <c r="I82" s="1004"/>
      <c r="J82" s="1004"/>
      <c r="K82" s="1004"/>
      <c r="L82" s="1004"/>
      <c r="M82" s="1053"/>
      <c r="N82" s="1054"/>
      <c r="O82" s="1054"/>
      <c r="P82" s="1202"/>
      <c r="Q82" s="1096"/>
      <c r="R82" s="1097"/>
      <c r="S82" s="1097"/>
      <c r="T82" s="1097"/>
      <c r="U82" s="1097"/>
      <c r="V82" s="1097"/>
      <c r="W82" s="1097"/>
      <c r="X82" s="1097"/>
      <c r="Y82" s="1097"/>
      <c r="Z82" s="1097"/>
      <c r="AA82" s="1097"/>
      <c r="AB82" s="1097"/>
      <c r="AC82" s="1097"/>
    </row>
    <row r="83" ht="14.75" spans="1:29">
      <c r="A83" s="1036"/>
      <c r="B83" s="1005" t="s">
        <v>2123</v>
      </c>
      <c r="C83" s="1209" t="s">
        <v>2129</v>
      </c>
      <c r="D83" s="1013"/>
      <c r="E83" s="1030"/>
      <c r="F83" s="1030"/>
      <c r="G83" s="1030"/>
      <c r="H83" s="1030"/>
      <c r="I83" s="1030"/>
      <c r="J83" s="1030"/>
      <c r="K83" s="1081"/>
      <c r="L83" s="1082"/>
      <c r="M83" s="1083"/>
      <c r="N83" s="1051"/>
      <c r="O83" s="1051"/>
      <c r="P83" s="1201"/>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98</v>
      </c>
      <c r="E84" s="1008">
        <f t="shared" si="18"/>
        <v>96</v>
      </c>
      <c r="F84" s="1008">
        <f t="shared" si="18"/>
        <v>94</v>
      </c>
      <c r="G84" s="1008">
        <f t="shared" si="18"/>
        <v>92</v>
      </c>
      <c r="H84" s="1008">
        <f t="shared" si="18"/>
        <v>90</v>
      </c>
      <c r="I84" s="1008">
        <f t="shared" si="18"/>
        <v>88</v>
      </c>
      <c r="J84" s="1008">
        <f t="shared" si="18"/>
        <v>86</v>
      </c>
      <c r="K84" s="1008">
        <f t="shared" si="18"/>
        <v>84</v>
      </c>
      <c r="L84" s="1008">
        <f t="shared" si="18"/>
        <v>82</v>
      </c>
      <c r="M84" s="1058">
        <f t="shared" si="18"/>
        <v>80</v>
      </c>
      <c r="N84" s="1054"/>
      <c r="O84" s="1054"/>
      <c r="P84" s="1201"/>
      <c r="Q84" s="972"/>
      <c r="R84" s="839"/>
      <c r="S84" s="839"/>
      <c r="T84" s="839"/>
      <c r="U84" s="839"/>
      <c r="V84" s="839"/>
      <c r="W84" s="839"/>
      <c r="X84" s="839"/>
      <c r="Y84" s="839"/>
      <c r="Z84" s="839"/>
      <c r="AA84" s="839"/>
      <c r="AB84" s="839"/>
      <c r="AC84" s="839"/>
    </row>
    <row r="85" ht="14.75" spans="1:29">
      <c r="A85" s="1036"/>
      <c r="B85" s="1005" t="s">
        <v>2185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01"/>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18"/>
      <c r="J86" s="1218"/>
      <c r="K86" s="1219"/>
      <c r="L86" s="1220"/>
      <c r="M86" s="1221"/>
      <c r="N86" s="1051"/>
      <c r="O86" s="1051"/>
      <c r="P86" s="1201"/>
      <c r="Q86" s="972"/>
      <c r="R86" s="839"/>
      <c r="S86" s="839"/>
      <c r="T86" s="839"/>
      <c r="U86" s="839"/>
      <c r="V86" s="839"/>
      <c r="W86" s="839"/>
      <c r="X86" s="839"/>
      <c r="Y86" s="839"/>
      <c r="Z86" s="839"/>
      <c r="AA86" s="839"/>
      <c r="AB86" s="839"/>
      <c r="AC86" s="839"/>
    </row>
    <row r="87" ht="14.75" spans="1:29">
      <c r="A87" s="1002"/>
      <c r="B87" s="1007"/>
      <c r="C87" s="1026">
        <v>100</v>
      </c>
      <c r="D87" s="1008">
        <f>C87+$K$29</f>
        <v>102</v>
      </c>
      <c r="E87" s="1008">
        <f t="shared" ref="E87:M87" si="19">D87+$K$29</f>
        <v>104</v>
      </c>
      <c r="F87" s="1008">
        <f t="shared" si="19"/>
        <v>106</v>
      </c>
      <c r="G87" s="1008">
        <f t="shared" si="19"/>
        <v>108</v>
      </c>
      <c r="H87" s="1008">
        <f t="shared" si="19"/>
        <v>110</v>
      </c>
      <c r="I87" s="1008">
        <f t="shared" si="19"/>
        <v>112</v>
      </c>
      <c r="J87" s="1008">
        <f t="shared" si="19"/>
        <v>114</v>
      </c>
      <c r="K87" s="1008">
        <f t="shared" si="19"/>
        <v>116</v>
      </c>
      <c r="L87" s="1008">
        <f t="shared" si="19"/>
        <v>118</v>
      </c>
      <c r="M87" s="1008">
        <f t="shared" si="19"/>
        <v>120</v>
      </c>
      <c r="N87" s="1054"/>
      <c r="O87" s="1054"/>
      <c r="P87" s="1201"/>
      <c r="Q87" s="972"/>
      <c r="R87" s="839"/>
      <c r="S87" s="839"/>
      <c r="T87" s="839"/>
      <c r="U87" s="839"/>
      <c r="V87" s="839"/>
      <c r="W87" s="839"/>
      <c r="X87" s="839"/>
      <c r="Y87" s="839"/>
      <c r="Z87" s="839"/>
      <c r="AA87" s="839"/>
      <c r="AB87" s="839"/>
      <c r="AC87" s="839"/>
    </row>
    <row r="88" ht="14.75" spans="1:29">
      <c r="A88" s="1036"/>
      <c r="B88" s="1009" t="s">
        <v>2186</v>
      </c>
      <c r="C88" s="926"/>
      <c r="D88" s="926"/>
      <c r="E88" s="926"/>
      <c r="F88" s="926"/>
      <c r="G88" s="926"/>
      <c r="H88" s="926"/>
      <c r="I88" s="926"/>
      <c r="J88" s="926"/>
      <c r="K88" s="1048"/>
      <c r="L88" s="1049"/>
      <c r="M88" s="1050"/>
      <c r="N88" s="1051"/>
      <c r="O88" s="1051"/>
      <c r="P88" s="1201"/>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01"/>
      <c r="Q89" s="972"/>
      <c r="R89" s="839"/>
      <c r="S89" s="839"/>
      <c r="T89" s="839"/>
      <c r="U89" s="839"/>
      <c r="V89" s="839"/>
      <c r="W89" s="839"/>
      <c r="X89" s="839"/>
      <c r="Y89" s="839"/>
      <c r="Z89" s="839"/>
      <c r="AA89" s="839"/>
      <c r="AB89" s="839"/>
      <c r="AC89" s="839"/>
    </row>
    <row r="90" s="713" customFormat="1" ht="14.75" spans="1:29">
      <c r="A90" s="1033"/>
      <c r="B90" s="1005" t="s">
        <v>2198</v>
      </c>
      <c r="C90" s="1024" t="str">
        <f>C91&amp;"(含)"&amp;"-"&amp;D91</f>
        <v>0(含)-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02"/>
      <c r="Q90" s="1096"/>
      <c r="R90" s="1097"/>
      <c r="S90" s="1097"/>
      <c r="T90" s="1097"/>
      <c r="U90" s="1097"/>
      <c r="V90" s="1097"/>
      <c r="W90" s="1097"/>
      <c r="X90" s="1097"/>
      <c r="Y90" s="1097"/>
      <c r="Z90" s="1097"/>
      <c r="AA90" s="1097"/>
      <c r="AB90" s="1097"/>
      <c r="AC90" s="1097"/>
    </row>
    <row r="91" s="713" customFormat="1" spans="1:29">
      <c r="A91" s="1033"/>
      <c r="B91" s="1009"/>
      <c r="C91" s="989">
        <v>0</v>
      </c>
      <c r="D91" s="989"/>
      <c r="E91" s="989"/>
      <c r="F91" s="989"/>
      <c r="G91" s="989"/>
      <c r="H91" s="989"/>
      <c r="I91" s="989"/>
      <c r="J91" s="1088"/>
      <c r="K91" s="1088"/>
      <c r="L91" s="1089"/>
      <c r="M91" s="1090"/>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02"/>
      <c r="Q92" s="1096"/>
      <c r="R92" s="1097"/>
      <c r="S92" s="1097"/>
      <c r="T92" s="1097"/>
      <c r="U92" s="1097"/>
      <c r="V92" s="1097"/>
      <c r="W92" s="1097"/>
      <c r="X92" s="1097"/>
      <c r="Y92" s="1097"/>
      <c r="Z92" s="1097"/>
      <c r="AA92" s="1097"/>
      <c r="AB92" s="1097"/>
      <c r="AC92" s="1097"/>
    </row>
    <row r="93" ht="14.75" spans="1:29">
      <c r="A93" s="1036"/>
      <c r="B93" s="1005" t="s">
        <v>2199</v>
      </c>
      <c r="C93" s="1209" t="s">
        <v>2200</v>
      </c>
      <c r="D93" s="1013"/>
      <c r="E93" s="1030"/>
      <c r="F93" s="1030"/>
      <c r="G93" s="1030"/>
      <c r="H93" s="1030"/>
      <c r="I93" s="1030"/>
      <c r="J93" s="1030"/>
      <c r="K93" s="1081"/>
      <c r="L93" s="1082"/>
      <c r="M93" s="1083"/>
      <c r="N93" s="1051"/>
      <c r="O93" s="1051"/>
      <c r="P93" s="1201"/>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98</v>
      </c>
      <c r="E94" s="1008">
        <f t="shared" si="22"/>
        <v>96</v>
      </c>
      <c r="F94" s="1008">
        <f t="shared" si="22"/>
        <v>94</v>
      </c>
      <c r="G94" s="1008">
        <f t="shared" si="22"/>
        <v>92</v>
      </c>
      <c r="H94" s="1008">
        <f t="shared" si="22"/>
        <v>90</v>
      </c>
      <c r="I94" s="1008">
        <f t="shared" si="22"/>
        <v>88</v>
      </c>
      <c r="J94" s="1008">
        <f t="shared" si="22"/>
        <v>86</v>
      </c>
      <c r="K94" s="1008">
        <f t="shared" si="22"/>
        <v>84</v>
      </c>
      <c r="L94" s="1008">
        <f t="shared" si="22"/>
        <v>82</v>
      </c>
      <c r="M94" s="1058">
        <f t="shared" si="22"/>
        <v>80</v>
      </c>
      <c r="N94" s="1054"/>
      <c r="O94" s="1054"/>
      <c r="P94" s="1201"/>
      <c r="Q94" s="972"/>
      <c r="R94" s="839"/>
      <c r="S94" s="839"/>
      <c r="T94" s="839"/>
      <c r="U94" s="839"/>
      <c r="V94" s="839"/>
      <c r="W94" s="839"/>
      <c r="X94" s="839"/>
      <c r="Y94" s="839"/>
      <c r="Z94" s="839"/>
      <c r="AA94" s="839"/>
      <c r="AB94" s="839"/>
      <c r="AC94" s="839"/>
    </row>
    <row r="95" ht="14.75" spans="1:29">
      <c r="A95" s="1036"/>
      <c r="B95" s="1005" t="s">
        <v>2201</v>
      </c>
      <c r="C95" s="1210" t="s">
        <v>559</v>
      </c>
      <c r="D95" s="1210" t="s">
        <v>1624</v>
      </c>
      <c r="E95" s="926"/>
      <c r="F95" s="926"/>
      <c r="G95" s="926"/>
      <c r="H95" s="926"/>
      <c r="I95" s="926"/>
      <c r="J95" s="926"/>
      <c r="K95" s="1048"/>
      <c r="L95" s="1049"/>
      <c r="M95" s="1050"/>
      <c r="N95" s="1051"/>
      <c r="O95" s="1051"/>
      <c r="P95" s="1201"/>
      <c r="Q95" s="972"/>
      <c r="R95" s="839"/>
      <c r="S95" s="839"/>
      <c r="T95" s="839"/>
      <c r="U95" s="839"/>
      <c r="V95" s="839"/>
      <c r="W95" s="839"/>
      <c r="X95" s="839"/>
      <c r="Y95" s="839"/>
      <c r="Z95" s="839"/>
      <c r="AA95" s="839"/>
      <c r="AB95" s="839"/>
      <c r="AC95" s="839"/>
    </row>
    <row r="96" ht="14.75" spans="1:29">
      <c r="A96" s="1002"/>
      <c r="B96" s="1007"/>
      <c r="C96" s="1008">
        <v>100</v>
      </c>
      <c r="D96" s="1008">
        <f>C96-$K33</f>
        <v>98</v>
      </c>
      <c r="E96" s="1008">
        <f>D96-$K33</f>
        <v>96</v>
      </c>
      <c r="F96" s="1008">
        <f>E96-$K33</f>
        <v>94</v>
      </c>
      <c r="G96" s="1008">
        <f>F96-$K33</f>
        <v>92</v>
      </c>
      <c r="H96" s="1008"/>
      <c r="I96" s="1008"/>
      <c r="J96" s="1008"/>
      <c r="K96" s="1008"/>
      <c r="L96" s="1008"/>
      <c r="M96" s="1058"/>
      <c r="N96" s="1054"/>
      <c r="O96" s="1054"/>
      <c r="P96" s="1201"/>
      <c r="Q96" s="972"/>
      <c r="R96" s="839"/>
      <c r="S96" s="839"/>
      <c r="T96" s="839"/>
      <c r="U96" s="839"/>
      <c r="V96" s="839"/>
      <c r="W96" s="839"/>
      <c r="X96" s="839"/>
      <c r="Y96" s="839"/>
      <c r="Z96" s="839"/>
      <c r="AA96" s="839"/>
      <c r="AB96" s="839"/>
      <c r="AC96" s="839"/>
    </row>
    <row r="97" ht="14.75" spans="1:29">
      <c r="A97" s="1036"/>
      <c r="B97" s="1211">
        <f>B34</f>
        <v>111</v>
      </c>
      <c r="C97" s="770"/>
      <c r="D97" s="770"/>
      <c r="E97" s="770"/>
      <c r="F97" s="770"/>
      <c r="G97" s="1013"/>
      <c r="H97" s="1014"/>
      <c r="I97" s="1014"/>
      <c r="J97" s="1014"/>
      <c r="K97" s="1014"/>
      <c r="L97" s="1062"/>
      <c r="M97" s="1063"/>
      <c r="N97" s="1054"/>
      <c r="O97" s="1054"/>
      <c r="P97" s="1222"/>
      <c r="Q97" s="1223"/>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01"/>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02"/>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02"/>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01"/>
      <c r="Q102" s="972"/>
      <c r="R102" s="839"/>
      <c r="S102" s="839"/>
      <c r="T102" s="839"/>
      <c r="U102" s="839"/>
      <c r="V102" s="839"/>
      <c r="W102" s="839"/>
      <c r="X102" s="839"/>
      <c r="Y102" s="839"/>
      <c r="Z102" s="839"/>
      <c r="AA102" s="839"/>
      <c r="AB102" s="839"/>
      <c r="AC102" s="839"/>
    </row>
    <row r="103" ht="14.75" spans="14:29">
      <c r="N103" s="839"/>
      <c r="O103" s="839"/>
      <c r="P103" s="1192"/>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1376</v>
      </c>
      <c r="B1" s="721"/>
      <c r="C1" s="722" t="s">
        <v>2175</v>
      </c>
      <c r="D1" s="723"/>
      <c r="E1" s="723"/>
      <c r="F1" s="724" t="s">
        <v>1378</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1003</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t="e">
        <f>ROUND(IF(D3="",B2*10000/'数据-汇总表'!E3,B2*10000/D3),0)</f>
        <v>#DIV/0!</v>
      </c>
      <c r="C3" s="396" t="s">
        <v>1108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
        <v>2158</v>
      </c>
      <c r="F5" s="741"/>
      <c r="G5" s="738" t="s">
        <v>2159</v>
      </c>
      <c r="H5" s="739"/>
      <c r="I5" s="738" t="s">
        <v>2160</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2208</v>
      </c>
      <c r="D6" s="745"/>
      <c r="E6" s="746" t="s">
        <v>2208</v>
      </c>
      <c r="F6" s="747"/>
      <c r="G6" s="744" t="s">
        <v>2208</v>
      </c>
      <c r="H6" s="745"/>
      <c r="I6" s="744" t="s">
        <v>2208</v>
      </c>
      <c r="J6" s="745"/>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t="s">
        <v>1393</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1395</v>
      </c>
      <c r="Q8" s="962"/>
      <c r="R8" s="959" t="s">
        <v>1391</v>
      </c>
      <c r="S8" s="960">
        <f t="shared" si="0"/>
        <v>0</v>
      </c>
      <c r="T8" s="959" t="s">
        <v>1391</v>
      </c>
      <c r="U8" s="960">
        <f t="shared" si="1"/>
        <v>0</v>
      </c>
      <c r="V8" s="959" t="s">
        <v>1391</v>
      </c>
      <c r="W8" s="960">
        <f t="shared" si="2"/>
        <v>0</v>
      </c>
      <c r="X8" s="961"/>
      <c r="Y8" s="904" t="s">
        <v>1395</v>
      </c>
      <c r="Z8" s="962"/>
      <c r="AA8" s="978" t="e">
        <f t="shared" ref="AA8:AA40" si="3">D8/F8</f>
        <v>#DIV/0!</v>
      </c>
      <c r="AB8" s="978" t="e">
        <f t="shared" ref="AB8:AB40" si="4">D8/H8</f>
        <v>#DIV/0!</v>
      </c>
      <c r="AC8" s="978" t="e">
        <f t="shared" ref="AC8:AC40" si="5">D8/J8</f>
        <v>#DIV/0!</v>
      </c>
    </row>
    <row r="9" s="711" customFormat="1" spans="1:29">
      <c r="A9" s="756" t="s">
        <v>1396</v>
      </c>
      <c r="B9" s="757" t="s">
        <v>1397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762"/>
      <c r="D10" s="763">
        <v>100</v>
      </c>
      <c r="E10" s="762"/>
      <c r="F10" s="763">
        <f>ROUND(100/'数据-取费表'!G16,0)</f>
        <v>119</v>
      </c>
      <c r="G10" s="762"/>
      <c r="H10" s="763">
        <f>ROUND(100/'数据-取费表'!G16,0)</f>
        <v>119</v>
      </c>
      <c r="I10" s="762"/>
      <c r="J10" s="763">
        <f>ROUND(100/'数据-取费表'!G16,0)</f>
        <v>119</v>
      </c>
      <c r="K10" s="906"/>
      <c r="L10" s="907"/>
      <c r="M10" s="908"/>
      <c r="N10" s="908"/>
      <c r="O10" s="909"/>
      <c r="P10" s="863"/>
      <c r="Q10" s="963" t="str">
        <f t="shared" si="6"/>
        <v>土地使用年限（年）</v>
      </c>
      <c r="R10" s="959" t="s">
        <v>1391</v>
      </c>
      <c r="S10" s="960">
        <f t="shared" si="0"/>
        <v>119</v>
      </c>
      <c r="T10" s="959" t="s">
        <v>1391</v>
      </c>
      <c r="U10" s="960">
        <f t="shared" si="1"/>
        <v>119</v>
      </c>
      <c r="V10" s="959" t="s">
        <v>1391</v>
      </c>
      <c r="W10" s="960">
        <f t="shared" si="2"/>
        <v>119</v>
      </c>
      <c r="X10" s="961"/>
      <c r="Y10" s="963"/>
      <c r="Z10" s="979" t="str">
        <f t="shared" si="7"/>
        <v>土地使用年限（年）</v>
      </c>
      <c r="AA10" s="978">
        <f t="shared" si="3"/>
        <v>0.840336134453782</v>
      </c>
      <c r="AB10" s="978">
        <f t="shared" si="4"/>
        <v>0.840336134453782</v>
      </c>
      <c r="AC10" s="978">
        <f t="shared" si="5"/>
        <v>0.840336134453782</v>
      </c>
    </row>
    <row r="11" ht="15.5" spans="1:29">
      <c r="A11" s="764"/>
      <c r="B11" s="761" t="s">
        <v>1401</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1391</v>
      </c>
      <c r="S11" s="960" t="e">
        <f t="shared" si="0"/>
        <v>#N/A</v>
      </c>
      <c r="T11" s="959" t="s">
        <v>1391</v>
      </c>
      <c r="U11" s="960" t="e">
        <f t="shared" si="1"/>
        <v>#N/A</v>
      </c>
      <c r="V11" s="959" t="s">
        <v>1391</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779" t="s">
        <v>2176</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1405</v>
      </c>
      <c r="Q15" s="863" t="str">
        <f t="shared" si="6"/>
        <v>产业集聚程度</v>
      </c>
      <c r="R15" s="964" t="s">
        <v>1391</v>
      </c>
      <c r="S15" s="965">
        <f t="shared" si="0"/>
        <v>100</v>
      </c>
      <c r="T15" s="964" t="s">
        <v>1391</v>
      </c>
      <c r="U15" s="965">
        <f t="shared" si="1"/>
        <v>100</v>
      </c>
      <c r="V15" s="964" t="s">
        <v>1391</v>
      </c>
      <c r="W15" s="965">
        <f t="shared" si="2"/>
        <v>100</v>
      </c>
      <c r="X15" s="951"/>
      <c r="Y15" s="915" t="s">
        <v>1405</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1408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1409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1391</v>
      </c>
      <c r="S19" s="965">
        <f>F19</f>
        <v>100</v>
      </c>
      <c r="T19" s="964" t="s">
        <v>1391</v>
      </c>
      <c r="U19" s="965">
        <f>H19</f>
        <v>100</v>
      </c>
      <c r="V19" s="964" t="s">
        <v>1391</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2209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1391</v>
      </c>
      <c r="S21" s="965">
        <f>F21</f>
        <v>100</v>
      </c>
      <c r="T21" s="964" t="s">
        <v>1391</v>
      </c>
      <c r="U21" s="965">
        <f>H21</f>
        <v>100</v>
      </c>
      <c r="V21" s="964" t="s">
        <v>1391</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1411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1391</v>
      </c>
      <c r="S23" s="960">
        <f>F23</f>
        <v>100</v>
      </c>
      <c r="T23" s="959" t="s">
        <v>1391</v>
      </c>
      <c r="U23" s="960">
        <f>H23</f>
        <v>100</v>
      </c>
      <c r="V23" s="959" t="s">
        <v>1391</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1412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1391</v>
      </c>
      <c r="S25" s="960">
        <f>F25</f>
        <v>100</v>
      </c>
      <c r="T25" s="959" t="s">
        <v>1391</v>
      </c>
      <c r="U25" s="960">
        <f>H25</f>
        <v>100</v>
      </c>
      <c r="V25" s="959" t="s">
        <v>1391</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1413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1391</v>
      </c>
      <c r="S27" s="965">
        <f t="shared" ref="S27:S40" si="10">F27</f>
        <v>100</v>
      </c>
      <c r="T27" s="964" t="s">
        <v>1391</v>
      </c>
      <c r="U27" s="965">
        <f t="shared" ref="U27:U40" si="11">H27</f>
        <v>100</v>
      </c>
      <c r="V27" s="964" t="s">
        <v>1391</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1414</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1391</v>
      </c>
      <c r="S28" s="965">
        <f t="shared" si="10"/>
        <v>100</v>
      </c>
      <c r="T28" s="964" t="s">
        <v>1391</v>
      </c>
      <c r="U28" s="965">
        <f t="shared" si="11"/>
        <v>100</v>
      </c>
      <c r="V28" s="964" t="s">
        <v>1391</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1415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1391</v>
      </c>
      <c r="S30" s="965">
        <f t="shared" si="10"/>
        <v>100</v>
      </c>
      <c r="T30" s="964" t="s">
        <v>1391</v>
      </c>
      <c r="U30" s="965">
        <f t="shared" si="11"/>
        <v>100</v>
      </c>
      <c r="V30" s="964" t="s">
        <v>1391</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1391</v>
      </c>
      <c r="S31" s="965">
        <f t="shared" si="10"/>
        <v>100</v>
      </c>
      <c r="T31" s="964" t="s">
        <v>1391</v>
      </c>
      <c r="U31" s="965">
        <f t="shared" si="11"/>
        <v>100</v>
      </c>
      <c r="V31" s="964" t="s">
        <v>1391</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1416</v>
      </c>
      <c r="Q32" s="863">
        <f t="shared" si="8"/>
        <v>111</v>
      </c>
      <c r="R32" s="964" t="s">
        <v>1391</v>
      </c>
      <c r="S32" s="965">
        <f t="shared" si="10"/>
        <v>100</v>
      </c>
      <c r="T32" s="964" t="s">
        <v>1391</v>
      </c>
      <c r="U32" s="965">
        <f t="shared" si="11"/>
        <v>100</v>
      </c>
      <c r="V32" s="964" t="s">
        <v>1391</v>
      </c>
      <c r="W32" s="965">
        <f t="shared" si="12"/>
        <v>100</v>
      </c>
      <c r="X32" s="951"/>
      <c r="Y32" s="925" t="s">
        <v>1416</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1391</v>
      </c>
      <c r="S33" s="967">
        <f t="shared" si="10"/>
        <v>100</v>
      </c>
      <c r="T33" s="966" t="s">
        <v>1391</v>
      </c>
      <c r="U33" s="967">
        <f t="shared" si="11"/>
        <v>100</v>
      </c>
      <c r="V33" s="966" t="s">
        <v>1391</v>
      </c>
      <c r="W33" s="967">
        <f t="shared" si="12"/>
        <v>100</v>
      </c>
      <c r="X33" s="968"/>
      <c r="Y33" s="925"/>
      <c r="Z33" s="981">
        <f t="shared" si="13"/>
        <v>111</v>
      </c>
      <c r="AA33" s="980">
        <f t="shared" si="3"/>
        <v>1</v>
      </c>
      <c r="AB33" s="980">
        <f t="shared" si="4"/>
        <v>1</v>
      </c>
      <c r="AC33" s="980">
        <f t="shared" si="5"/>
        <v>1</v>
      </c>
    </row>
    <row r="34" ht="15.5" spans="1:29">
      <c r="A34" s="778" t="s">
        <v>1417</v>
      </c>
      <c r="B34" s="812" t="s">
        <v>1418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1391</v>
      </c>
      <c r="S34" s="965" t="e">
        <f t="shared" si="10"/>
        <v>#N/A</v>
      </c>
      <c r="T34" s="964" t="s">
        <v>1391</v>
      </c>
      <c r="U34" s="965" t="e">
        <f t="shared" si="11"/>
        <v>#N/A</v>
      </c>
      <c r="V34" s="964" t="s">
        <v>1391</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1419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1391</v>
      </c>
      <c r="S35" s="965">
        <f t="shared" si="10"/>
        <v>100</v>
      </c>
      <c r="T35" s="964" t="s">
        <v>1391</v>
      </c>
      <c r="U35" s="965">
        <f t="shared" si="11"/>
        <v>100</v>
      </c>
      <c r="V35" s="964" t="s">
        <v>1391</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1423</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1391</v>
      </c>
      <c r="S36" s="960">
        <f t="shared" si="10"/>
        <v>100</v>
      </c>
      <c r="T36" s="959" t="s">
        <v>1391</v>
      </c>
      <c r="U36" s="960">
        <f t="shared" si="11"/>
        <v>100</v>
      </c>
      <c r="V36" s="959" t="s">
        <v>1391</v>
      </c>
      <c r="W36" s="960">
        <f t="shared" si="12"/>
        <v>100</v>
      </c>
      <c r="X36" s="961"/>
      <c r="Y36" s="925"/>
      <c r="Z36" s="979" t="str">
        <f t="shared" si="13"/>
        <v>宗地开发程度</v>
      </c>
      <c r="AA36" s="978">
        <f t="shared" si="3"/>
        <v>1</v>
      </c>
      <c r="AB36" s="978">
        <f t="shared" si="4"/>
        <v>1</v>
      </c>
      <c r="AC36" s="978">
        <f t="shared" si="5"/>
        <v>1</v>
      </c>
    </row>
    <row r="37" ht="15.5" spans="1:29">
      <c r="A37" s="815"/>
      <c r="B37" s="761" t="s">
        <v>1424</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1416</v>
      </c>
      <c r="Q37" s="863" t="str">
        <f t="shared" si="14"/>
        <v>工程地质条件</v>
      </c>
      <c r="R37" s="964" t="s">
        <v>1391</v>
      </c>
      <c r="S37" s="965">
        <f t="shared" si="10"/>
        <v>100</v>
      </c>
      <c r="T37" s="964" t="s">
        <v>1391</v>
      </c>
      <c r="U37" s="965">
        <f t="shared" si="11"/>
        <v>100</v>
      </c>
      <c r="V37" s="964" t="s">
        <v>1391</v>
      </c>
      <c r="W37" s="965">
        <f t="shared" si="12"/>
        <v>100</v>
      </c>
      <c r="X37" s="951"/>
      <c r="Y37" s="925" t="s">
        <v>1416</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1391</v>
      </c>
      <c r="S38" s="965">
        <f t="shared" si="10"/>
        <v>100</v>
      </c>
      <c r="T38" s="964" t="s">
        <v>1391</v>
      </c>
      <c r="U38" s="965">
        <f t="shared" si="11"/>
        <v>100</v>
      </c>
      <c r="V38" s="964" t="s">
        <v>1391</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1391</v>
      </c>
      <c r="S39" s="965">
        <f t="shared" si="10"/>
        <v>100</v>
      </c>
      <c r="T39" s="964" t="s">
        <v>1391</v>
      </c>
      <c r="U39" s="965">
        <f t="shared" si="11"/>
        <v>100</v>
      </c>
      <c r="V39" s="964" t="s">
        <v>1391</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1391</v>
      </c>
      <c r="S40" s="967">
        <f t="shared" si="10"/>
        <v>100</v>
      </c>
      <c r="T40" s="966" t="s">
        <v>1391</v>
      </c>
      <c r="U40" s="967">
        <f t="shared" si="11"/>
        <v>100</v>
      </c>
      <c r="V40" s="966" t="s">
        <v>1391</v>
      </c>
      <c r="W40" s="967">
        <f t="shared" si="12"/>
        <v>100</v>
      </c>
      <c r="X40" s="968"/>
      <c r="Y40" s="925"/>
      <c r="Z40" s="981">
        <f t="shared" si="13"/>
        <v>111</v>
      </c>
      <c r="AA40" s="980">
        <f t="shared" si="3"/>
        <v>1</v>
      </c>
      <c r="AB40" s="980">
        <f t="shared" si="4"/>
        <v>1</v>
      </c>
      <c r="AC40" s="980">
        <f t="shared" si="5"/>
        <v>1</v>
      </c>
    </row>
    <row r="41" spans="1:29">
      <c r="A41" s="822" t="s">
        <v>1425</v>
      </c>
      <c r="B41" s="823" t="s">
        <v>2210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1427</v>
      </c>
      <c r="B42" s="831"/>
      <c r="C42" s="832" t="e">
        <f>R43</f>
        <v>#DIV/0!</v>
      </c>
      <c r="D42" s="833" t="s">
        <v>1428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2133</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1430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1431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1432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1433</v>
      </c>
      <c r="B50" s="851" t="s">
        <v>1434</v>
      </c>
      <c r="C50" s="852" t="s">
        <v>1435</v>
      </c>
      <c r="D50" s="853" t="s">
        <v>1436</v>
      </c>
      <c r="E50" s="854" t="s">
        <v>1437</v>
      </c>
      <c r="F50" s="855" t="s">
        <v>1438</v>
      </c>
      <c r="G50" s="732" t="s">
        <v>1439</v>
      </c>
      <c r="H50" s="856"/>
      <c r="I50" s="937" t="s">
        <v>2211</v>
      </c>
      <c r="J50" s="937">
        <f>项目基本情况!F35</f>
        <v>0</v>
      </c>
      <c r="K50" s="938" t="s">
        <v>1441</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1442</v>
      </c>
      <c r="B51" s="858" t="e">
        <f>C43</f>
        <v>#DIV/0!</v>
      </c>
      <c r="C51" s="859">
        <v>1</v>
      </c>
      <c r="D51" s="860">
        <v>1</v>
      </c>
      <c r="E51" s="859">
        <f>'数据-汇总表'!E8+'数据-汇总表'!E9</f>
        <v>56121.31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1443</v>
      </c>
      <c r="B52" s="410" t="e">
        <f>ROUND($C$43*C52*D52,0)</f>
        <v>#DIV/0!</v>
      </c>
      <c r="C52" s="865">
        <f t="shared" ref="C52:C60" si="16">IF($C$50="北京市系数",I52,J52)</f>
        <v>0</v>
      </c>
      <c r="D52" s="866">
        <v>0.25</v>
      </c>
      <c r="E52" s="867"/>
      <c r="F52" s="861" t="e">
        <f t="shared" si="15"/>
        <v>#DIV/0!</v>
      </c>
      <c r="G52" s="868" t="s">
        <v>1444</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1445</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1446</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1447</v>
      </c>
      <c r="B56" s="410" t="e">
        <f t="shared" si="17"/>
        <v>#DIV/0!</v>
      </c>
      <c r="C56" s="865">
        <f t="shared" si="16"/>
        <v>0</v>
      </c>
      <c r="D56" s="866">
        <v>0.25</v>
      </c>
      <c r="E56" s="409">
        <f>'数据-汇总表'!E11</f>
        <v>0</v>
      </c>
      <c r="F56" s="861" t="e">
        <f t="shared" si="15"/>
        <v>#DIV/0!</v>
      </c>
      <c r="G56" s="872" t="s">
        <v>1448</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1449</v>
      </c>
      <c r="B57" s="410" t="e">
        <f t="shared" si="17"/>
        <v>#DIV/0!</v>
      </c>
      <c r="C57" s="865">
        <f t="shared" si="16"/>
        <v>0</v>
      </c>
      <c r="D57" s="866">
        <v>0.25</v>
      </c>
      <c r="E57" s="409">
        <f>'数据-汇总表'!E12</f>
        <v>0</v>
      </c>
      <c r="F57" s="861" t="e">
        <f t="shared" si="15"/>
        <v>#DIV/0!</v>
      </c>
      <c r="G57" s="873" t="s">
        <v>2212</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1450</v>
      </c>
      <c r="B58" s="410" t="e">
        <f t="shared" si="17"/>
        <v>#DIV/0!</v>
      </c>
      <c r="C58" s="865">
        <f t="shared" si="16"/>
        <v>0</v>
      </c>
      <c r="D58" s="866">
        <v>0.25</v>
      </c>
      <c r="E58" s="409">
        <f>'数据-汇总表'!E13</f>
        <v>0</v>
      </c>
      <c r="F58" s="861" t="e">
        <f t="shared" si="15"/>
        <v>#DIV/0!</v>
      </c>
      <c r="G58" s="873" t="s">
        <v>1451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1452</v>
      </c>
      <c r="B59" s="410" t="e">
        <f t="shared" si="17"/>
        <v>#DIV/0!</v>
      </c>
      <c r="C59" s="865">
        <f t="shared" si="16"/>
        <v>0</v>
      </c>
      <c r="D59" s="866">
        <v>0.25</v>
      </c>
      <c r="E59" s="409">
        <f>'数据-汇总表'!E14</f>
        <v>10241.95</v>
      </c>
      <c r="F59" s="861" t="e">
        <f t="shared" si="15"/>
        <v>#DIV/0!</v>
      </c>
      <c r="G59" s="872" t="s">
        <v>1444</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1453</v>
      </c>
      <c r="B60" s="410" t="e">
        <f t="shared" si="17"/>
        <v>#DIV/0!</v>
      </c>
      <c r="C60" s="865">
        <f t="shared" si="16"/>
        <v>0</v>
      </c>
      <c r="D60" s="866">
        <v>0.25</v>
      </c>
      <c r="E60" s="409">
        <f>'数据-汇总表'!E15</f>
        <v>0</v>
      </c>
      <c r="F60" s="861" t="e">
        <f t="shared" si="15"/>
        <v>#DIV/0!</v>
      </c>
      <c r="G60" s="874" t="s">
        <v>1448</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1454</v>
      </c>
      <c r="B61" s="877" t="s">
        <v>1455</v>
      </c>
      <c r="C61" s="877" t="s">
        <v>1455</v>
      </c>
      <c r="D61" s="877" t="s">
        <v>1455</v>
      </c>
      <c r="E61" s="877">
        <f>IF(B41="楼面地价",SUM(E51:E60),'数据-汇总表'!D3)</f>
        <v>11645.87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2024-12-1</v>
      </c>
      <c r="D63" s="883">
        <f>EDATE(C63,-3)</f>
        <v>45536</v>
      </c>
      <c r="E63" s="883">
        <f>EDATE(D63,-3)</f>
        <v>45444</v>
      </c>
      <c r="F63" s="883">
        <f t="shared" ref="F63:O63" si="18">EDATE(E63,-3)</f>
        <v>45352</v>
      </c>
      <c r="G63" s="883">
        <f t="shared" si="18"/>
        <v>45261</v>
      </c>
      <c r="H63" s="883">
        <f t="shared" si="18"/>
        <v>45170</v>
      </c>
      <c r="I63" s="883">
        <f t="shared" si="18"/>
        <v>45078</v>
      </c>
      <c r="J63" s="883">
        <f t="shared" si="18"/>
        <v>44986</v>
      </c>
      <c r="K63" s="883">
        <f t="shared" si="18"/>
        <v>44896</v>
      </c>
      <c r="L63" s="883">
        <f t="shared" si="18"/>
        <v>44805</v>
      </c>
      <c r="M63" s="883">
        <f t="shared" si="18"/>
        <v>44713</v>
      </c>
      <c r="N63" s="883">
        <f t="shared" si="18"/>
        <v>44621</v>
      </c>
      <c r="O63" s="883">
        <f t="shared" si="18"/>
        <v>44531</v>
      </c>
      <c r="P63" s="839"/>
      <c r="Q63" s="839"/>
      <c r="R63" s="839"/>
      <c r="S63" s="839"/>
      <c r="T63" s="839"/>
      <c r="U63" s="839"/>
      <c r="V63" s="839"/>
      <c r="W63" s="839"/>
      <c r="X63" s="839"/>
      <c r="Y63" s="839"/>
      <c r="Z63" s="839"/>
      <c r="AA63" s="839"/>
      <c r="AB63" s="839"/>
      <c r="AC63" s="839"/>
      <c r="AD63" s="839"/>
      <c r="AE63" s="839"/>
    </row>
    <row r="64" ht="21.75" spans="1:31">
      <c r="A64" s="884" t="s">
        <v>1456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1457</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2213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1459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1392</v>
      </c>
      <c r="B68" s="995"/>
      <c r="C68" s="996" t="s">
        <v>1393</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1460</v>
      </c>
      <c r="B70" s="1001" t="s">
        <v>1397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1400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1401</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1403</v>
      </c>
      <c r="B83" s="1001" t="s">
        <v>2176</v>
      </c>
      <c r="C83" s="1022" t="s">
        <v>1271</v>
      </c>
      <c r="D83" s="1022" t="s">
        <v>1272</v>
      </c>
      <c r="E83" s="1022" t="s">
        <v>1273</v>
      </c>
      <c r="F83" s="1022" t="s">
        <v>1274</v>
      </c>
      <c r="G83" s="1022" t="s">
        <v>1275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1408</v>
      </c>
      <c r="C85" s="1024" t="s">
        <v>1271</v>
      </c>
      <c r="D85" s="1024" t="s">
        <v>1272</v>
      </c>
      <c r="E85" s="1024" t="s">
        <v>1273</v>
      </c>
      <c r="F85" s="1024" t="s">
        <v>1274</v>
      </c>
      <c r="G85" s="1024" t="s">
        <v>1275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1409</v>
      </c>
      <c r="C87" s="1022" t="s">
        <v>1271</v>
      </c>
      <c r="D87" s="1022" t="s">
        <v>1272</v>
      </c>
      <c r="E87" s="1022" t="s">
        <v>1273</v>
      </c>
      <c r="F87" s="1022" t="s">
        <v>1274</v>
      </c>
      <c r="G87" s="1022" t="s">
        <v>1275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1410</v>
      </c>
      <c r="C89" s="1022" t="s">
        <v>1271</v>
      </c>
      <c r="D89" s="1022" t="s">
        <v>1272</v>
      </c>
      <c r="E89" s="1022" t="s">
        <v>1273</v>
      </c>
      <c r="F89" s="1022" t="s">
        <v>1274</v>
      </c>
      <c r="G89" s="1022" t="s">
        <v>1275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1411</v>
      </c>
      <c r="C91" s="1022" t="s">
        <v>1271</v>
      </c>
      <c r="D91" s="1022" t="s">
        <v>1272</v>
      </c>
      <c r="E91" s="1022" t="s">
        <v>1273</v>
      </c>
      <c r="F91" s="1022" t="s">
        <v>1274</v>
      </c>
      <c r="G91" s="1022" t="s">
        <v>1275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1412</v>
      </c>
      <c r="C93" s="1029" t="s">
        <v>1463</v>
      </c>
      <c r="D93" s="1029" t="s">
        <v>1464</v>
      </c>
      <c r="E93" s="1029" t="s">
        <v>1465</v>
      </c>
      <c r="F93" s="1029" t="s">
        <v>1466</v>
      </c>
      <c r="G93" s="1029" t="s">
        <v>1467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1468</v>
      </c>
      <c r="D95" s="1006" t="s">
        <v>1469</v>
      </c>
      <c r="E95" s="1006" t="s">
        <v>1470</v>
      </c>
      <c r="F95" s="1006" t="s">
        <v>1471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1414</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1415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1417</v>
      </c>
      <c r="B107" s="1001" t="s">
        <v>1418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1419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1423</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1424</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2214</v>
      </c>
      <c r="C1" s="590" t="s">
        <v>2215</v>
      </c>
      <c r="D1" s="591"/>
      <c r="E1" s="591"/>
      <c r="F1" s="591"/>
      <c r="G1" s="591"/>
      <c r="H1" s="591"/>
      <c r="I1" s="591"/>
      <c r="J1" s="591"/>
      <c r="K1" s="591"/>
      <c r="L1" s="591"/>
      <c r="M1" s="591"/>
      <c r="N1" s="591"/>
      <c r="O1" s="591"/>
      <c r="P1" s="591"/>
      <c r="Q1" s="591"/>
      <c r="R1" s="591"/>
      <c r="S1" s="675"/>
      <c r="T1" s="589" t="s">
        <v>1182</v>
      </c>
    </row>
    <row r="2" s="579" customFormat="1" ht="13"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2216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2217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2218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2219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2220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2221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2222</v>
      </c>
      <c r="B17" s="625" t="s">
        <v>2223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2224</v>
      </c>
      <c r="E19" s="635"/>
      <c r="F19" s="635"/>
      <c r="G19" s="635"/>
      <c r="H19" s="636"/>
      <c r="I19" s="633"/>
      <c r="J19" s="633"/>
      <c r="K19" s="633"/>
      <c r="L19" s="633"/>
      <c r="M19" s="633"/>
      <c r="N19" s="633"/>
      <c r="O19" s="633"/>
      <c r="P19" s="633"/>
      <c r="Q19" s="633"/>
      <c r="R19" s="702"/>
      <c r="S19" s="632"/>
    </row>
    <row r="20" ht="16.25" spans="1:19">
      <c r="A20" s="637" t="s">
        <v>2225</v>
      </c>
      <c r="B20" s="638" t="e">
        <f ca="1">IF(D20="——",S22,S22-F20)</f>
        <v>#REF!</v>
      </c>
      <c r="C20" s="633"/>
      <c r="D20" s="639"/>
      <c r="E20" s="640"/>
      <c r="F20" s="589" t="e">
        <f ca="1">SUMIF(INDIRECT("'"&amp;H20&amp;"'"&amp;"!A:A"),"承租人权益价值",INDIRECT("'"&amp;H20&amp;"'"&amp;"!c:c"))</f>
        <v>#REF!</v>
      </c>
      <c r="G20" s="589" t="s">
        <v>819</v>
      </c>
      <c r="H20" s="641"/>
      <c r="I20" s="633"/>
      <c r="J20" s="633"/>
      <c r="K20" s="633"/>
      <c r="L20" s="633"/>
      <c r="M20" s="633"/>
      <c r="N20" s="633"/>
      <c r="O20" s="633"/>
      <c r="P20" s="633"/>
      <c r="Q20" s="633"/>
      <c r="R20" s="702"/>
      <c r="S20" s="632"/>
    </row>
    <row r="21" ht="15.5" spans="1:19">
      <c r="A21" s="637" t="s">
        <v>2226</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2227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2228</v>
      </c>
      <c r="B23" s="646" t="s">
        <v>456</v>
      </c>
      <c r="C23" s="646" t="s">
        <v>1182</v>
      </c>
      <c r="D23" s="646" t="str">
        <f>B5</f>
        <v>修正项2</v>
      </c>
      <c r="E23" s="646" t="s">
        <v>1182</v>
      </c>
      <c r="F23" s="646" t="str">
        <f>B7</f>
        <v>修正项3</v>
      </c>
      <c r="G23" s="646" t="s">
        <v>1182</v>
      </c>
      <c r="H23" s="646" t="str">
        <f>B9</f>
        <v>修正项4</v>
      </c>
      <c r="I23" s="646" t="s">
        <v>1182</v>
      </c>
      <c r="J23" s="646" t="str">
        <f>B11</f>
        <v>修正项5</v>
      </c>
      <c r="K23" s="646" t="s">
        <v>1182</v>
      </c>
      <c r="L23" s="646" t="str">
        <f>B13</f>
        <v>修正项6</v>
      </c>
      <c r="M23" s="646" t="s">
        <v>1182</v>
      </c>
      <c r="N23" s="646" t="str">
        <f>B15</f>
        <v>修正项7</v>
      </c>
      <c r="O23" s="646" t="s">
        <v>1182</v>
      </c>
      <c r="P23" s="646" t="str">
        <f>B17</f>
        <v>楼层</v>
      </c>
      <c r="Q23" s="646" t="s">
        <v>1182</v>
      </c>
      <c r="R23" s="705" t="s">
        <v>2229</v>
      </c>
      <c r="S23" s="646" t="s">
        <v>2230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2231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2232</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2233</v>
      </c>
      <c r="D2" s="570" t="s">
        <v>2234</v>
      </c>
      <c r="E2" s="572">
        <f ca="1">SUMIF(E6:E13,"&lt;&gt;#ref!",E6:E13)</f>
        <v>56121.31</v>
      </c>
      <c r="F2" s="569"/>
      <c r="G2" s="569"/>
      <c r="H2" s="569"/>
      <c r="I2" s="569"/>
      <c r="J2" s="569"/>
      <c r="K2" s="569"/>
      <c r="L2" s="569"/>
      <c r="M2" s="569"/>
      <c r="N2" s="569"/>
      <c r="O2" s="569"/>
      <c r="P2" s="569"/>
    </row>
    <row r="3" ht="15.5" spans="1:16">
      <c r="A3" s="570" t="s">
        <v>2235</v>
      </c>
      <c r="B3" s="571" t="e">
        <f ca="1">ROUND(B2*10000/E2,0)</f>
        <v>#DIV/0!</v>
      </c>
      <c r="C3" s="570" t="s">
        <v>2236</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2237</v>
      </c>
      <c r="B5" s="575" t="s">
        <v>2238</v>
      </c>
      <c r="C5" s="576"/>
      <c r="D5" s="569"/>
      <c r="E5" s="577" t="s">
        <v>2239</v>
      </c>
      <c r="F5" s="569"/>
      <c r="G5" s="569"/>
      <c r="H5" s="569"/>
      <c r="I5" s="569"/>
      <c r="J5" s="569"/>
      <c r="K5" s="569"/>
      <c r="L5" s="569"/>
      <c r="M5" s="569"/>
      <c r="N5" s="569"/>
      <c r="O5" s="569"/>
      <c r="P5" s="569"/>
    </row>
    <row r="6" ht="15" spans="1:16">
      <c r="A6" s="578" t="s">
        <v>2240</v>
      </c>
      <c r="B6" s="571" t="e">
        <f ca="1">SUMIF(INDIRECT("'"&amp;A6&amp;"'"&amp;"!A:A"),"总价",INDIRECT("'"&amp;A6&amp;"'"&amp;"!B:B"))</f>
        <v>#DIV/0!</v>
      </c>
      <c r="C6" s="570" t="s">
        <v>2233</v>
      </c>
      <c r="D6" s="569"/>
      <c r="E6" s="572">
        <f ca="1">SUMIF(INDIRECT("'"&amp;A6&amp;"'"&amp;"!C:C"),"建筑面积",INDIRECT("'"&amp;A6&amp;"'"&amp;"!D:D"))</f>
        <v>56121.31</v>
      </c>
      <c r="F6" s="569"/>
      <c r="G6" s="569"/>
      <c r="H6" s="569"/>
      <c r="I6" s="569"/>
      <c r="J6" s="569"/>
      <c r="K6" s="569"/>
      <c r="L6" s="569"/>
      <c r="M6" s="569"/>
      <c r="N6" s="569"/>
      <c r="O6" s="569"/>
      <c r="P6" s="569"/>
    </row>
    <row r="7" ht="15.5" spans="1:16">
      <c r="A7" s="578"/>
      <c r="B7" s="571" t="e">
        <f ca="1">SUMIF(INDIRECT("'"&amp;A7&amp;"'"&amp;"!A:A"),"总价",INDIRECT("'"&amp;A7&amp;"'"&amp;"!B:B"))</f>
        <v>#REF!</v>
      </c>
      <c r="C7" s="570" t="s">
        <v>2233</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2233</v>
      </c>
      <c r="D8" s="569"/>
      <c r="E8" s="572" t="e">
        <f ca="1" t="shared" si="0"/>
        <v>#REF!</v>
      </c>
      <c r="F8" s="569"/>
      <c r="G8" s="569"/>
      <c r="H8" s="569"/>
      <c r="I8" s="569"/>
      <c r="J8" s="569"/>
      <c r="K8" s="569"/>
      <c r="L8" s="569"/>
      <c r="M8" s="569"/>
      <c r="N8" s="569"/>
      <c r="O8" s="569"/>
      <c r="P8" s="569"/>
    </row>
    <row r="9" ht="15.5" spans="1:16">
      <c r="A9" s="578"/>
      <c r="B9" s="571" t="e">
        <f ca="1" t="shared" si="1"/>
        <v>#REF!</v>
      </c>
      <c r="C9" s="570" t="s">
        <v>2233</v>
      </c>
      <c r="D9" s="569"/>
      <c r="E9" s="572" t="e">
        <f ca="1" t="shared" si="0"/>
        <v>#REF!</v>
      </c>
      <c r="F9" s="569"/>
      <c r="G9" s="569"/>
      <c r="H9" s="569"/>
      <c r="I9" s="569"/>
      <c r="J9" s="569"/>
      <c r="K9" s="569"/>
      <c r="L9" s="569"/>
      <c r="M9" s="569"/>
      <c r="N9" s="569"/>
      <c r="O9" s="569"/>
      <c r="P9" s="569"/>
    </row>
    <row r="10" ht="15.5" spans="1:16">
      <c r="A10" s="578"/>
      <c r="B10" s="571" t="e">
        <f ca="1" t="shared" si="1"/>
        <v>#REF!</v>
      </c>
      <c r="C10" s="570" t="s">
        <v>2233</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2233</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2233</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2233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1956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2241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2242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2243</v>
      </c>
      <c r="B18" s="517"/>
      <c r="C18" s="518"/>
      <c r="D18" s="518"/>
      <c r="E18" s="517"/>
      <c r="F18" s="518"/>
      <c r="G18" s="518"/>
    </row>
    <row r="19" customHeight="1" spans="1:7">
      <c r="A19" s="516" t="s">
        <v>2244</v>
      </c>
      <c r="B19" s="519" t="s">
        <v>2245</v>
      </c>
      <c r="C19" s="519" t="s">
        <v>2246</v>
      </c>
      <c r="D19" s="520"/>
      <c r="E19" s="516" t="s">
        <v>2247</v>
      </c>
      <c r="F19" s="521"/>
      <c r="G19" s="521"/>
    </row>
    <row r="20" customHeight="1" spans="1:7">
      <c r="A20" s="522" t="s">
        <v>549</v>
      </c>
      <c r="B20" s="523" t="s">
        <v>2248</v>
      </c>
      <c r="C20" s="524" t="s">
        <v>1687</v>
      </c>
      <c r="D20" s="525"/>
      <c r="E20" s="526">
        <v>1</v>
      </c>
      <c r="F20" s="527" t="s">
        <v>2249</v>
      </c>
      <c r="G20" s="527"/>
    </row>
    <row r="21" customHeight="1" spans="1:7">
      <c r="A21" s="528"/>
      <c r="B21" s="529"/>
      <c r="C21" s="530" t="s">
        <v>2250</v>
      </c>
      <c r="D21" s="531"/>
      <c r="E21" s="532">
        <v>1</v>
      </c>
      <c r="F21" s="527" t="s">
        <v>2251</v>
      </c>
      <c r="G21" s="527"/>
    </row>
    <row r="22" customHeight="1" spans="1:7">
      <c r="A22" s="528"/>
      <c r="B22" s="529"/>
      <c r="C22" s="530" t="s">
        <v>2252</v>
      </c>
      <c r="D22" s="531"/>
      <c r="E22" s="532">
        <v>0.9</v>
      </c>
      <c r="F22" s="527" t="s">
        <v>2253</v>
      </c>
      <c r="G22" s="527"/>
    </row>
    <row r="23" customHeight="1" spans="1:7">
      <c r="A23" s="528"/>
      <c r="B23" s="529"/>
      <c r="C23" s="530" t="s">
        <v>1695</v>
      </c>
      <c r="D23" s="531"/>
      <c r="E23" s="532">
        <v>0.9</v>
      </c>
      <c r="F23" s="527" t="s">
        <v>2254</v>
      </c>
      <c r="G23" s="527"/>
    </row>
    <row r="24" customHeight="1" spans="1:7">
      <c r="A24" s="528"/>
      <c r="B24" s="529"/>
      <c r="C24" s="530" t="s">
        <v>2255</v>
      </c>
      <c r="D24" s="531"/>
      <c r="E24" s="532">
        <v>0.8</v>
      </c>
      <c r="F24" s="527" t="s">
        <v>2256</v>
      </c>
      <c r="G24" s="527"/>
    </row>
    <row r="25" customHeight="1" spans="1:7">
      <c r="A25" s="533"/>
      <c r="B25" s="534"/>
      <c r="C25" s="535" t="s">
        <v>2257</v>
      </c>
      <c r="D25" s="536"/>
      <c r="E25" s="537">
        <v>0.8</v>
      </c>
      <c r="F25" s="527" t="s">
        <v>2258</v>
      </c>
      <c r="G25" s="527"/>
    </row>
    <row r="26" customHeight="1" spans="1:7">
      <c r="A26" s="538" t="s">
        <v>1956</v>
      </c>
      <c r="B26" s="539" t="s">
        <v>2248</v>
      </c>
      <c r="C26" s="540" t="s">
        <v>1700</v>
      </c>
      <c r="D26" s="541"/>
      <c r="E26" s="542">
        <v>1</v>
      </c>
      <c r="F26" s="527" t="s">
        <v>2259</v>
      </c>
      <c r="G26" s="527"/>
    </row>
    <row r="27" customHeight="1" spans="1:7">
      <c r="A27" s="543" t="s">
        <v>280</v>
      </c>
      <c r="B27" s="523" t="s">
        <v>280</v>
      </c>
      <c r="C27" s="524" t="s">
        <v>2260</v>
      </c>
      <c r="D27" s="525"/>
      <c r="E27" s="526">
        <v>1</v>
      </c>
      <c r="F27" s="527" t="s">
        <v>2261</v>
      </c>
      <c r="G27" s="527"/>
    </row>
    <row r="28" customHeight="1" spans="1:7">
      <c r="A28" s="544"/>
      <c r="B28" s="529"/>
      <c r="C28" s="530" t="s">
        <v>2262</v>
      </c>
      <c r="D28" s="531"/>
      <c r="E28" s="532">
        <v>1</v>
      </c>
      <c r="F28" s="527" t="s">
        <v>2263</v>
      </c>
      <c r="G28" s="527"/>
    </row>
    <row r="29" customHeight="1" spans="1:7">
      <c r="A29" s="544"/>
      <c r="B29" s="529"/>
      <c r="C29" s="530" t="s">
        <v>2264</v>
      </c>
      <c r="D29" s="531"/>
      <c r="E29" s="532">
        <v>0.8</v>
      </c>
      <c r="F29" s="527" t="s">
        <v>2265</v>
      </c>
      <c r="G29" s="527"/>
    </row>
    <row r="30" customHeight="1" spans="1:7">
      <c r="A30" s="544"/>
      <c r="B30" s="529"/>
      <c r="C30" s="530" t="s">
        <v>2266</v>
      </c>
      <c r="D30" s="531"/>
      <c r="E30" s="532">
        <v>0.8</v>
      </c>
      <c r="F30" s="527" t="s">
        <v>2267</v>
      </c>
      <c r="G30" s="527"/>
    </row>
    <row r="31" customHeight="1" spans="1:7">
      <c r="A31" s="544"/>
      <c r="B31" s="529"/>
      <c r="C31" s="530" t="s">
        <v>2268</v>
      </c>
      <c r="D31" s="531"/>
      <c r="E31" s="532">
        <v>0.8</v>
      </c>
      <c r="F31" s="527" t="s">
        <v>2269</v>
      </c>
      <c r="G31" s="527"/>
    </row>
    <row r="32" customHeight="1" spans="1:7">
      <c r="A32" s="544"/>
      <c r="B32" s="529"/>
      <c r="C32" s="530" t="s">
        <v>2270</v>
      </c>
      <c r="D32" s="531"/>
      <c r="E32" s="532">
        <v>0.7</v>
      </c>
      <c r="F32" s="527" t="s">
        <v>2271</v>
      </c>
      <c r="G32" s="527"/>
    </row>
    <row r="33" customHeight="1" spans="1:7">
      <c r="A33" s="544"/>
      <c r="B33" s="529"/>
      <c r="C33" s="530" t="s">
        <v>2272</v>
      </c>
      <c r="D33" s="531"/>
      <c r="E33" s="532">
        <v>0.8</v>
      </c>
      <c r="F33" s="527" t="s">
        <v>2273</v>
      </c>
      <c r="G33" s="527"/>
    </row>
    <row r="34" customHeight="1" spans="1:7">
      <c r="A34" s="544"/>
      <c r="B34" s="529"/>
      <c r="C34" s="530" t="s">
        <v>2274</v>
      </c>
      <c r="D34" s="531"/>
      <c r="E34" s="532">
        <v>0.6</v>
      </c>
      <c r="F34" s="527" t="s">
        <v>2275</v>
      </c>
      <c r="G34" s="527"/>
    </row>
    <row r="35" customHeight="1" spans="1:7">
      <c r="A35" s="544"/>
      <c r="B35" s="529"/>
      <c r="C35" s="530" t="s">
        <v>2276</v>
      </c>
      <c r="D35" s="531"/>
      <c r="E35" s="532">
        <v>0.2</v>
      </c>
      <c r="F35" s="527" t="s">
        <v>2277</v>
      </c>
      <c r="G35" s="527"/>
    </row>
    <row r="36" customHeight="1" spans="1:7">
      <c r="A36" s="544"/>
      <c r="B36" s="529"/>
      <c r="C36" s="530" t="s">
        <v>2278</v>
      </c>
      <c r="D36" s="531"/>
      <c r="E36" s="532">
        <v>0.2</v>
      </c>
      <c r="F36" s="527" t="s">
        <v>2279</v>
      </c>
      <c r="G36" s="527"/>
    </row>
    <row r="37" customHeight="1" spans="1:7">
      <c r="A37" s="544"/>
      <c r="B37" s="545" t="s">
        <v>2280</v>
      </c>
      <c r="C37" s="530" t="s">
        <v>2281</v>
      </c>
      <c r="D37" s="531"/>
      <c r="E37" s="532">
        <v>0.6</v>
      </c>
      <c r="F37" s="527" t="s">
        <v>2282</v>
      </c>
      <c r="G37" s="527"/>
    </row>
    <row r="38" customHeight="1" spans="1:7">
      <c r="A38" s="544"/>
      <c r="B38" s="529"/>
      <c r="C38" s="530" t="s">
        <v>2283</v>
      </c>
      <c r="D38" s="531"/>
      <c r="E38" s="532">
        <v>0.6</v>
      </c>
      <c r="F38" s="527" t="s">
        <v>2284</v>
      </c>
      <c r="G38" s="527"/>
    </row>
    <row r="39" customHeight="1" spans="1:7">
      <c r="A39" s="546"/>
      <c r="B39" s="534"/>
      <c r="C39" s="535" t="s">
        <v>2285</v>
      </c>
      <c r="D39" s="536"/>
      <c r="E39" s="537">
        <v>0.6</v>
      </c>
      <c r="F39" s="527" t="s">
        <v>2286</v>
      </c>
      <c r="G39" s="527"/>
    </row>
    <row r="40" customHeight="1" spans="1:7">
      <c r="A40" s="538" t="s">
        <v>412</v>
      </c>
      <c r="B40" s="539" t="s">
        <v>412</v>
      </c>
      <c r="C40" s="540" t="s">
        <v>1120</v>
      </c>
      <c r="D40" s="541"/>
      <c r="E40" s="542">
        <v>1</v>
      </c>
      <c r="F40" s="527" t="s">
        <v>2287</v>
      </c>
      <c r="G40" s="527"/>
    </row>
    <row r="41" customHeight="1" spans="1:7">
      <c r="A41" s="522" t="s">
        <v>408</v>
      </c>
      <c r="B41" s="523" t="s">
        <v>2288</v>
      </c>
      <c r="C41" s="524" t="s">
        <v>2289</v>
      </c>
      <c r="D41" s="525"/>
      <c r="E41" s="526">
        <v>1</v>
      </c>
      <c r="F41" s="527" t="s">
        <v>2290</v>
      </c>
      <c r="G41" s="527"/>
    </row>
    <row r="42" customHeight="1" spans="1:7">
      <c r="A42" s="528"/>
      <c r="B42" s="529"/>
      <c r="C42" s="530" t="s">
        <v>2291</v>
      </c>
      <c r="D42" s="531"/>
      <c r="E42" s="532">
        <v>1</v>
      </c>
      <c r="F42" s="527" t="s">
        <v>2292</v>
      </c>
      <c r="G42" s="527"/>
    </row>
    <row r="43" customHeight="1" spans="1:7">
      <c r="A43" s="528"/>
      <c r="B43" s="547"/>
      <c r="C43" s="530" t="s">
        <v>2293</v>
      </c>
      <c r="D43" s="531"/>
      <c r="E43" s="532">
        <v>1.5</v>
      </c>
      <c r="F43" s="527" t="s">
        <v>2294</v>
      </c>
      <c r="G43" s="527"/>
    </row>
    <row r="44" customHeight="1" spans="1:7">
      <c r="A44" s="528"/>
      <c r="B44" s="548" t="s">
        <v>280</v>
      </c>
      <c r="C44" s="530" t="s">
        <v>2241</v>
      </c>
      <c r="D44" s="531"/>
      <c r="E44" s="532">
        <v>2</v>
      </c>
      <c r="F44" s="527" t="s">
        <v>2295</v>
      </c>
      <c r="G44" s="527"/>
    </row>
    <row r="45" customHeight="1" spans="1:7">
      <c r="A45" s="528"/>
      <c r="B45" s="545" t="s">
        <v>2296</v>
      </c>
      <c r="C45" s="530" t="s">
        <v>2297</v>
      </c>
      <c r="D45" s="531"/>
      <c r="E45" s="532">
        <v>1</v>
      </c>
      <c r="F45" s="527" t="s">
        <v>2298</v>
      </c>
      <c r="G45" s="527"/>
    </row>
    <row r="46" customHeight="1" spans="1:7">
      <c r="A46" s="528"/>
      <c r="B46" s="529"/>
      <c r="C46" s="530" t="s">
        <v>2299</v>
      </c>
      <c r="D46" s="531"/>
      <c r="E46" s="532">
        <v>1</v>
      </c>
      <c r="F46" s="527" t="s">
        <v>2300</v>
      </c>
      <c r="G46" s="527"/>
    </row>
    <row r="47" customHeight="1" spans="1:7">
      <c r="A47" s="528"/>
      <c r="B47" s="529"/>
      <c r="C47" s="530" t="s">
        <v>2301</v>
      </c>
      <c r="D47" s="531"/>
      <c r="E47" s="532">
        <v>1</v>
      </c>
      <c r="F47" s="527" t="s">
        <v>2302</v>
      </c>
      <c r="G47" s="527"/>
    </row>
    <row r="48" customHeight="1" spans="1:7">
      <c r="A48" s="528"/>
      <c r="B48" s="529"/>
      <c r="C48" s="530" t="s">
        <v>2303</v>
      </c>
      <c r="D48" s="531"/>
      <c r="E48" s="532">
        <v>1</v>
      </c>
      <c r="F48" s="527" t="s">
        <v>2304</v>
      </c>
      <c r="G48" s="527"/>
    </row>
    <row r="49" customHeight="1" spans="1:7">
      <c r="A49" s="528"/>
      <c r="B49" s="529"/>
      <c r="C49" s="530" t="s">
        <v>2305</v>
      </c>
      <c r="D49" s="531"/>
      <c r="E49" s="532">
        <v>1</v>
      </c>
      <c r="F49" s="527" t="s">
        <v>2306</v>
      </c>
      <c r="G49" s="527"/>
    </row>
    <row r="50" customHeight="1" spans="1:7">
      <c r="A50" s="528"/>
      <c r="B50" s="529"/>
      <c r="C50" s="530" t="s">
        <v>2307</v>
      </c>
      <c r="D50" s="531"/>
      <c r="E50" s="532">
        <v>1</v>
      </c>
      <c r="F50" s="527" t="s">
        <v>2308</v>
      </c>
      <c r="G50" s="527"/>
    </row>
    <row r="51" customHeight="1" spans="1:7">
      <c r="A51" s="533"/>
      <c r="B51" s="534"/>
      <c r="C51" s="535" t="s">
        <v>2309</v>
      </c>
      <c r="D51" s="536"/>
      <c r="E51" s="537">
        <v>1</v>
      </c>
      <c r="F51" s="527" t="s">
        <v>2310</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2311</v>
      </c>
      <c r="G54" s="516" t="s">
        <v>543</v>
      </c>
    </row>
    <row r="55" customHeight="1" spans="1:7">
      <c r="A55" s="551"/>
      <c r="B55" s="516" t="s">
        <v>549</v>
      </c>
      <c r="C55" s="516" t="s">
        <v>549</v>
      </c>
      <c r="D55" s="516" t="s">
        <v>549</v>
      </c>
      <c r="E55" s="514" t="s">
        <v>1956</v>
      </c>
      <c r="F55" s="514" t="s">
        <v>408</v>
      </c>
      <c r="G55" s="514" t="s">
        <v>2191</v>
      </c>
    </row>
    <row r="56" customHeight="1" spans="1:7">
      <c r="A56" s="552"/>
      <c r="B56" s="514">
        <v>1</v>
      </c>
      <c r="C56" s="514">
        <v>2</v>
      </c>
      <c r="D56" s="514">
        <v>3</v>
      </c>
      <c r="E56" s="553" t="s">
        <v>2312</v>
      </c>
      <c r="F56" s="553" t="s">
        <v>2312</v>
      </c>
      <c r="G56" s="553" t="s">
        <v>2312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2313</v>
      </c>
      <c r="E70" s="565"/>
      <c r="F70" s="565"/>
    </row>
    <row r="71" customHeight="1" spans="1:6">
      <c r="A71" s="548" t="s">
        <v>2314</v>
      </c>
      <c r="B71" s="548" t="s">
        <v>2315</v>
      </c>
      <c r="C71" s="548" t="s">
        <v>2316</v>
      </c>
      <c r="D71" s="548" t="s">
        <v>2317</v>
      </c>
      <c r="E71" s="548" t="s">
        <v>2318</v>
      </c>
      <c r="F71" s="548" t="s">
        <v>2319</v>
      </c>
    </row>
    <row r="72" ht="14" spans="1:6">
      <c r="A72" s="548"/>
      <c r="B72" s="548"/>
      <c r="C72" s="548" t="s">
        <v>2320</v>
      </c>
      <c r="D72" s="548"/>
      <c r="E72" s="548" t="s">
        <v>124</v>
      </c>
      <c r="F72" s="548" t="s">
        <v>124</v>
      </c>
    </row>
    <row r="73" ht="14" spans="1:6">
      <c r="A73" s="548">
        <v>1</v>
      </c>
      <c r="B73" s="545" t="s">
        <v>2321</v>
      </c>
      <c r="C73" s="514" t="s">
        <v>2322</v>
      </c>
      <c r="D73" s="514" t="s">
        <v>2323</v>
      </c>
      <c r="E73" s="548">
        <v>0.2</v>
      </c>
      <c r="F73" s="548">
        <v>25</v>
      </c>
    </row>
    <row r="74" ht="26" spans="1:6">
      <c r="A74" s="548">
        <v>2</v>
      </c>
      <c r="B74" s="529"/>
      <c r="C74" s="514" t="s">
        <v>2324</v>
      </c>
      <c r="D74" s="514" t="s">
        <v>2325</v>
      </c>
      <c r="E74" s="548">
        <v>0.2</v>
      </c>
      <c r="F74" s="548">
        <v>25</v>
      </c>
    </row>
    <row r="75" ht="26" spans="1:6">
      <c r="A75" s="548">
        <v>3</v>
      </c>
      <c r="B75" s="529"/>
      <c r="C75" s="514" t="s">
        <v>2326</v>
      </c>
      <c r="D75" s="514" t="s">
        <v>2327</v>
      </c>
      <c r="E75" s="548">
        <v>0.2</v>
      </c>
      <c r="F75" s="548">
        <v>25</v>
      </c>
    </row>
    <row r="76" ht="14" spans="1:6">
      <c r="A76" s="548">
        <v>4</v>
      </c>
      <c r="B76" s="529"/>
      <c r="C76" s="514" t="s">
        <v>2328</v>
      </c>
      <c r="D76" s="514" t="s">
        <v>2329</v>
      </c>
      <c r="E76" s="548">
        <v>0.15</v>
      </c>
      <c r="F76" s="548">
        <v>20</v>
      </c>
    </row>
    <row r="77" ht="26" spans="1:6">
      <c r="A77" s="548">
        <v>5</v>
      </c>
      <c r="B77" s="529"/>
      <c r="C77" s="514" t="s">
        <v>2330</v>
      </c>
      <c r="D77" s="514" t="s">
        <v>2331</v>
      </c>
      <c r="E77" s="548">
        <v>0.15</v>
      </c>
      <c r="F77" s="548">
        <v>20</v>
      </c>
    </row>
    <row r="78" ht="26" spans="1:6">
      <c r="A78" s="548">
        <v>6</v>
      </c>
      <c r="B78" s="529"/>
      <c r="C78" s="514" t="s">
        <v>2332</v>
      </c>
      <c r="D78" s="514" t="s">
        <v>2333</v>
      </c>
      <c r="E78" s="548">
        <v>0.15</v>
      </c>
      <c r="F78" s="548">
        <v>20</v>
      </c>
    </row>
    <row r="79" ht="26" spans="1:6">
      <c r="A79" s="548">
        <v>7</v>
      </c>
      <c r="B79" s="529"/>
      <c r="C79" s="514" t="s">
        <v>2334</v>
      </c>
      <c r="D79" s="514" t="s">
        <v>2335</v>
      </c>
      <c r="E79" s="548">
        <v>0.15</v>
      </c>
      <c r="F79" s="548">
        <v>20</v>
      </c>
    </row>
    <row r="80" ht="26" spans="1:6">
      <c r="A80" s="548">
        <v>8</v>
      </c>
      <c r="B80" s="529"/>
      <c r="C80" s="514" t="s">
        <v>2336</v>
      </c>
      <c r="D80" s="514" t="s">
        <v>2337</v>
      </c>
      <c r="E80" s="548">
        <v>0.1</v>
      </c>
      <c r="F80" s="548">
        <v>15</v>
      </c>
    </row>
    <row r="81" ht="26" spans="1:6">
      <c r="A81" s="548">
        <v>9</v>
      </c>
      <c r="B81" s="529"/>
      <c r="C81" s="514" t="s">
        <v>2338</v>
      </c>
      <c r="D81" s="514" t="s">
        <v>2339</v>
      </c>
      <c r="E81" s="548">
        <v>0.1</v>
      </c>
      <c r="F81" s="548">
        <v>15</v>
      </c>
    </row>
    <row r="82" ht="26" spans="1:6">
      <c r="A82" s="548">
        <v>10</v>
      </c>
      <c r="B82" s="529"/>
      <c r="C82" s="514" t="s">
        <v>2340</v>
      </c>
      <c r="D82" s="514" t="s">
        <v>2341</v>
      </c>
      <c r="E82" s="548">
        <v>0.1</v>
      </c>
      <c r="F82" s="548">
        <v>15</v>
      </c>
    </row>
    <row r="83" ht="26" spans="1:6">
      <c r="A83" s="548">
        <v>11</v>
      </c>
      <c r="B83" s="529"/>
      <c r="C83" s="514" t="s">
        <v>2342</v>
      </c>
      <c r="D83" s="514" t="s">
        <v>2343</v>
      </c>
      <c r="E83" s="548">
        <v>0.1</v>
      </c>
      <c r="F83" s="548">
        <v>15</v>
      </c>
    </row>
    <row r="84" ht="26" spans="1:6">
      <c r="A84" s="548">
        <v>12</v>
      </c>
      <c r="B84" s="529"/>
      <c r="C84" s="514" t="s">
        <v>2344</v>
      </c>
      <c r="D84" s="514" t="s">
        <v>2345</v>
      </c>
      <c r="E84" s="548">
        <v>0.1</v>
      </c>
      <c r="F84" s="548">
        <v>15</v>
      </c>
    </row>
    <row r="85" ht="14" spans="1:6">
      <c r="A85" s="548">
        <v>13</v>
      </c>
      <c r="B85" s="529"/>
      <c r="C85" s="514" t="s">
        <v>2346</v>
      </c>
      <c r="D85" s="514" t="s">
        <v>2347</v>
      </c>
      <c r="E85" s="548">
        <v>0.1</v>
      </c>
      <c r="F85" s="548">
        <v>15</v>
      </c>
    </row>
    <row r="86" ht="14" spans="1:6">
      <c r="A86" s="548">
        <v>14</v>
      </c>
      <c r="B86" s="529"/>
      <c r="C86" s="514" t="s">
        <v>2348</v>
      </c>
      <c r="D86" s="514" t="s">
        <v>2349</v>
      </c>
      <c r="E86" s="548">
        <v>0.1</v>
      </c>
      <c r="F86" s="548">
        <v>15</v>
      </c>
    </row>
    <row r="87" ht="14" spans="1:6">
      <c r="A87" s="548">
        <v>15</v>
      </c>
      <c r="B87" s="529"/>
      <c r="C87" s="514" t="s">
        <v>2350</v>
      </c>
      <c r="D87" s="514" t="s">
        <v>2351</v>
      </c>
      <c r="E87" s="548">
        <v>0.1</v>
      </c>
      <c r="F87" s="548">
        <v>15</v>
      </c>
    </row>
    <row r="88" ht="26" spans="1:6">
      <c r="A88" s="548">
        <v>16</v>
      </c>
      <c r="B88" s="529"/>
      <c r="C88" s="514" t="s">
        <v>2352</v>
      </c>
      <c r="D88" s="514" t="s">
        <v>2353</v>
      </c>
      <c r="E88" s="548">
        <v>0.1</v>
      </c>
      <c r="F88" s="548">
        <v>15</v>
      </c>
    </row>
    <row r="89" ht="26" spans="1:6">
      <c r="A89" s="548">
        <v>17</v>
      </c>
      <c r="B89" s="547"/>
      <c r="C89" s="514" t="s">
        <v>2354</v>
      </c>
      <c r="D89" s="514" t="s">
        <v>2355</v>
      </c>
      <c r="E89" s="548">
        <v>0.1</v>
      </c>
      <c r="F89" s="548">
        <v>15</v>
      </c>
    </row>
    <row r="90" ht="14" spans="1:6">
      <c r="A90" s="548">
        <v>18</v>
      </c>
      <c r="B90" s="545" t="s">
        <v>2356</v>
      </c>
      <c r="C90" s="514" t="s">
        <v>2357</v>
      </c>
      <c r="D90" s="514" t="s">
        <v>2358</v>
      </c>
      <c r="E90" s="548">
        <v>0.2</v>
      </c>
      <c r="F90" s="548">
        <v>25</v>
      </c>
    </row>
    <row r="91" ht="26" spans="1:6">
      <c r="A91" s="548">
        <v>19</v>
      </c>
      <c r="B91" s="529"/>
      <c r="C91" s="514" t="s">
        <v>2359</v>
      </c>
      <c r="D91" s="514" t="s">
        <v>2360</v>
      </c>
      <c r="E91" s="548">
        <v>0.2</v>
      </c>
      <c r="F91" s="548">
        <v>25</v>
      </c>
    </row>
    <row r="92" ht="14" spans="1:6">
      <c r="A92" s="548">
        <v>20</v>
      </c>
      <c r="B92" s="529"/>
      <c r="C92" s="514" t="s">
        <v>2361</v>
      </c>
      <c r="D92" s="514" t="s">
        <v>2362</v>
      </c>
      <c r="E92" s="548">
        <v>0.15</v>
      </c>
      <c r="F92" s="548">
        <v>20</v>
      </c>
    </row>
    <row r="93" ht="26" spans="1:6">
      <c r="A93" s="548">
        <v>21</v>
      </c>
      <c r="B93" s="529"/>
      <c r="C93" s="514" t="s">
        <v>2363</v>
      </c>
      <c r="D93" s="514" t="s">
        <v>2364</v>
      </c>
      <c r="E93" s="548">
        <v>0.15</v>
      </c>
      <c r="F93" s="548">
        <v>20</v>
      </c>
    </row>
    <row r="94" ht="26" spans="1:6">
      <c r="A94" s="548">
        <v>22</v>
      </c>
      <c r="B94" s="529"/>
      <c r="C94" s="514" t="s">
        <v>2365</v>
      </c>
      <c r="D94" s="514" t="s">
        <v>2366</v>
      </c>
      <c r="E94" s="548">
        <v>0.15</v>
      </c>
      <c r="F94" s="548">
        <v>20</v>
      </c>
    </row>
    <row r="95" ht="39" spans="1:6">
      <c r="A95" s="548">
        <v>23</v>
      </c>
      <c r="B95" s="529"/>
      <c r="C95" s="514" t="s">
        <v>2367</v>
      </c>
      <c r="D95" s="514" t="s">
        <v>2368</v>
      </c>
      <c r="E95" s="548">
        <v>0.15</v>
      </c>
      <c r="F95" s="548">
        <v>20</v>
      </c>
    </row>
    <row r="96" ht="14" spans="1:6">
      <c r="A96" s="548">
        <v>24</v>
      </c>
      <c r="B96" s="529"/>
      <c r="C96" s="514" t="s">
        <v>2369</v>
      </c>
      <c r="D96" s="514" t="s">
        <v>2370</v>
      </c>
      <c r="E96" s="548">
        <v>0.1</v>
      </c>
      <c r="F96" s="548">
        <v>15</v>
      </c>
    </row>
    <row r="97" ht="26" spans="1:6">
      <c r="A97" s="548">
        <v>25</v>
      </c>
      <c r="B97" s="529"/>
      <c r="C97" s="514" t="s">
        <v>2371</v>
      </c>
      <c r="D97" s="514" t="s">
        <v>2372</v>
      </c>
      <c r="E97" s="548">
        <v>0.1</v>
      </c>
      <c r="F97" s="548">
        <v>15</v>
      </c>
    </row>
    <row r="98" ht="26" spans="1:6">
      <c r="A98" s="548">
        <v>26</v>
      </c>
      <c r="B98" s="529"/>
      <c r="C98" s="514" t="s">
        <v>2373</v>
      </c>
      <c r="D98" s="514" t="s">
        <v>2374</v>
      </c>
      <c r="E98" s="548">
        <v>0.1</v>
      </c>
      <c r="F98" s="548">
        <v>15</v>
      </c>
    </row>
    <row r="99" ht="26" spans="1:6">
      <c r="A99" s="548">
        <v>27</v>
      </c>
      <c r="B99" s="529"/>
      <c r="C99" s="514" t="s">
        <v>2375</v>
      </c>
      <c r="D99" s="514" t="s">
        <v>2376</v>
      </c>
      <c r="E99" s="548">
        <v>0.1</v>
      </c>
      <c r="F99" s="548">
        <v>15</v>
      </c>
    </row>
    <row r="100" ht="26" spans="1:6">
      <c r="A100" s="548">
        <v>28</v>
      </c>
      <c r="B100" s="529"/>
      <c r="C100" s="514" t="s">
        <v>2377</v>
      </c>
      <c r="D100" s="514" t="s">
        <v>2378</v>
      </c>
      <c r="E100" s="548">
        <v>0.1</v>
      </c>
      <c r="F100" s="548">
        <v>15</v>
      </c>
    </row>
    <row r="101" ht="26" spans="1:6">
      <c r="A101" s="548">
        <v>29</v>
      </c>
      <c r="B101" s="529"/>
      <c r="C101" s="514" t="s">
        <v>2379</v>
      </c>
      <c r="D101" s="514" t="s">
        <v>2380</v>
      </c>
      <c r="E101" s="548">
        <v>0.1</v>
      </c>
      <c r="F101" s="548">
        <v>15</v>
      </c>
    </row>
    <row r="102" ht="26" spans="1:6">
      <c r="A102" s="548">
        <v>30</v>
      </c>
      <c r="B102" s="529"/>
      <c r="C102" s="514" t="s">
        <v>2381</v>
      </c>
      <c r="D102" s="514" t="s">
        <v>2382</v>
      </c>
      <c r="E102" s="548">
        <v>0.1</v>
      </c>
      <c r="F102" s="548">
        <v>15</v>
      </c>
    </row>
    <row r="103" ht="26" spans="1:6">
      <c r="A103" s="548">
        <v>31</v>
      </c>
      <c r="B103" s="529"/>
      <c r="C103" s="514" t="s">
        <v>2383</v>
      </c>
      <c r="D103" s="514" t="s">
        <v>2384</v>
      </c>
      <c r="E103" s="548">
        <v>0.1</v>
      </c>
      <c r="F103" s="548">
        <v>15</v>
      </c>
    </row>
    <row r="104" ht="26" spans="1:6">
      <c r="A104" s="548">
        <v>32</v>
      </c>
      <c r="B104" s="529"/>
      <c r="C104" s="514" t="s">
        <v>2385</v>
      </c>
      <c r="D104" s="514" t="s">
        <v>2386</v>
      </c>
      <c r="E104" s="548">
        <v>0.1</v>
      </c>
      <c r="F104" s="548">
        <v>15</v>
      </c>
    </row>
    <row r="105" ht="26" spans="1:6">
      <c r="A105" s="548">
        <v>33</v>
      </c>
      <c r="B105" s="529"/>
      <c r="C105" s="514" t="s">
        <v>2387</v>
      </c>
      <c r="D105" s="514" t="s">
        <v>2388</v>
      </c>
      <c r="E105" s="548">
        <v>0.1</v>
      </c>
      <c r="F105" s="548">
        <v>15</v>
      </c>
    </row>
    <row r="106" ht="26" spans="1:6">
      <c r="A106" s="548">
        <v>34</v>
      </c>
      <c r="B106" s="547"/>
      <c r="C106" s="514" t="s">
        <v>2389</v>
      </c>
      <c r="D106" s="514" t="s">
        <v>2390</v>
      </c>
      <c r="E106" s="548">
        <v>0.1</v>
      </c>
      <c r="F106" s="548">
        <v>15</v>
      </c>
    </row>
    <row r="107" ht="26" spans="1:6">
      <c r="A107" s="548">
        <v>35</v>
      </c>
      <c r="B107" s="545" t="s">
        <v>2391</v>
      </c>
      <c r="C107" s="548" t="s">
        <v>2392</v>
      </c>
      <c r="D107" s="514" t="s">
        <v>2393</v>
      </c>
      <c r="E107" s="548">
        <v>0.15</v>
      </c>
      <c r="F107" s="548">
        <v>20</v>
      </c>
    </row>
    <row r="108" ht="26" spans="1:6">
      <c r="A108" s="548">
        <v>36</v>
      </c>
      <c r="B108" s="529"/>
      <c r="C108" s="548" t="s">
        <v>2394</v>
      </c>
      <c r="D108" s="514" t="s">
        <v>2395</v>
      </c>
      <c r="E108" s="548">
        <v>0.15</v>
      </c>
      <c r="F108" s="548">
        <v>20</v>
      </c>
    </row>
    <row r="109" ht="26" spans="1:6">
      <c r="A109" s="548">
        <v>37</v>
      </c>
      <c r="B109" s="529"/>
      <c r="C109" s="548" t="s">
        <v>2396</v>
      </c>
      <c r="D109" s="514" t="s">
        <v>2397</v>
      </c>
      <c r="E109" s="548">
        <v>0.15</v>
      </c>
      <c r="F109" s="548">
        <v>20</v>
      </c>
    </row>
    <row r="110" ht="14" spans="1:6">
      <c r="A110" s="548">
        <v>38</v>
      </c>
      <c r="B110" s="529"/>
      <c r="C110" s="548" t="s">
        <v>2398</v>
      </c>
      <c r="D110" s="514" t="s">
        <v>2399</v>
      </c>
      <c r="E110" s="548">
        <v>0.1</v>
      </c>
      <c r="F110" s="548">
        <v>15</v>
      </c>
    </row>
    <row r="111" ht="26" spans="1:6">
      <c r="A111" s="548">
        <v>39</v>
      </c>
      <c r="B111" s="529"/>
      <c r="C111" s="548" t="s">
        <v>2400</v>
      </c>
      <c r="D111" s="514" t="s">
        <v>2401</v>
      </c>
      <c r="E111" s="548">
        <v>0.1</v>
      </c>
      <c r="F111" s="548">
        <v>15</v>
      </c>
    </row>
    <row r="112" ht="26" spans="1:6">
      <c r="A112" s="548">
        <v>40</v>
      </c>
      <c r="B112" s="547"/>
      <c r="C112" s="548" t="s">
        <v>2402</v>
      </c>
      <c r="D112" s="514" t="s">
        <v>2403</v>
      </c>
      <c r="E112" s="548">
        <v>0.1</v>
      </c>
      <c r="F112" s="548">
        <v>15</v>
      </c>
    </row>
    <row r="113" ht="26" spans="1:6">
      <c r="A113" s="548">
        <v>41</v>
      </c>
      <c r="B113" s="548" t="s">
        <v>2404</v>
      </c>
      <c r="C113" s="548" t="s">
        <v>2405</v>
      </c>
      <c r="D113" s="514" t="s">
        <v>2406</v>
      </c>
      <c r="E113" s="548">
        <v>0.1</v>
      </c>
      <c r="F113" s="548">
        <v>15</v>
      </c>
    </row>
    <row r="114" ht="14" spans="1:6">
      <c r="A114" s="548">
        <v>42</v>
      </c>
      <c r="B114" s="548"/>
      <c r="C114" s="548" t="s">
        <v>2407</v>
      </c>
      <c r="D114" s="514" t="s">
        <v>2408</v>
      </c>
      <c r="E114" s="548">
        <v>0.1</v>
      </c>
      <c r="F114" s="548">
        <v>15</v>
      </c>
    </row>
    <row r="115" ht="26" spans="1:6">
      <c r="A115" s="548">
        <v>43</v>
      </c>
      <c r="B115" s="548"/>
      <c r="C115" s="548" t="s">
        <v>2409</v>
      </c>
      <c r="D115" s="514" t="s">
        <v>2410</v>
      </c>
      <c r="E115" s="548">
        <v>0.1</v>
      </c>
      <c r="F115" s="548">
        <v>15</v>
      </c>
    </row>
    <row r="116" ht="26" spans="1:6">
      <c r="A116" s="548">
        <v>44</v>
      </c>
      <c r="B116" s="545" t="s">
        <v>2411</v>
      </c>
      <c r="C116" s="548" t="s">
        <v>2412</v>
      </c>
      <c r="D116" s="514" t="s">
        <v>2413</v>
      </c>
      <c r="E116" s="548">
        <v>0.1</v>
      </c>
      <c r="F116" s="548">
        <v>15</v>
      </c>
    </row>
    <row r="117" ht="26" spans="1:6">
      <c r="A117" s="548">
        <v>45</v>
      </c>
      <c r="B117" s="547"/>
      <c r="C117" s="514" t="s">
        <v>2414</v>
      </c>
      <c r="D117" s="514" t="s">
        <v>2415</v>
      </c>
      <c r="E117" s="548">
        <v>0.1</v>
      </c>
      <c r="F117" s="548">
        <v>15</v>
      </c>
    </row>
    <row r="118" ht="26" spans="1:6">
      <c r="A118" s="548">
        <v>46</v>
      </c>
      <c r="B118" s="545" t="s">
        <v>2416</v>
      </c>
      <c r="C118" s="548" t="s">
        <v>2417</v>
      </c>
      <c r="D118" s="514" t="s">
        <v>2418</v>
      </c>
      <c r="E118" s="548">
        <v>0.1</v>
      </c>
      <c r="F118" s="548">
        <v>15</v>
      </c>
    </row>
    <row r="119" ht="26" spans="1:6">
      <c r="A119" s="548">
        <v>47</v>
      </c>
      <c r="B119" s="547"/>
      <c r="C119" s="548" t="s">
        <v>2419</v>
      </c>
      <c r="D119" s="514" t="s">
        <v>2420</v>
      </c>
      <c r="E119" s="548">
        <v>0.1</v>
      </c>
      <c r="F119" s="548">
        <v>15</v>
      </c>
    </row>
    <row r="120" ht="26" spans="1:6">
      <c r="A120" s="548">
        <v>48</v>
      </c>
      <c r="B120" s="545" t="s">
        <v>2421</v>
      </c>
      <c r="C120" s="548" t="s">
        <v>2422</v>
      </c>
      <c r="D120" s="514" t="s">
        <v>2423</v>
      </c>
      <c r="E120" s="548">
        <v>0.1</v>
      </c>
      <c r="F120" s="548">
        <v>15</v>
      </c>
    </row>
    <row r="121" ht="14" spans="1:6">
      <c r="A121" s="548">
        <v>49</v>
      </c>
      <c r="B121" s="547"/>
      <c r="C121" s="548" t="s">
        <v>2424</v>
      </c>
      <c r="D121" s="514" t="s">
        <v>2425</v>
      </c>
      <c r="E121" s="548">
        <v>0.1</v>
      </c>
      <c r="F121" s="548">
        <v>15</v>
      </c>
    </row>
    <row r="122" ht="26" spans="1:6">
      <c r="A122" s="548">
        <v>50</v>
      </c>
      <c r="B122" s="548" t="s">
        <v>2426</v>
      </c>
      <c r="C122" s="548" t="s">
        <v>2427</v>
      </c>
      <c r="D122" s="514" t="s">
        <v>2428</v>
      </c>
      <c r="E122" s="548">
        <v>0.1</v>
      </c>
      <c r="F122" s="548">
        <v>15</v>
      </c>
    </row>
    <row r="123" ht="26" spans="1:6">
      <c r="A123" s="548">
        <v>51</v>
      </c>
      <c r="B123" s="548"/>
      <c r="C123" s="548" t="s">
        <v>2429</v>
      </c>
      <c r="D123" s="514" t="s">
        <v>2430</v>
      </c>
      <c r="E123" s="548">
        <v>0.1</v>
      </c>
      <c r="F123" s="548">
        <v>15</v>
      </c>
    </row>
    <row r="124" ht="26" spans="1:6">
      <c r="A124" s="548">
        <v>52</v>
      </c>
      <c r="B124" s="548" t="s">
        <v>2431</v>
      </c>
      <c r="C124" s="548" t="s">
        <v>2432</v>
      </c>
      <c r="D124" s="514" t="s">
        <v>2433</v>
      </c>
      <c r="E124" s="548">
        <v>0.1</v>
      </c>
      <c r="F124" s="548">
        <v>15</v>
      </c>
    </row>
    <row r="125" ht="26" spans="1:6">
      <c r="A125" s="548">
        <v>53</v>
      </c>
      <c r="B125" s="548"/>
      <c r="C125" s="548" t="s">
        <v>2434</v>
      </c>
      <c r="D125" s="514" t="s">
        <v>2435</v>
      </c>
      <c r="E125" s="548">
        <v>0.1</v>
      </c>
      <c r="F125" s="548">
        <v>15</v>
      </c>
    </row>
    <row r="126" ht="26" spans="1:6">
      <c r="A126" s="548">
        <v>54</v>
      </c>
      <c r="B126" s="548" t="s">
        <v>2436</v>
      </c>
      <c r="C126" s="548" t="s">
        <v>2437</v>
      </c>
      <c r="D126" s="514" t="s">
        <v>2438</v>
      </c>
      <c r="E126" s="548">
        <v>0.1</v>
      </c>
      <c r="F126" s="548">
        <v>15</v>
      </c>
    </row>
    <row r="127" ht="14" spans="1:6">
      <c r="A127" s="548">
        <v>55</v>
      </c>
      <c r="B127" s="548" t="s">
        <v>2439</v>
      </c>
      <c r="C127" s="548" t="s">
        <v>2440</v>
      </c>
      <c r="D127" s="514" t="s">
        <v>2441</v>
      </c>
      <c r="E127" s="548">
        <v>0.1</v>
      </c>
      <c r="F127" s="548">
        <v>15</v>
      </c>
    </row>
    <row r="128" ht="14" spans="1:6">
      <c r="A128" s="548">
        <v>56</v>
      </c>
      <c r="B128" s="548"/>
      <c r="C128" s="548" t="s">
        <v>2442</v>
      </c>
      <c r="D128" s="514" t="s">
        <v>2443</v>
      </c>
      <c r="E128" s="548">
        <v>0.1</v>
      </c>
      <c r="F128" s="548">
        <v>15</v>
      </c>
    </row>
    <row r="129" ht="26" spans="1:6">
      <c r="A129" s="548">
        <v>57</v>
      </c>
      <c r="B129" s="548"/>
      <c r="C129" s="548" t="s">
        <v>2444</v>
      </c>
      <c r="D129" s="514" t="s">
        <v>2445</v>
      </c>
      <c r="E129" s="548">
        <v>0.1</v>
      </c>
      <c r="F129" s="548">
        <v>15</v>
      </c>
    </row>
    <row r="130" ht="26" spans="1:6">
      <c r="A130" s="548">
        <v>58</v>
      </c>
      <c r="B130" s="548" t="s">
        <v>2446</v>
      </c>
      <c r="C130" s="548" t="s">
        <v>2447</v>
      </c>
      <c r="D130" s="514" t="s">
        <v>2448</v>
      </c>
      <c r="E130" s="548">
        <v>0.1</v>
      </c>
      <c r="F130" s="548">
        <v>15</v>
      </c>
    </row>
    <row r="131" ht="26" spans="1:6">
      <c r="A131" s="548">
        <v>59</v>
      </c>
      <c r="B131" s="548"/>
      <c r="C131" s="548" t="s">
        <v>2449</v>
      </c>
      <c r="D131" s="514" t="s">
        <v>2450</v>
      </c>
      <c r="E131" s="548">
        <v>0.1</v>
      </c>
      <c r="F131" s="548">
        <v>15</v>
      </c>
    </row>
    <row r="132" ht="26" spans="1:6">
      <c r="A132" s="548">
        <v>60</v>
      </c>
      <c r="B132" s="545" t="s">
        <v>2451</v>
      </c>
      <c r="C132" s="548" t="s">
        <v>2452</v>
      </c>
      <c r="D132" s="514" t="s">
        <v>2453</v>
      </c>
      <c r="E132" s="548">
        <v>0.1</v>
      </c>
      <c r="F132" s="548">
        <v>15</v>
      </c>
    </row>
    <row r="133" ht="26" spans="1:6">
      <c r="A133" s="548">
        <v>61</v>
      </c>
      <c r="B133" s="547"/>
      <c r="C133" s="548" t="s">
        <v>2454</v>
      </c>
      <c r="D133" s="514" t="s">
        <v>2455</v>
      </c>
      <c r="E133" s="548">
        <v>0.1</v>
      </c>
      <c r="F133" s="548">
        <v>15</v>
      </c>
    </row>
    <row r="134" ht="26" spans="1:6">
      <c r="A134" s="548">
        <v>62</v>
      </c>
      <c r="B134" s="548" t="s">
        <v>2456</v>
      </c>
      <c r="C134" s="548" t="s">
        <v>2457</v>
      </c>
      <c r="D134" s="514" t="s">
        <v>2458</v>
      </c>
      <c r="E134" s="548">
        <v>0.1</v>
      </c>
      <c r="F134" s="548">
        <v>15</v>
      </c>
    </row>
    <row r="135" ht="26" spans="1:6">
      <c r="A135" s="548">
        <v>63</v>
      </c>
      <c r="B135" s="548" t="s">
        <v>2459</v>
      </c>
      <c r="C135" s="548" t="s">
        <v>2460</v>
      </c>
      <c r="D135" s="514" t="s">
        <v>2461</v>
      </c>
      <c r="E135" s="548">
        <v>0.1</v>
      </c>
      <c r="F135" s="548">
        <v>15</v>
      </c>
    </row>
    <row r="136" ht="14" spans="1:6">
      <c r="A136" s="548">
        <v>64</v>
      </c>
      <c r="B136" s="548"/>
      <c r="C136" s="548" t="s">
        <v>2462</v>
      </c>
      <c r="D136" s="514" t="s">
        <v>2463</v>
      </c>
      <c r="E136" s="548">
        <v>0.1</v>
      </c>
      <c r="F136" s="548">
        <v>15</v>
      </c>
    </row>
    <row r="137" ht="26" spans="1:6">
      <c r="A137" s="548">
        <v>65</v>
      </c>
      <c r="B137" s="548" t="s">
        <v>2464</v>
      </c>
      <c r="C137" s="548" t="s">
        <v>2465</v>
      </c>
      <c r="D137" s="514" t="s">
        <v>2466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7" customWidth="1"/>
    <col min="2" max="2" width="37.2545454545455" style="3677" customWidth="1"/>
    <col min="3" max="3" width="11.3727272727273" style="3677" customWidth="1"/>
    <col min="4" max="4" width="31.7545454545455" style="3677" customWidth="1"/>
    <col min="5" max="5" width="0.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8.75" spans="1:5">
      <c r="A4" s="3681"/>
      <c r="B4" s="3682" t="s">
        <v>95</v>
      </c>
      <c r="C4" s="3682"/>
      <c r="D4" s="3682"/>
      <c r="E4" s="3681"/>
    </row>
    <row r="5" ht="16.25" spans="1:5">
      <c r="A5" s="3679"/>
      <c r="B5" s="3683" t="s">
        <v>96</v>
      </c>
      <c r="C5" s="3684" t="s">
        <v>97</v>
      </c>
      <c r="D5" s="3685">
        <f ca="1">结果表!H101</f>
        <v>50065</v>
      </c>
      <c r="E5" s="3679"/>
    </row>
    <row r="6" ht="15" spans="1:5">
      <c r="A6" s="3679"/>
      <c r="B6" s="3683"/>
      <c r="C6" s="3684" t="s">
        <v>98</v>
      </c>
      <c r="D6" s="3685" t="str">
        <f ca="1">NUMBERSTRING(INT(D5*10000),2)&amp;"元整"</f>
        <v>伍亿零陆拾伍万元整</v>
      </c>
      <c r="E6" s="3679"/>
    </row>
    <row r="7" ht="15.5" spans="1:5">
      <c r="A7" s="3679"/>
      <c r="B7" s="3686"/>
      <c r="C7" s="3687" t="s">
        <v>99</v>
      </c>
      <c r="D7" s="3688">
        <f ca="1">结果表!H102</f>
        <v>7346</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50065</v>
      </c>
      <c r="E13" s="3679"/>
    </row>
    <row r="14" ht="15" spans="1:5">
      <c r="A14" s="3679"/>
      <c r="B14" s="3683"/>
      <c r="C14" s="3684" t="s">
        <v>98</v>
      </c>
      <c r="D14" s="3685" t="str">
        <f ca="1">NUMBERSTRING(INT(D13*10000),2)&amp;"元整"</f>
        <v>伍亿零陆拾伍万元整</v>
      </c>
      <c r="E14" s="3679"/>
    </row>
    <row r="15" ht="15.5" spans="1:5">
      <c r="A15" s="3679"/>
      <c r="B15" s="3686"/>
      <c r="C15" s="3687" t="s">
        <v>99</v>
      </c>
      <c r="D15" s="3698">
        <f ca="1">结果表!H108</f>
        <v>7346</v>
      </c>
      <c r="E15" s="3679"/>
    </row>
    <row r="16" ht="15" spans="1:5">
      <c r="A16" s="3679"/>
      <c r="B16" s="3689" t="str">
        <f>结果表!E109</f>
        <v>——</v>
      </c>
      <c r="C16" s="3696" t="s">
        <v>97</v>
      </c>
      <c r="D16" s="3699" t="str">
        <f ca="1">结果表!H109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结果表!H110</f>
        <v>——</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2467</v>
      </c>
      <c r="B1" s="479"/>
      <c r="C1" s="479"/>
      <c r="D1" s="479"/>
      <c r="E1" s="479"/>
      <c r="F1" s="479"/>
      <c r="G1" s="479"/>
      <c r="H1" s="479"/>
      <c r="I1" s="479"/>
      <c r="J1" s="479"/>
      <c r="K1" s="479"/>
      <c r="L1" s="479"/>
      <c r="M1" s="479"/>
      <c r="N1" s="486"/>
    </row>
    <row r="2" spans="1:20">
      <c r="A2" s="480" t="s">
        <v>1674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2468</v>
      </c>
      <c r="R2" s="491" t="s">
        <v>2469</v>
      </c>
      <c r="S2" s="491" t="s">
        <v>2470</v>
      </c>
      <c r="T2" s="491" t="s">
        <v>2471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2472</v>
      </c>
      <c r="B93" s="479"/>
      <c r="C93" s="479"/>
      <c r="D93" s="479"/>
      <c r="E93" s="479"/>
      <c r="F93" s="479"/>
      <c r="G93" s="479"/>
      <c r="H93" s="479"/>
      <c r="I93" s="479"/>
      <c r="J93" s="479"/>
      <c r="K93" s="479"/>
      <c r="L93" s="479"/>
      <c r="M93" s="479"/>
    </row>
    <row r="94" spans="1:20">
      <c r="A94" s="480" t="s">
        <v>1674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2468</v>
      </c>
      <c r="R94" s="491" t="s">
        <v>2469</v>
      </c>
      <c r="S94" s="491" t="s">
        <v>2470</v>
      </c>
      <c r="T94" s="491" t="s">
        <v>2471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2473</v>
      </c>
      <c r="B185" s="479"/>
      <c r="C185" s="479"/>
      <c r="D185" s="479"/>
      <c r="E185" s="479"/>
      <c r="F185" s="479"/>
      <c r="G185" s="479"/>
      <c r="H185" s="479"/>
      <c r="I185" s="479"/>
      <c r="J185" s="479"/>
      <c r="K185" s="479"/>
      <c r="L185" s="479"/>
      <c r="M185" s="479"/>
    </row>
    <row r="186" spans="1:20">
      <c r="A186" s="480" t="s">
        <v>1674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2468</v>
      </c>
      <c r="R186" s="491" t="s">
        <v>2469</v>
      </c>
      <c r="S186" s="491" t="s">
        <v>2470</v>
      </c>
      <c r="T186" s="491" t="s">
        <v>2471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2474</v>
      </c>
      <c r="B277" s="479"/>
      <c r="C277" s="479"/>
      <c r="D277" s="479"/>
      <c r="E277" s="479"/>
      <c r="F277" s="479"/>
      <c r="G277" s="479"/>
      <c r="H277" s="479"/>
      <c r="I277" s="479"/>
      <c r="J277" s="479"/>
      <c r="K277" s="479"/>
      <c r="L277" s="479"/>
      <c r="M277" s="479"/>
    </row>
    <row r="278" spans="1:21">
      <c r="A278" s="480" t="s">
        <v>1674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2468</v>
      </c>
      <c r="R278" s="491" t="s">
        <v>2469</v>
      </c>
      <c r="S278" s="491" t="s">
        <v>2475</v>
      </c>
      <c r="T278" s="491" t="s">
        <v>2476</v>
      </c>
      <c r="U278" s="491" t="s">
        <v>2471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2477</v>
      </c>
      <c r="B369" s="495"/>
      <c r="C369" s="495"/>
      <c r="D369" s="495"/>
      <c r="E369" s="495"/>
      <c r="F369" s="495"/>
      <c r="G369" s="495"/>
      <c r="H369" s="495"/>
      <c r="I369" s="495"/>
      <c r="J369" s="495"/>
      <c r="K369" s="495"/>
      <c r="L369" s="495"/>
      <c r="M369" s="495"/>
    </row>
    <row r="370" spans="1:20">
      <c r="A370" s="480" t="s">
        <v>1674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2468</v>
      </c>
      <c r="R370" s="491" t="s">
        <v>2469</v>
      </c>
      <c r="S370" s="491" t="s">
        <v>2470</v>
      </c>
      <c r="T370" s="491" t="s">
        <v>2471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2478</v>
      </c>
      <c r="B1" s="390"/>
      <c r="C1" s="391"/>
      <c r="D1" s="391"/>
      <c r="E1" s="391"/>
      <c r="F1" s="391"/>
      <c r="G1" s="392"/>
    </row>
    <row r="2" s="381" customFormat="1" ht="18" customHeight="1" spans="1:7">
      <c r="A2" s="393" t="s">
        <v>2479</v>
      </c>
      <c r="B2" s="394">
        <f ca="1">C52</f>
        <v>71448</v>
      </c>
      <c r="C2" s="395" t="s">
        <v>1976</v>
      </c>
      <c r="D2" s="392"/>
      <c r="E2" s="392"/>
      <c r="F2" s="392"/>
      <c r="G2" s="392"/>
    </row>
    <row r="3" s="381" customFormat="1" ht="18" customHeight="1" spans="1:7">
      <c r="A3" s="396" t="s">
        <v>2480</v>
      </c>
      <c r="B3" s="397">
        <f ca="1">ROUND(B2*10000/'数据-汇总表'!E3,0)</f>
        <v>10483</v>
      </c>
      <c r="C3" s="395" t="s">
        <v>2481</v>
      </c>
      <c r="D3" s="392"/>
      <c r="E3" s="392"/>
      <c r="F3" s="392"/>
      <c r="G3" s="392"/>
    </row>
    <row r="4" s="382" customFormat="1" ht="15.5" spans="1:7">
      <c r="A4" s="398" t="s">
        <v>2482</v>
      </c>
      <c r="B4" s="399"/>
      <c r="C4" s="399"/>
      <c r="D4" s="399"/>
      <c r="E4" s="399"/>
      <c r="F4" s="399"/>
      <c r="G4" s="400"/>
    </row>
    <row r="5" s="383" customFormat="1" ht="13.5" customHeight="1" spans="1:7">
      <c r="A5" s="401" t="s">
        <v>1008</v>
      </c>
      <c r="B5" s="402" t="s">
        <v>2483</v>
      </c>
      <c r="C5" s="403">
        <f>C6+C7+C8</f>
        <v>20610</v>
      </c>
      <c r="D5" s="403" t="s">
        <v>2484</v>
      </c>
      <c r="E5" s="404" t="s">
        <v>2485</v>
      </c>
      <c r="F5" s="404" t="s">
        <v>2486</v>
      </c>
      <c r="G5" s="405"/>
    </row>
    <row r="6" s="383" customFormat="1" ht="13.5" customHeight="1" spans="1:7">
      <c r="A6" s="406" t="s">
        <v>1012</v>
      </c>
      <c r="B6" s="407" t="s">
        <v>2487</v>
      </c>
      <c r="C6" s="408">
        <v>20000</v>
      </c>
      <c r="D6" s="409"/>
      <c r="E6" s="410"/>
      <c r="F6" s="410"/>
      <c r="G6" s="411"/>
    </row>
    <row r="7" s="383" customFormat="1" ht="13.5" customHeight="1" spans="1:7">
      <c r="A7" s="406" t="s">
        <v>1014</v>
      </c>
      <c r="B7" s="407" t="s">
        <v>2488</v>
      </c>
      <c r="C7" s="412">
        <f>ROUND(C6*F7,0)</f>
        <v>610</v>
      </c>
      <c r="D7" s="412"/>
      <c r="E7" s="410"/>
      <c r="F7" s="413">
        <f>'数据-取费表'!B48+'数据-取费表'!B49</f>
        <v>0.0305</v>
      </c>
      <c r="G7" s="411"/>
    </row>
    <row r="8" s="384" customFormat="1" ht="13" spans="1:7">
      <c r="A8" s="406" t="s">
        <v>1016</v>
      </c>
      <c r="B8" s="407" t="s">
        <v>2489</v>
      </c>
      <c r="C8" s="412" t="str">
        <f>IF(G8="已包含在土地购买价格中","0",'数据-取费表'!B29)</f>
        <v>0</v>
      </c>
      <c r="D8" s="414"/>
      <c r="E8" s="412"/>
      <c r="F8" s="413"/>
      <c r="G8" s="415" t="s">
        <v>2490</v>
      </c>
    </row>
    <row r="9" s="383" customFormat="1" ht="13.5" customHeight="1" spans="1:7">
      <c r="A9" s="416" t="s">
        <v>1019</v>
      </c>
      <c r="B9" s="417" t="s">
        <v>2491</v>
      </c>
      <c r="C9" s="418">
        <f>ROUND(D9*E9/10000,0)</f>
        <v>0</v>
      </c>
      <c r="D9" s="419">
        <f>'数据-汇总表'!E5</f>
        <v>0</v>
      </c>
      <c r="E9" s="418">
        <f>'数据-取费表'!B27</f>
        <v>0</v>
      </c>
      <c r="F9" s="413"/>
      <c r="G9" s="420"/>
    </row>
    <row r="10" s="383" customFormat="1" ht="13.5" customHeight="1" spans="1:7">
      <c r="A10" s="416" t="s">
        <v>1022</v>
      </c>
      <c r="B10" s="417" t="s">
        <v>2492</v>
      </c>
      <c r="C10" s="418">
        <f>ROUND(D10*E10/10000,0)</f>
        <v>716</v>
      </c>
      <c r="D10" s="419">
        <f>'数据-汇总表'!E6</f>
        <v>68156.19</v>
      </c>
      <c r="E10" s="418">
        <f>'数据-取费表'!B28</f>
        <v>105</v>
      </c>
      <c r="F10" s="413"/>
      <c r="G10" s="420"/>
    </row>
    <row r="11" s="383" customFormat="1" ht="13.5" hidden="1" customHeight="1" spans="1:7">
      <c r="A11" s="421" t="s">
        <v>1024</v>
      </c>
      <c r="B11" s="407" t="s">
        <v>2493</v>
      </c>
      <c r="C11" s="403"/>
      <c r="D11" s="422"/>
      <c r="E11" s="410"/>
      <c r="F11" s="410"/>
      <c r="G11" s="411"/>
    </row>
    <row r="12" s="383" customFormat="1" ht="13.5" hidden="1" customHeight="1" spans="1:7">
      <c r="A12" s="421" t="s">
        <v>1026</v>
      </c>
      <c r="B12" s="407" t="s">
        <v>2494</v>
      </c>
      <c r="C12" s="403">
        <v>0</v>
      </c>
      <c r="D12" s="422"/>
      <c r="E12" s="423"/>
      <c r="F12" s="413">
        <v>0.0305</v>
      </c>
      <c r="G12" s="411"/>
    </row>
    <row r="13" s="383" customFormat="1" ht="13.5" hidden="1" customHeight="1" spans="1:7">
      <c r="A13" s="421" t="s">
        <v>1027</v>
      </c>
      <c r="B13" s="407" t="s">
        <v>2495</v>
      </c>
      <c r="C13" s="403"/>
      <c r="D13" s="422"/>
      <c r="E13" s="410"/>
      <c r="F13" s="410"/>
      <c r="G13" s="411"/>
    </row>
    <row r="14" s="383" customFormat="1" ht="13.5" hidden="1" customHeight="1" spans="1:7">
      <c r="A14" s="421" t="s">
        <v>1029</v>
      </c>
      <c r="B14" s="407" t="s">
        <v>2489</v>
      </c>
      <c r="C14" s="403"/>
      <c r="D14" s="422"/>
      <c r="E14" s="410"/>
      <c r="F14" s="410"/>
      <c r="G14" s="411" t="s">
        <v>2496</v>
      </c>
    </row>
    <row r="15" s="383" customFormat="1" ht="13.5" hidden="1" customHeight="1" spans="1:7">
      <c r="A15" s="421" t="s">
        <v>1031</v>
      </c>
      <c r="B15" s="407" t="s">
        <v>2497</v>
      </c>
      <c r="C15" s="412"/>
      <c r="D15" s="422"/>
      <c r="E15" s="410"/>
      <c r="F15" s="410"/>
      <c r="G15" s="411" t="s">
        <v>2498</v>
      </c>
    </row>
    <row r="16" s="383" customFormat="1" ht="13.5" hidden="1" customHeight="1" spans="1:7">
      <c r="A16" s="421" t="s">
        <v>1034</v>
      </c>
      <c r="B16" s="407" t="s">
        <v>2489</v>
      </c>
      <c r="C16" s="412"/>
      <c r="D16" s="422"/>
      <c r="E16" s="410"/>
      <c r="F16" s="410"/>
      <c r="G16" s="411"/>
    </row>
    <row r="17" s="383" customFormat="1" ht="13.5" hidden="1" customHeight="1" spans="1:7">
      <c r="A17" s="421" t="s">
        <v>1035</v>
      </c>
      <c r="B17" s="407" t="s">
        <v>2499</v>
      </c>
      <c r="C17" s="424"/>
      <c r="D17" s="425"/>
      <c r="E17" s="424"/>
      <c r="F17" s="424"/>
      <c r="G17" s="411" t="s">
        <v>2498</v>
      </c>
    </row>
    <row r="18" s="383" customFormat="1" ht="13.5" hidden="1" customHeight="1" spans="1:7">
      <c r="A18" s="421" t="s">
        <v>1037</v>
      </c>
      <c r="B18" s="407" t="s">
        <v>2500</v>
      </c>
      <c r="C18" s="412">
        <v>0</v>
      </c>
      <c r="D18" s="422"/>
      <c r="E18" s="410"/>
      <c r="F18" s="413">
        <v>0.0305</v>
      </c>
      <c r="G18" s="411" t="s">
        <v>2501</v>
      </c>
    </row>
    <row r="19" s="384" customFormat="1" ht="13.5" customHeight="1" spans="1:7">
      <c r="A19" s="426" t="s">
        <v>1130</v>
      </c>
      <c r="B19" s="402" t="s">
        <v>2502</v>
      </c>
      <c r="C19" s="403">
        <f>IF(G19="已包含在土地取得成本中","0",ROUND(D19*E19/10000,0))</f>
        <v>1363</v>
      </c>
      <c r="D19" s="427">
        <f>'数据-汇总表'!E3</f>
        <v>68156.19</v>
      </c>
      <c r="E19" s="403">
        <f>'数据-取费表'!B31</f>
        <v>200</v>
      </c>
      <c r="F19" s="428"/>
      <c r="G19" s="415" t="s">
        <v>2503</v>
      </c>
    </row>
    <row r="20" s="383" customFormat="1" ht="13.5" customHeight="1" spans="1:7">
      <c r="A20" s="426" t="s">
        <v>1166</v>
      </c>
      <c r="B20" s="402" t="s">
        <v>2504</v>
      </c>
      <c r="C20" s="429">
        <f>ROUND((C5+C19)*F20,0)</f>
        <v>659</v>
      </c>
      <c r="D20" s="429"/>
      <c r="E20" s="429"/>
      <c r="F20" s="430">
        <f>'数据-取费表'!B37</f>
        <v>0.03</v>
      </c>
      <c r="G20" s="431" t="s">
        <v>2505</v>
      </c>
    </row>
    <row r="21" s="383" customFormat="1" ht="13.5" customHeight="1" spans="1:7">
      <c r="A21" s="426" t="s">
        <v>1171</v>
      </c>
      <c r="B21" s="402" t="s">
        <v>2506</v>
      </c>
      <c r="C21" s="432">
        <f>F21</f>
        <v>0.02</v>
      </c>
      <c r="D21" s="433" t="s">
        <v>2507</v>
      </c>
      <c r="E21" s="429"/>
      <c r="F21" s="430">
        <f>'数据-取费表'!B38</f>
        <v>0.02</v>
      </c>
      <c r="G21" s="434" t="s">
        <v>2508</v>
      </c>
    </row>
    <row r="22" s="383" customFormat="1" ht="13.5" customHeight="1" spans="1:7">
      <c r="A22" s="426" t="s">
        <v>1183</v>
      </c>
      <c r="B22" s="402" t="s">
        <v>2509</v>
      </c>
      <c r="C22" s="435">
        <f ca="1">ROUND(SUM(C23:C25),0)</f>
        <v>1389</v>
      </c>
      <c r="D22" s="432">
        <f ca="1">C26</f>
        <v>0.0006</v>
      </c>
      <c r="E22" s="433" t="s">
        <v>2507</v>
      </c>
      <c r="F22" s="436">
        <f ca="1">'数据-取费表'!B40</f>
        <v>0.031</v>
      </c>
      <c r="G22" s="431" t="str">
        <f>IF('数据-取费表'!B22&lt;=1,"单利计息","复利计息")</f>
        <v>复利计息</v>
      </c>
    </row>
    <row r="23" s="383" customFormat="1" ht="13.5" customHeight="1" spans="1:7">
      <c r="A23" s="437" t="s">
        <v>1012</v>
      </c>
      <c r="B23" s="407" t="s">
        <v>2510</v>
      </c>
      <c r="C23" s="438">
        <f ca="1">ROUND(IF('数据-取费表'!B22&lt;=1,C5*F22*'数据-取费表'!B23,C5*(POWER((1+F22),'数据-取费表'!B23)-1)),0)</f>
        <v>1284</v>
      </c>
      <c r="D23" s="439"/>
      <c r="E23" s="439"/>
      <c r="F23" s="440"/>
      <c r="G23" s="441" t="s">
        <v>2511</v>
      </c>
    </row>
    <row r="24" s="383" customFormat="1" ht="13.5" customHeight="1" spans="1:7">
      <c r="A24" s="437" t="s">
        <v>1014</v>
      </c>
      <c r="B24" s="407" t="s">
        <v>2512</v>
      </c>
      <c r="C24" s="438">
        <f ca="1">ROUND(IF('数据-取费表'!B22&lt;=1,C19*F22*('数据-取费表'!B19/2+'数据-取费表'!B21),C19*(POWER((1+F22),('数据-取费表'!B19/2+'数据-取费表'!B21))-1)),0)</f>
        <v>85</v>
      </c>
      <c r="D24" s="439"/>
      <c r="E24" s="439"/>
      <c r="F24" s="440"/>
      <c r="G24" s="441" t="s">
        <v>2513</v>
      </c>
    </row>
    <row r="25" s="383" customFormat="1" ht="26" spans="1:7">
      <c r="A25" s="437" t="s">
        <v>1016</v>
      </c>
      <c r="B25" s="407" t="s">
        <v>2514</v>
      </c>
      <c r="C25" s="438">
        <f ca="1">ROUND(IF('数据-取费表'!B22&lt;=1,C20*F22*'数据-取费表'!B23/2,C20*(POWER((1+F22),'数据-取费表'!B23/2)-1)),0)</f>
        <v>20</v>
      </c>
      <c r="D25" s="439"/>
      <c r="E25" s="442"/>
      <c r="F25" s="440"/>
      <c r="G25" s="443" t="s">
        <v>2515</v>
      </c>
    </row>
    <row r="26" s="383" customFormat="1" ht="13" spans="1:7">
      <c r="A26" s="437" t="s">
        <v>1058</v>
      </c>
      <c r="B26" s="407" t="s">
        <v>2516</v>
      </c>
      <c r="C26" s="439">
        <f ca="1">ROUND(IF('数据-取费表'!B22&lt;=1,F21*F22*'数据-取费表'!B23/2,F21*(POWER((1+F22),'数据-取费表'!B23/2)-1)),4)</f>
        <v>0.0006</v>
      </c>
      <c r="D26" s="439"/>
      <c r="E26" s="442"/>
      <c r="F26" s="440"/>
      <c r="G26" s="444"/>
    </row>
    <row r="27" s="383" customFormat="1" ht="26" spans="1:7">
      <c r="A27" s="426" t="s">
        <v>1192</v>
      </c>
      <c r="B27" s="445" t="s">
        <v>2517</v>
      </c>
      <c r="C27" s="446">
        <f>C28</f>
        <v>2241</v>
      </c>
      <c r="D27" s="432">
        <f>C29</f>
        <v>0.002</v>
      </c>
      <c r="E27" s="433" t="s">
        <v>2507</v>
      </c>
      <c r="F27" s="447">
        <f>'数据-取费表'!Q16</f>
        <v>0.1</v>
      </c>
      <c r="G27" s="448" t="s">
        <v>2518</v>
      </c>
    </row>
    <row r="28" s="383" customFormat="1" ht="13.5" customHeight="1" spans="1:7">
      <c r="A28" s="437" t="s">
        <v>1012</v>
      </c>
      <c r="B28" s="449" t="s">
        <v>2519</v>
      </c>
      <c r="C28" s="450">
        <f>ROUND((C5+C19+C20)*F27*'数据-取费表'!B21/'数据-取费表'!B20,0)</f>
        <v>2241</v>
      </c>
      <c r="D28" s="432"/>
      <c r="E28" s="433"/>
      <c r="F28" s="447"/>
      <c r="G28" s="448"/>
    </row>
    <row r="29" s="383" customFormat="1" ht="13.5" customHeight="1" spans="1:7">
      <c r="A29" s="437" t="s">
        <v>1014</v>
      </c>
      <c r="B29" s="449" t="s">
        <v>2520</v>
      </c>
      <c r="C29" s="439">
        <f>ROUND(C21*F27*'数据-取费表'!B21/'数据-取费表'!B20,4)</f>
        <v>0.002</v>
      </c>
      <c r="D29" s="432"/>
      <c r="E29" s="433"/>
      <c r="F29" s="447"/>
      <c r="G29" s="448"/>
    </row>
    <row r="30" s="383" customFormat="1" ht="13.5" customHeight="1" spans="1:7">
      <c r="A30" s="426" t="s">
        <v>2521</v>
      </c>
      <c r="B30" s="402" t="s">
        <v>2522</v>
      </c>
      <c r="C30" s="432">
        <f>F30</f>
        <v>0.056</v>
      </c>
      <c r="D30" s="433" t="s">
        <v>2523</v>
      </c>
      <c r="E30" s="442"/>
      <c r="F30" s="436">
        <f>'数据-取费表'!B41</f>
        <v>0.056</v>
      </c>
      <c r="G30" s="434" t="s">
        <v>2524</v>
      </c>
    </row>
    <row r="31" ht="16.5" customHeight="1" spans="1:7">
      <c r="A31" s="451">
        <v>1</v>
      </c>
      <c r="B31" s="402" t="s">
        <v>2525</v>
      </c>
      <c r="C31" s="403">
        <f ca="1">ROUND((C5+C19+C20+C22+C27)/(1-C21-D22-D27-C30/(1+'数据-取费表'!B42)),0)</f>
        <v>28420</v>
      </c>
      <c r="D31" s="452"/>
      <c r="E31" s="403"/>
      <c r="F31" s="453"/>
      <c r="G31" s="434" t="s">
        <v>2526</v>
      </c>
    </row>
    <row r="32" s="382" customFormat="1" ht="15.5" spans="1:7">
      <c r="A32" s="454" t="s">
        <v>2527</v>
      </c>
      <c r="B32" s="455"/>
      <c r="C32" s="455"/>
      <c r="D32" s="455"/>
      <c r="E32" s="455"/>
      <c r="F32" s="455"/>
      <c r="G32" s="456"/>
    </row>
    <row r="33" s="383" customFormat="1" ht="13.5" customHeight="1" spans="1:7">
      <c r="A33" s="401" t="s">
        <v>1008</v>
      </c>
      <c r="B33" s="402" t="s">
        <v>2528</v>
      </c>
      <c r="C33" s="457">
        <f>SUM(C34:C38)</f>
        <v>34141</v>
      </c>
      <c r="D33" s="429"/>
      <c r="E33" s="404"/>
      <c r="F33" s="442"/>
      <c r="G33" s="434"/>
    </row>
    <row r="34" s="385" customFormat="1" ht="13.5" customHeight="1" spans="1:7">
      <c r="A34" s="437" t="s">
        <v>1012</v>
      </c>
      <c r="B34" s="407" t="s">
        <v>2529</v>
      </c>
      <c r="C34" s="412">
        <f>IF(F34=100%,'数据-取费表'!M16-SUMIF('数据-取费表'!C:C,"公共配套",'数据-取费表'!M:M),'数据-取费表'!O16-SUMIF('数据-取费表'!C:C,"公共配套",'数据-取费表'!O:O))</f>
        <v>30363</v>
      </c>
      <c r="D34" s="409"/>
      <c r="E34" s="412"/>
      <c r="F34" s="458">
        <f>IF('数据-取费表'!B24=0,1,'数据-取费表'!N16)</f>
        <v>0.99</v>
      </c>
      <c r="G34" s="411" t="s">
        <v>2530</v>
      </c>
    </row>
    <row r="35" ht="13.5" customHeight="1" spans="1:7">
      <c r="A35" s="437" t="s">
        <v>1014</v>
      </c>
      <c r="B35" s="407" t="s">
        <v>2531</v>
      </c>
      <c r="C35" s="412">
        <f>ROUND(C34*F35,0)</f>
        <v>1822</v>
      </c>
      <c r="D35" s="412"/>
      <c r="E35" s="412"/>
      <c r="F35" s="459">
        <f>'数据-取费表'!B33</f>
        <v>0.06</v>
      </c>
      <c r="G35" s="411" t="s">
        <v>2532</v>
      </c>
    </row>
    <row r="36" ht="26" spans="1:7">
      <c r="A36" s="437" t="s">
        <v>1016</v>
      </c>
      <c r="B36" s="407" t="s">
        <v>2533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2534</v>
      </c>
    </row>
    <row r="37" s="385" customFormat="1" ht="13.5" customHeight="1" spans="1:7">
      <c r="A37" s="437" t="s">
        <v>1058</v>
      </c>
      <c r="B37" s="407" t="s">
        <v>2535</v>
      </c>
      <c r="C37" s="450">
        <f>ROUND(E37*D37*F34/10000,0)</f>
        <v>1349</v>
      </c>
      <c r="D37" s="409">
        <f>'数据-汇总表'!E3</f>
        <v>68156.19</v>
      </c>
      <c r="E37" s="450">
        <f>'数据-取费表'!B35</f>
        <v>200</v>
      </c>
      <c r="F37" s="459"/>
      <c r="G37" s="461" t="s">
        <v>2536</v>
      </c>
    </row>
    <row r="38" ht="13.5" customHeight="1" spans="1:7">
      <c r="A38" s="437" t="s">
        <v>1080</v>
      </c>
      <c r="B38" s="407" t="s">
        <v>2494</v>
      </c>
      <c r="C38" s="412">
        <f>ROUND(C34*F38,0)</f>
        <v>607</v>
      </c>
      <c r="D38" s="412"/>
      <c r="E38" s="412"/>
      <c r="F38" s="459">
        <f>'数据-取费表'!B36</f>
        <v>0.02</v>
      </c>
      <c r="G38" s="411" t="s">
        <v>2532</v>
      </c>
    </row>
    <row r="39" s="383" customFormat="1" ht="13.5" customHeight="1" spans="1:7">
      <c r="A39" s="426" t="s">
        <v>1130</v>
      </c>
      <c r="B39" s="402" t="s">
        <v>2504</v>
      </c>
      <c r="C39" s="429">
        <f>ROUND(C33*F20,0)</f>
        <v>1024</v>
      </c>
      <c r="D39" s="429"/>
      <c r="E39" s="429"/>
      <c r="F39" s="430"/>
      <c r="G39" s="431" t="s">
        <v>2537</v>
      </c>
    </row>
    <row r="40" s="383" customFormat="1" ht="13.5" customHeight="1" spans="1:7">
      <c r="A40" s="426" t="s">
        <v>1166</v>
      </c>
      <c r="B40" s="402" t="s">
        <v>2506</v>
      </c>
      <c r="C40" s="462">
        <f>F21</f>
        <v>0.02</v>
      </c>
      <c r="D40" s="433" t="s">
        <v>2538</v>
      </c>
      <c r="E40" s="429"/>
      <c r="F40" s="430"/>
      <c r="G40" s="434" t="s">
        <v>2539</v>
      </c>
    </row>
    <row r="41" s="383" customFormat="1" ht="13.5" customHeight="1" spans="1:7">
      <c r="A41" s="426" t="s">
        <v>1171</v>
      </c>
      <c r="B41" s="402" t="s">
        <v>2509</v>
      </c>
      <c r="C41" s="429">
        <f ca="1">ROUND(SUM(C42:C43),0)</f>
        <v>1079</v>
      </c>
      <c r="D41" s="432">
        <f ca="1">C44</f>
        <v>0.0006</v>
      </c>
      <c r="E41" s="433" t="s">
        <v>2538</v>
      </c>
      <c r="F41" s="436"/>
      <c r="G41" s="431" t="str">
        <f>IF('数据-取费表'!B22&lt;=1,"单利计息","复利计息")</f>
        <v>复利计息</v>
      </c>
    </row>
    <row r="42" ht="13.5" customHeight="1" spans="1:7">
      <c r="A42" s="437" t="s">
        <v>1012</v>
      </c>
      <c r="B42" s="407" t="s">
        <v>2510</v>
      </c>
      <c r="C42" s="439">
        <f ca="1">ROUND(IF('数据-取费表'!B22&lt;=1,C33*F22*'数据-取费表'!B21/2,C33*(POWER((1+F22),'数据-取费表'!B21/2)-1)),0)</f>
        <v>1048</v>
      </c>
      <c r="D42" s="439"/>
      <c r="E42" s="439"/>
      <c r="F42" s="440"/>
      <c r="G42" s="463" t="s">
        <v>2540</v>
      </c>
    </row>
    <row r="43" ht="13.5" customHeight="1" spans="1:7">
      <c r="A43" s="437" t="s">
        <v>1014</v>
      </c>
      <c r="B43" s="407" t="s">
        <v>2512</v>
      </c>
      <c r="C43" s="439">
        <f ca="1">ROUND(IF('数据-取费表'!B22&lt;=1,C39*F22*'数据-取费表'!B21/2,C39*(POWER((1+F22),'数据-取费表'!B21/2)-1)),0)</f>
        <v>31</v>
      </c>
      <c r="D43" s="439"/>
      <c r="E43" s="439"/>
      <c r="F43" s="440"/>
      <c r="G43" s="464"/>
    </row>
    <row r="44" ht="13.5" customHeight="1" spans="1:7">
      <c r="A44" s="437" t="s">
        <v>1016</v>
      </c>
      <c r="B44" s="407" t="s">
        <v>2514</v>
      </c>
      <c r="C44" s="439">
        <f ca="1">ROUND(IF('数据-取费表'!B22&lt;=1,C40*F22*'数据-取费表'!B21/2,C40*(POWER((1+F22),'数据-取费表'!B21/2)-1)),4)</f>
        <v>0.0006</v>
      </c>
      <c r="D44" s="439"/>
      <c r="E44" s="439"/>
      <c r="F44" s="440"/>
      <c r="G44" s="465"/>
    </row>
    <row r="45" s="383" customFormat="1" ht="13.5" customHeight="1" spans="1:7">
      <c r="A45" s="426" t="s">
        <v>1183</v>
      </c>
      <c r="B45" s="445" t="s">
        <v>2517</v>
      </c>
      <c r="C45" s="446">
        <f>C46</f>
        <v>3517</v>
      </c>
      <c r="D45" s="432">
        <f>C47</f>
        <v>0.002</v>
      </c>
      <c r="E45" s="433" t="s">
        <v>2538</v>
      </c>
      <c r="F45" s="447"/>
      <c r="G45" s="448" t="s">
        <v>2541</v>
      </c>
    </row>
    <row r="46" s="383" customFormat="1" ht="13.5" customHeight="1" spans="1:7">
      <c r="A46" s="437" t="s">
        <v>1012</v>
      </c>
      <c r="B46" s="449" t="s">
        <v>2542</v>
      </c>
      <c r="C46" s="450">
        <f>ROUND((C33+C39)*F27,0)</f>
        <v>3517</v>
      </c>
      <c r="D46" s="466"/>
      <c r="E46" s="433"/>
      <c r="F46" s="447"/>
      <c r="G46" s="448"/>
    </row>
    <row r="47" s="383" customFormat="1" ht="13.5" customHeight="1" spans="1:7">
      <c r="A47" s="437" t="s">
        <v>1014</v>
      </c>
      <c r="B47" s="449" t="s">
        <v>2543</v>
      </c>
      <c r="C47" s="439">
        <f>ROUND(C40*F27,4)</f>
        <v>0.002</v>
      </c>
      <c r="D47" s="466"/>
      <c r="E47" s="433"/>
      <c r="F47" s="447"/>
      <c r="G47" s="448"/>
    </row>
    <row r="48" s="383" customFormat="1" ht="13.5" customHeight="1" spans="1:7">
      <c r="A48" s="426" t="s">
        <v>1192</v>
      </c>
      <c r="B48" s="402" t="s">
        <v>2522</v>
      </c>
      <c r="C48" s="462">
        <f>F30</f>
        <v>0.056</v>
      </c>
      <c r="D48" s="433" t="s">
        <v>2544</v>
      </c>
      <c r="E48" s="429"/>
      <c r="F48" s="436"/>
      <c r="G48" s="434" t="s">
        <v>2545</v>
      </c>
    </row>
    <row r="49" ht="16.5" customHeight="1" spans="1:7">
      <c r="A49" s="426" t="s">
        <v>2521</v>
      </c>
      <c r="B49" s="402" t="s">
        <v>2546</v>
      </c>
      <c r="C49" s="429">
        <f ca="1">ROUND((C33+C39+C41+C45)/(1-C40-D41-D45-C48/(1+'数据-取费表'!B42)),0)</f>
        <v>43028</v>
      </c>
      <c r="D49" s="429"/>
      <c r="E49" s="429"/>
      <c r="F49" s="467"/>
      <c r="G49" s="434" t="s">
        <v>2547</v>
      </c>
    </row>
    <row r="50" s="385" customFormat="1" ht="26" spans="1:7">
      <c r="A50" s="426" t="s">
        <v>2548</v>
      </c>
      <c r="B50" s="402" t="s">
        <v>2549</v>
      </c>
      <c r="C50" s="429"/>
      <c r="D50" s="429"/>
      <c r="E50" s="429"/>
      <c r="F50" s="467">
        <f>IF('数据-取费表'!B24=0,'数据-取费表'!N16,1)</f>
        <v>1</v>
      </c>
      <c r="G50" s="448" t="s">
        <v>2550</v>
      </c>
    </row>
    <row r="51" ht="16.5" customHeight="1" spans="1:7">
      <c r="A51" s="426" t="s">
        <v>2551</v>
      </c>
      <c r="B51" s="402" t="s">
        <v>2552</v>
      </c>
      <c r="C51" s="429">
        <f ca="1">ROUND(C49*F50,0)</f>
        <v>43028</v>
      </c>
      <c r="D51" s="429"/>
      <c r="E51" s="429"/>
      <c r="F51" s="467"/>
      <c r="G51" s="434" t="s">
        <v>2553</v>
      </c>
    </row>
    <row r="52" s="382" customFormat="1" ht="16.25" spans="1:7">
      <c r="A52" s="468" t="s">
        <v>2554</v>
      </c>
      <c r="B52" s="469"/>
      <c r="C52" s="470">
        <f ca="1">C31+C51</f>
        <v>71448</v>
      </c>
      <c r="D52" s="469"/>
      <c r="E52" s="469"/>
      <c r="F52" s="469"/>
      <c r="G52" s="471"/>
    </row>
    <row r="55" ht="15.5" spans="2:3">
      <c r="B55" s="472" t="s">
        <v>2555</v>
      </c>
      <c r="C55" s="473"/>
    </row>
    <row r="56" ht="13" spans="2:3">
      <c r="B56" s="474" t="s">
        <v>2556</v>
      </c>
      <c r="C56" s="475">
        <f ca="1">ROUND(C51/C52,3)</f>
        <v>0.602</v>
      </c>
    </row>
    <row r="57" ht="13" spans="2:3">
      <c r="B57" s="474" t="s">
        <v>2557</v>
      </c>
      <c r="C57" s="476">
        <f ca="1">1-C56</f>
        <v>0.398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5" sqref="E15"/>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2558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2559</v>
      </c>
      <c r="B2" s="351"/>
      <c r="C2" s="351"/>
      <c r="D2" s="351"/>
      <c r="E2" s="351"/>
      <c r="F2" s="351"/>
      <c r="G2" s="352" t="s">
        <v>2560</v>
      </c>
      <c r="I2" s="361" t="s">
        <v>2561</v>
      </c>
      <c r="J2" s="361" t="s">
        <v>2562</v>
      </c>
      <c r="K2" s="361" t="s">
        <v>2563</v>
      </c>
      <c r="L2" s="361" t="s">
        <v>2564</v>
      </c>
      <c r="M2" s="361" t="s">
        <v>2565</v>
      </c>
      <c r="N2" s="361" t="s">
        <v>2566</v>
      </c>
      <c r="O2" s="361" t="s">
        <v>2567</v>
      </c>
      <c r="P2" s="361" t="s">
        <v>2568</v>
      </c>
      <c r="Q2" s="361" t="s">
        <v>2569</v>
      </c>
      <c r="R2" s="361" t="s">
        <v>2570</v>
      </c>
      <c r="S2" s="361" t="s">
        <v>2571</v>
      </c>
      <c r="T2" s="361" t="s">
        <v>2572</v>
      </c>
    </row>
    <row r="3" s="346" customFormat="1" spans="1:20">
      <c r="A3" s="353" t="s">
        <v>2573</v>
      </c>
      <c r="B3" s="354"/>
      <c r="C3" s="355" t="s">
        <v>549</v>
      </c>
      <c r="D3" s="355" t="s">
        <v>1956</v>
      </c>
      <c r="E3" s="355" t="s">
        <v>412</v>
      </c>
      <c r="F3" s="355" t="s">
        <v>408</v>
      </c>
      <c r="G3" s="355" t="s">
        <v>280</v>
      </c>
      <c r="H3" s="356"/>
      <c r="I3" s="362" t="s">
        <v>2574</v>
      </c>
      <c r="J3" s="363" t="s">
        <v>2575</v>
      </c>
      <c r="K3" s="363" t="s">
        <v>2576</v>
      </c>
      <c r="L3" s="362" t="s">
        <v>2577</v>
      </c>
      <c r="M3" s="362" t="s">
        <v>2578</v>
      </c>
      <c r="N3" s="362" t="s">
        <v>2579</v>
      </c>
      <c r="O3" s="362" t="s">
        <v>2580</v>
      </c>
      <c r="P3" s="362" t="s">
        <v>2581</v>
      </c>
      <c r="Q3" s="362" t="s">
        <v>2582</v>
      </c>
      <c r="R3" s="362" t="s">
        <v>2583</v>
      </c>
      <c r="S3" s="362" t="s">
        <v>2584</v>
      </c>
      <c r="T3" s="362" t="s">
        <v>2585</v>
      </c>
    </row>
    <row r="4" s="346" customFormat="1" ht="12.75" spans="1:20">
      <c r="A4" s="357"/>
      <c r="B4" s="358" t="s">
        <v>2586</v>
      </c>
      <c r="C4" s="358" t="s">
        <v>2587</v>
      </c>
      <c r="D4" s="358" t="s">
        <v>2587</v>
      </c>
      <c r="E4" s="358" t="s">
        <v>2587</v>
      </c>
      <c r="F4" s="359" t="s">
        <v>2587</v>
      </c>
      <c r="G4" s="359" t="s">
        <v>2587</v>
      </c>
      <c r="H4" s="356"/>
      <c r="I4" s="363" t="s">
        <v>2588</v>
      </c>
      <c r="J4" s="363" t="s">
        <v>2589</v>
      </c>
      <c r="K4" s="363" t="s">
        <v>2590</v>
      </c>
      <c r="L4" s="362" t="s">
        <v>2591</v>
      </c>
      <c r="M4" s="362" t="s">
        <v>2592</v>
      </c>
      <c r="N4" s="362" t="s">
        <v>2593</v>
      </c>
      <c r="O4" s="362" t="s">
        <v>2594</v>
      </c>
      <c r="P4" s="362" t="s">
        <v>2595</v>
      </c>
      <c r="Q4" s="362" t="s">
        <v>2596</v>
      </c>
      <c r="R4" s="362" t="s">
        <v>2597</v>
      </c>
      <c r="S4" s="362" t="s">
        <v>2598</v>
      </c>
      <c r="T4" s="362" t="s">
        <v>2599</v>
      </c>
    </row>
    <row r="5" spans="1:20">
      <c r="A5" s="360" t="s">
        <v>230</v>
      </c>
      <c r="B5" s="361" t="s">
        <v>2561</v>
      </c>
      <c r="C5" s="361">
        <v>34550</v>
      </c>
      <c r="D5" s="361">
        <v>34470</v>
      </c>
      <c r="E5" s="361">
        <v>34330</v>
      </c>
      <c r="F5" s="361">
        <v>13400</v>
      </c>
      <c r="G5" s="361">
        <v>25450</v>
      </c>
      <c r="H5" s="356"/>
      <c r="I5" s="362" t="s">
        <v>2600</v>
      </c>
      <c r="J5" s="363" t="s">
        <v>2601</v>
      </c>
      <c r="K5" s="363" t="s">
        <v>2602</v>
      </c>
      <c r="L5" s="362" t="s">
        <v>2603</v>
      </c>
      <c r="M5" s="362" t="s">
        <v>2604</v>
      </c>
      <c r="N5" s="362" t="s">
        <v>2605</v>
      </c>
      <c r="O5" s="362" t="s">
        <v>2606</v>
      </c>
      <c r="P5" s="362" t="s">
        <v>2607</v>
      </c>
      <c r="Q5" s="362" t="s">
        <v>2608</v>
      </c>
      <c r="R5" s="362" t="s">
        <v>2609</v>
      </c>
      <c r="S5" s="362" t="s">
        <v>2610</v>
      </c>
      <c r="T5" s="362" t="s">
        <v>2611</v>
      </c>
    </row>
    <row r="6" ht="12.75" spans="1:20">
      <c r="A6" s="362" t="s">
        <v>230</v>
      </c>
      <c r="B6" s="362" t="s">
        <v>2574</v>
      </c>
      <c r="C6" s="362">
        <v>36990</v>
      </c>
      <c r="D6" s="362">
        <v>36850</v>
      </c>
      <c r="E6" s="362">
        <v>36700</v>
      </c>
      <c r="F6" s="362">
        <v>14590</v>
      </c>
      <c r="G6" s="362">
        <v>27450</v>
      </c>
      <c r="H6" s="356"/>
      <c r="I6" s="365" t="s">
        <v>2612</v>
      </c>
      <c r="J6" s="363" t="s">
        <v>2613</v>
      </c>
      <c r="K6" s="363" t="s">
        <v>2614</v>
      </c>
      <c r="L6" s="362" t="s">
        <v>2615</v>
      </c>
      <c r="M6" s="362" t="s">
        <v>2616</v>
      </c>
      <c r="N6" s="362" t="s">
        <v>2617</v>
      </c>
      <c r="O6" s="362" t="s">
        <v>2618</v>
      </c>
      <c r="P6" s="362" t="s">
        <v>2619</v>
      </c>
      <c r="Q6" s="362" t="s">
        <v>2620</v>
      </c>
      <c r="R6" s="362" t="s">
        <v>2621</v>
      </c>
      <c r="S6" s="362" t="s">
        <v>2622</v>
      </c>
      <c r="T6" s="362" t="s">
        <v>2623</v>
      </c>
    </row>
    <row r="7" spans="1:20">
      <c r="A7" s="362" t="s">
        <v>230</v>
      </c>
      <c r="B7" s="363" t="s">
        <v>2588</v>
      </c>
      <c r="C7" s="362">
        <v>34850</v>
      </c>
      <c r="D7" s="362">
        <v>34690</v>
      </c>
      <c r="E7" s="362">
        <v>34550</v>
      </c>
      <c r="F7" s="362">
        <v>14360</v>
      </c>
      <c r="G7" s="362">
        <v>25620</v>
      </c>
      <c r="H7" s="356"/>
      <c r="J7" s="363" t="s">
        <v>2624</v>
      </c>
      <c r="K7" s="363" t="s">
        <v>2625</v>
      </c>
      <c r="L7" s="362" t="s">
        <v>2626</v>
      </c>
      <c r="M7" s="362" t="s">
        <v>2627</v>
      </c>
      <c r="N7" s="362" t="s">
        <v>2628</v>
      </c>
      <c r="O7" s="362" t="s">
        <v>2629</v>
      </c>
      <c r="P7" s="362" t="s">
        <v>2630</v>
      </c>
      <c r="Q7" s="362" t="s">
        <v>2631</v>
      </c>
      <c r="R7" s="362" t="s">
        <v>2632</v>
      </c>
      <c r="S7" s="362" t="s">
        <v>2633</v>
      </c>
      <c r="T7" s="362" t="s">
        <v>2634</v>
      </c>
    </row>
    <row r="8" ht="12.75" spans="1:20">
      <c r="A8" s="362" t="s">
        <v>230</v>
      </c>
      <c r="B8" s="362" t="s">
        <v>2600</v>
      </c>
      <c r="C8" s="362">
        <v>32630</v>
      </c>
      <c r="D8" s="362">
        <v>32510</v>
      </c>
      <c r="E8" s="362">
        <v>32420</v>
      </c>
      <c r="F8" s="362">
        <v>13300</v>
      </c>
      <c r="G8" s="362">
        <v>24010</v>
      </c>
      <c r="H8" s="356"/>
      <c r="J8" s="363" t="s">
        <v>2635</v>
      </c>
      <c r="K8" s="363" t="s">
        <v>2636</v>
      </c>
      <c r="L8" s="362" t="s">
        <v>2637</v>
      </c>
      <c r="M8" s="362" t="s">
        <v>2638</v>
      </c>
      <c r="N8" s="362" t="s">
        <v>2639</v>
      </c>
      <c r="O8" s="362" t="s">
        <v>2640</v>
      </c>
      <c r="P8" s="362" t="s">
        <v>2641</v>
      </c>
      <c r="Q8" s="362" t="s">
        <v>2642</v>
      </c>
      <c r="R8" s="362" t="s">
        <v>2643</v>
      </c>
      <c r="S8" s="362" t="s">
        <v>2644</v>
      </c>
      <c r="T8" s="366" t="s">
        <v>2645</v>
      </c>
    </row>
    <row r="9" ht="12.75" spans="1:19">
      <c r="A9" s="364" t="s">
        <v>230</v>
      </c>
      <c r="B9" s="365" t="s">
        <v>2612</v>
      </c>
      <c r="C9" s="366">
        <v>36370</v>
      </c>
      <c r="D9" s="366">
        <v>36210</v>
      </c>
      <c r="E9" s="366">
        <v>36050</v>
      </c>
      <c r="F9" s="366"/>
      <c r="G9" s="366">
        <v>26740</v>
      </c>
      <c r="H9" s="356"/>
      <c r="J9" s="363" t="s">
        <v>2646</v>
      </c>
      <c r="K9" s="363" t="s">
        <v>2647</v>
      </c>
      <c r="L9" s="362" t="s">
        <v>2648</v>
      </c>
      <c r="M9" s="362" t="s">
        <v>2649</v>
      </c>
      <c r="N9" s="362" t="s">
        <v>2650</v>
      </c>
      <c r="O9" s="362" t="s">
        <v>2651</v>
      </c>
      <c r="P9" s="362" t="s">
        <v>2652</v>
      </c>
      <c r="Q9" s="362" t="s">
        <v>2653</v>
      </c>
      <c r="R9" s="362" t="s">
        <v>2654</v>
      </c>
      <c r="S9" s="362" t="s">
        <v>2655</v>
      </c>
    </row>
    <row r="10" spans="1:19">
      <c r="A10" s="360" t="s">
        <v>241</v>
      </c>
      <c r="B10" s="361" t="s">
        <v>2562</v>
      </c>
      <c r="C10" s="362">
        <v>32350</v>
      </c>
      <c r="D10" s="362">
        <v>31430</v>
      </c>
      <c r="E10" s="362">
        <v>31320</v>
      </c>
      <c r="F10" s="362">
        <v>10850</v>
      </c>
      <c r="G10" s="362">
        <v>22860</v>
      </c>
      <c r="H10" s="356"/>
      <c r="J10" s="363" t="s">
        <v>2656</v>
      </c>
      <c r="K10" s="363" t="s">
        <v>2657</v>
      </c>
      <c r="L10" s="362" t="s">
        <v>2658</v>
      </c>
      <c r="M10" s="362" t="s">
        <v>2659</v>
      </c>
      <c r="N10" s="362" t="s">
        <v>2660</v>
      </c>
      <c r="O10" s="362" t="s">
        <v>2661</v>
      </c>
      <c r="P10" s="362" t="s">
        <v>2662</v>
      </c>
      <c r="Q10" s="362" t="s">
        <v>2663</v>
      </c>
      <c r="R10" s="362" t="s">
        <v>2664</v>
      </c>
      <c r="S10" s="362" t="s">
        <v>2665</v>
      </c>
    </row>
    <row r="11" spans="1:19">
      <c r="A11" s="362" t="s">
        <v>241</v>
      </c>
      <c r="B11" s="363" t="s">
        <v>2575</v>
      </c>
      <c r="C11" s="362">
        <v>31590</v>
      </c>
      <c r="D11" s="362">
        <v>29490</v>
      </c>
      <c r="E11" s="362">
        <v>28700</v>
      </c>
      <c r="F11" s="362">
        <v>10410</v>
      </c>
      <c r="G11" s="362">
        <v>21460</v>
      </c>
      <c r="H11" s="356"/>
      <c r="J11" s="363" t="s">
        <v>2666</v>
      </c>
      <c r="K11" s="363" t="s">
        <v>2667</v>
      </c>
      <c r="L11" s="362" t="s">
        <v>2668</v>
      </c>
      <c r="M11" s="362" t="s">
        <v>2669</v>
      </c>
      <c r="N11" s="362" t="s">
        <v>2670</v>
      </c>
      <c r="O11" s="362" t="s">
        <v>2671</v>
      </c>
      <c r="P11" s="362" t="s">
        <v>2672</v>
      </c>
      <c r="Q11" s="362" t="s">
        <v>2673</v>
      </c>
      <c r="R11" s="362" t="s">
        <v>2674</v>
      </c>
      <c r="S11" s="362" t="s">
        <v>2675</v>
      </c>
    </row>
    <row r="12" spans="1:19">
      <c r="A12" s="362" t="s">
        <v>241</v>
      </c>
      <c r="B12" s="363" t="s">
        <v>2589</v>
      </c>
      <c r="C12" s="362">
        <v>29640</v>
      </c>
      <c r="D12" s="362">
        <v>27550</v>
      </c>
      <c r="E12" s="362">
        <v>28010</v>
      </c>
      <c r="F12" s="362">
        <v>8730</v>
      </c>
      <c r="G12" s="362">
        <v>20050</v>
      </c>
      <c r="H12" s="356"/>
      <c r="J12" s="363" t="s">
        <v>2676</v>
      </c>
      <c r="K12" s="363" t="s">
        <v>2677</v>
      </c>
      <c r="L12" s="362" t="s">
        <v>2678</v>
      </c>
      <c r="M12" s="362" t="s">
        <v>2679</v>
      </c>
      <c r="N12" s="362" t="s">
        <v>2680</v>
      </c>
      <c r="O12" s="362" t="s">
        <v>2681</v>
      </c>
      <c r="P12" s="362" t="s">
        <v>2682</v>
      </c>
      <c r="Q12" s="362" t="s">
        <v>2683</v>
      </c>
      <c r="R12" s="362" t="s">
        <v>2684</v>
      </c>
      <c r="S12" s="362" t="s">
        <v>2685</v>
      </c>
    </row>
    <row r="13" spans="1:19">
      <c r="A13" s="362" t="s">
        <v>241</v>
      </c>
      <c r="B13" s="363" t="s">
        <v>2601</v>
      </c>
      <c r="C13" s="362">
        <v>29680</v>
      </c>
      <c r="D13" s="362">
        <v>27660</v>
      </c>
      <c r="E13" s="362">
        <v>28210</v>
      </c>
      <c r="F13" s="362">
        <v>9590</v>
      </c>
      <c r="G13" s="362">
        <v>20120</v>
      </c>
      <c r="H13" s="356"/>
      <c r="J13" s="363" t="s">
        <v>2686</v>
      </c>
      <c r="K13" s="363" t="s">
        <v>2687</v>
      </c>
      <c r="L13" s="362" t="s">
        <v>2688</v>
      </c>
      <c r="M13" s="362" t="s">
        <v>2689</v>
      </c>
      <c r="N13" s="362" t="s">
        <v>2690</v>
      </c>
      <c r="O13" s="362" t="s">
        <v>2691</v>
      </c>
      <c r="P13" s="362" t="s">
        <v>2692</v>
      </c>
      <c r="Q13" s="362" t="s">
        <v>2693</v>
      </c>
      <c r="R13" s="362" t="s">
        <v>2694</v>
      </c>
      <c r="S13" s="362" t="s">
        <v>2695</v>
      </c>
    </row>
    <row r="14" spans="1:19">
      <c r="A14" s="362" t="s">
        <v>241</v>
      </c>
      <c r="B14" s="363" t="s">
        <v>2613</v>
      </c>
      <c r="C14" s="362">
        <v>30520</v>
      </c>
      <c r="D14" s="362">
        <v>29510</v>
      </c>
      <c r="E14" s="362">
        <v>29400</v>
      </c>
      <c r="F14" s="362">
        <v>9630</v>
      </c>
      <c r="G14" s="362">
        <v>21480</v>
      </c>
      <c r="H14" s="356"/>
      <c r="J14" s="363" t="s">
        <v>2696</v>
      </c>
      <c r="K14" s="363" t="s">
        <v>2697</v>
      </c>
      <c r="L14" s="362" t="s">
        <v>2698</v>
      </c>
      <c r="M14" s="362" t="s">
        <v>2699</v>
      </c>
      <c r="N14" s="362" t="s">
        <v>2700</v>
      </c>
      <c r="O14" s="362" t="s">
        <v>2701</v>
      </c>
      <c r="P14" s="362" t="s">
        <v>2702</v>
      </c>
      <c r="Q14" s="362" t="s">
        <v>2703</v>
      </c>
      <c r="R14" s="362" t="s">
        <v>2704</v>
      </c>
      <c r="S14" s="362" t="s">
        <v>2705</v>
      </c>
    </row>
    <row r="15" spans="1:19">
      <c r="A15" s="362" t="s">
        <v>241</v>
      </c>
      <c r="B15" s="363" t="s">
        <v>2624</v>
      </c>
      <c r="C15" s="362">
        <v>29090</v>
      </c>
      <c r="D15" s="362">
        <v>27590</v>
      </c>
      <c r="E15" s="362">
        <v>28120</v>
      </c>
      <c r="F15" s="362">
        <v>9110</v>
      </c>
      <c r="G15" s="362">
        <v>20070</v>
      </c>
      <c r="H15" s="356"/>
      <c r="J15" s="363" t="s">
        <v>2706</v>
      </c>
      <c r="K15" s="363" t="s">
        <v>2707</v>
      </c>
      <c r="L15" s="362" t="s">
        <v>2708</v>
      </c>
      <c r="M15" s="362" t="s">
        <v>2709</v>
      </c>
      <c r="N15" s="362" t="s">
        <v>2710</v>
      </c>
      <c r="O15" s="362" t="s">
        <v>2711</v>
      </c>
      <c r="P15" s="362" t="s">
        <v>2712</v>
      </c>
      <c r="Q15" s="362" t="s">
        <v>2713</v>
      </c>
      <c r="R15" s="362" t="s">
        <v>2714</v>
      </c>
      <c r="S15" s="362" t="s">
        <v>2715</v>
      </c>
    </row>
    <row r="16" spans="1:19">
      <c r="A16" s="362" t="s">
        <v>241</v>
      </c>
      <c r="B16" s="363" t="s">
        <v>2635</v>
      </c>
      <c r="C16" s="362">
        <v>26790</v>
      </c>
      <c r="D16" s="362">
        <v>30370</v>
      </c>
      <c r="E16" s="362">
        <v>30240</v>
      </c>
      <c r="F16" s="362">
        <v>11590</v>
      </c>
      <c r="G16" s="362">
        <v>22090</v>
      </c>
      <c r="H16" s="356"/>
      <c r="J16" s="363" t="s">
        <v>2716</v>
      </c>
      <c r="K16" s="363" t="s">
        <v>2717</v>
      </c>
      <c r="L16" s="362" t="s">
        <v>2718</v>
      </c>
      <c r="M16" s="362" t="s">
        <v>2719</v>
      </c>
      <c r="N16" s="362" t="s">
        <v>2720</v>
      </c>
      <c r="O16" s="362" t="s">
        <v>2721</v>
      </c>
      <c r="P16" s="362" t="s">
        <v>2722</v>
      </c>
      <c r="Q16" s="362" t="s">
        <v>2723</v>
      </c>
      <c r="R16" s="362" t="s">
        <v>2724</v>
      </c>
      <c r="S16" s="362" t="s">
        <v>2725</v>
      </c>
    </row>
    <row r="17" ht="14.25" customHeight="1" spans="1:19">
      <c r="A17" s="362" t="s">
        <v>241</v>
      </c>
      <c r="B17" s="363" t="s">
        <v>2646</v>
      </c>
      <c r="C17" s="362">
        <v>29180</v>
      </c>
      <c r="D17" s="362">
        <v>27620</v>
      </c>
      <c r="E17" s="362">
        <v>28180</v>
      </c>
      <c r="F17" s="362">
        <v>10790</v>
      </c>
      <c r="G17" s="362">
        <v>20090</v>
      </c>
      <c r="H17" s="356"/>
      <c r="J17" s="363" t="s">
        <v>2726</v>
      </c>
      <c r="K17" s="363" t="s">
        <v>2727</v>
      </c>
      <c r="L17" s="362" t="s">
        <v>2728</v>
      </c>
      <c r="M17" s="362" t="s">
        <v>2729</v>
      </c>
      <c r="N17" s="362" t="s">
        <v>2730</v>
      </c>
      <c r="O17" s="362" t="s">
        <v>2731</v>
      </c>
      <c r="P17" s="362" t="s">
        <v>2732</v>
      </c>
      <c r="Q17" s="362" t="s">
        <v>2733</v>
      </c>
      <c r="R17" s="362" t="s">
        <v>2734</v>
      </c>
      <c r="S17" s="362" t="s">
        <v>2735</v>
      </c>
    </row>
    <row r="18" ht="14.25" customHeight="1" spans="1:19">
      <c r="A18" s="362" t="s">
        <v>241</v>
      </c>
      <c r="B18" s="363" t="s">
        <v>2656</v>
      </c>
      <c r="C18" s="362">
        <v>26840</v>
      </c>
      <c r="D18" s="362">
        <v>28930</v>
      </c>
      <c r="E18" s="362">
        <v>28820</v>
      </c>
      <c r="F18" s="362"/>
      <c r="G18" s="362">
        <v>21050</v>
      </c>
      <c r="H18" s="356"/>
      <c r="J18" s="363" t="s">
        <v>2736</v>
      </c>
      <c r="K18" s="363" t="s">
        <v>2737</v>
      </c>
      <c r="L18" s="362" t="s">
        <v>2738</v>
      </c>
      <c r="M18" s="362" t="s">
        <v>2739</v>
      </c>
      <c r="N18" s="362" t="s">
        <v>2740</v>
      </c>
      <c r="O18" s="362" t="s">
        <v>2741</v>
      </c>
      <c r="P18" s="362" t="s">
        <v>2742</v>
      </c>
      <c r="Q18" s="362" t="s">
        <v>2743</v>
      </c>
      <c r="R18" s="362" t="s">
        <v>2744</v>
      </c>
      <c r="S18" s="362" t="s">
        <v>2745</v>
      </c>
    </row>
    <row r="19" ht="14.25" customHeight="1" spans="1:19">
      <c r="A19" s="362" t="s">
        <v>241</v>
      </c>
      <c r="B19" s="363" t="s">
        <v>2666</v>
      </c>
      <c r="C19" s="362">
        <v>27750</v>
      </c>
      <c r="D19" s="362">
        <v>26680</v>
      </c>
      <c r="E19" s="362">
        <v>26590</v>
      </c>
      <c r="F19" s="362"/>
      <c r="G19" s="362">
        <v>19420</v>
      </c>
      <c r="H19" s="356"/>
      <c r="J19" s="363" t="s">
        <v>2746</v>
      </c>
      <c r="K19" s="363" t="s">
        <v>2747</v>
      </c>
      <c r="L19" s="362" t="s">
        <v>2748</v>
      </c>
      <c r="M19" s="362" t="s">
        <v>2749</v>
      </c>
      <c r="N19" s="362" t="s">
        <v>2750</v>
      </c>
      <c r="O19" s="362" t="s">
        <v>2751</v>
      </c>
      <c r="P19" s="362" t="s">
        <v>2752</v>
      </c>
      <c r="Q19" s="362" t="s">
        <v>2753</v>
      </c>
      <c r="R19" s="362" t="s">
        <v>2754</v>
      </c>
      <c r="S19" s="362" t="s">
        <v>2755</v>
      </c>
    </row>
    <row r="20" ht="14.25" customHeight="1" spans="1:19">
      <c r="A20" s="362" t="s">
        <v>241</v>
      </c>
      <c r="B20" s="363" t="s">
        <v>2676</v>
      </c>
      <c r="C20" s="362">
        <v>27050</v>
      </c>
      <c r="D20" s="362">
        <v>29010</v>
      </c>
      <c r="E20" s="362">
        <v>28910</v>
      </c>
      <c r="F20" s="362"/>
      <c r="G20" s="362">
        <v>21110</v>
      </c>
      <c r="J20" s="363" t="s">
        <v>2756</v>
      </c>
      <c r="K20" s="363" t="s">
        <v>2757</v>
      </c>
      <c r="L20" s="362" t="s">
        <v>2758</v>
      </c>
      <c r="M20" s="362" t="s">
        <v>2759</v>
      </c>
      <c r="N20" s="362" t="s">
        <v>2760</v>
      </c>
      <c r="O20" s="362" t="s">
        <v>2761</v>
      </c>
      <c r="P20" s="362" t="s">
        <v>2762</v>
      </c>
      <c r="Q20" s="362" t="s">
        <v>2763</v>
      </c>
      <c r="R20" s="362" t="s">
        <v>2764</v>
      </c>
      <c r="S20" s="362" t="s">
        <v>2765</v>
      </c>
    </row>
    <row r="21" ht="14.25" customHeight="1" spans="1:19">
      <c r="A21" s="362" t="s">
        <v>241</v>
      </c>
      <c r="B21" s="363" t="s">
        <v>2686</v>
      </c>
      <c r="C21" s="362">
        <v>32370</v>
      </c>
      <c r="D21" s="362">
        <v>26730</v>
      </c>
      <c r="E21" s="362">
        <v>26640</v>
      </c>
      <c r="F21" s="362"/>
      <c r="G21" s="362">
        <v>19440</v>
      </c>
      <c r="J21" s="366" t="s">
        <v>2766</v>
      </c>
      <c r="K21" s="363" t="s">
        <v>2767</v>
      </c>
      <c r="L21" s="362" t="s">
        <v>2768</v>
      </c>
      <c r="M21" s="362" t="s">
        <v>2769</v>
      </c>
      <c r="N21" s="362" t="s">
        <v>2770</v>
      </c>
      <c r="O21" s="362" t="s">
        <v>2771</v>
      </c>
      <c r="P21" s="362" t="s">
        <v>2772</v>
      </c>
      <c r="Q21" s="362" t="s">
        <v>2773</v>
      </c>
      <c r="R21" s="362" t="s">
        <v>2774</v>
      </c>
      <c r="S21" s="366" t="s">
        <v>2775</v>
      </c>
    </row>
    <row r="22" ht="14.25" customHeight="1" spans="1:18">
      <c r="A22" s="362" t="s">
        <v>241</v>
      </c>
      <c r="B22" s="363" t="s">
        <v>2696</v>
      </c>
      <c r="C22" s="362">
        <v>29830</v>
      </c>
      <c r="D22" s="362">
        <v>27600</v>
      </c>
      <c r="E22" s="362">
        <v>28150</v>
      </c>
      <c r="F22" s="362"/>
      <c r="G22" s="362">
        <v>20080</v>
      </c>
      <c r="K22" s="363" t="s">
        <v>2776</v>
      </c>
      <c r="L22" s="362" t="s">
        <v>2777</v>
      </c>
      <c r="M22" s="362" t="s">
        <v>2778</v>
      </c>
      <c r="N22" s="362" t="s">
        <v>2779</v>
      </c>
      <c r="O22" s="362" t="s">
        <v>2780</v>
      </c>
      <c r="P22" s="362" t="s">
        <v>2781</v>
      </c>
      <c r="Q22" s="362" t="s">
        <v>2782</v>
      </c>
      <c r="R22" s="362" t="s">
        <v>2783</v>
      </c>
    </row>
    <row r="23" ht="14.25" customHeight="1" spans="1:18">
      <c r="A23" s="362" t="s">
        <v>241</v>
      </c>
      <c r="B23" s="363" t="s">
        <v>2706</v>
      </c>
      <c r="C23" s="362">
        <v>27800</v>
      </c>
      <c r="D23" s="362">
        <v>26900</v>
      </c>
      <c r="E23" s="362">
        <v>27170</v>
      </c>
      <c r="F23" s="362"/>
      <c r="G23" s="362">
        <v>19570</v>
      </c>
      <c r="K23" s="363" t="s">
        <v>2784</v>
      </c>
      <c r="L23" s="362" t="s">
        <v>2785</v>
      </c>
      <c r="M23" s="362" t="s">
        <v>2786</v>
      </c>
      <c r="N23" s="362" t="s">
        <v>2787</v>
      </c>
      <c r="O23" s="362" t="s">
        <v>2788</v>
      </c>
      <c r="P23" s="362" t="s">
        <v>2789</v>
      </c>
      <c r="Q23" s="362" t="s">
        <v>2790</v>
      </c>
      <c r="R23" s="362" t="s">
        <v>2791</v>
      </c>
    </row>
    <row r="24" ht="14.25" customHeight="1" spans="1:18">
      <c r="A24" s="362" t="s">
        <v>241</v>
      </c>
      <c r="B24" s="363" t="s">
        <v>2716</v>
      </c>
      <c r="C24" s="362">
        <v>27930</v>
      </c>
      <c r="D24" s="362">
        <v>32260</v>
      </c>
      <c r="E24" s="362">
        <v>32120</v>
      </c>
      <c r="F24" s="362"/>
      <c r="G24" s="362">
        <v>23470</v>
      </c>
      <c r="K24" s="363" t="s">
        <v>2792</v>
      </c>
      <c r="L24" s="362" t="s">
        <v>2793</v>
      </c>
      <c r="M24" s="362" t="s">
        <v>2794</v>
      </c>
      <c r="N24" s="362" t="s">
        <v>2795</v>
      </c>
      <c r="O24" s="362" t="s">
        <v>2796</v>
      </c>
      <c r="P24" s="362" t="s">
        <v>2797</v>
      </c>
      <c r="Q24" s="376" t="s">
        <v>2798</v>
      </c>
      <c r="R24" s="362" t="s">
        <v>2799</v>
      </c>
    </row>
    <row r="25" ht="14.25" customHeight="1" spans="1:18">
      <c r="A25" s="362" t="s">
        <v>241</v>
      </c>
      <c r="B25" s="363" t="s">
        <v>2726</v>
      </c>
      <c r="C25" s="362">
        <v>32230</v>
      </c>
      <c r="D25" s="362">
        <v>29640</v>
      </c>
      <c r="E25" s="362">
        <v>29510</v>
      </c>
      <c r="F25" s="362"/>
      <c r="G25" s="362">
        <v>21560</v>
      </c>
      <c r="K25" s="363" t="s">
        <v>2800</v>
      </c>
      <c r="L25" s="362" t="s">
        <v>2801</v>
      </c>
      <c r="M25" s="362" t="s">
        <v>2802</v>
      </c>
      <c r="N25" s="362" t="s">
        <v>2803</v>
      </c>
      <c r="O25" s="362" t="s">
        <v>2804</v>
      </c>
      <c r="P25" s="362" t="s">
        <v>2805</v>
      </c>
      <c r="Q25" s="376" t="s">
        <v>2806</v>
      </c>
      <c r="R25" s="362" t="s">
        <v>2807</v>
      </c>
    </row>
    <row r="26" ht="14.25" customHeight="1" spans="1:18">
      <c r="A26" s="362" t="s">
        <v>241</v>
      </c>
      <c r="B26" s="363" t="s">
        <v>2736</v>
      </c>
      <c r="C26" s="362">
        <v>31690</v>
      </c>
      <c r="D26" s="362">
        <v>27650</v>
      </c>
      <c r="E26" s="362">
        <v>28200</v>
      </c>
      <c r="F26" s="362"/>
      <c r="G26" s="362">
        <v>20110</v>
      </c>
      <c r="K26" s="365" t="s">
        <v>2808</v>
      </c>
      <c r="L26" s="362" t="s">
        <v>2809</v>
      </c>
      <c r="M26" s="362" t="s">
        <v>2810</v>
      </c>
      <c r="N26" s="362" t="s">
        <v>2811</v>
      </c>
      <c r="O26" s="362" t="s">
        <v>2812</v>
      </c>
      <c r="P26" s="362" t="s">
        <v>2813</v>
      </c>
      <c r="Q26" s="376" t="s">
        <v>2814</v>
      </c>
      <c r="R26" s="362" t="s">
        <v>2815</v>
      </c>
    </row>
    <row r="27" ht="14.25" customHeight="1" spans="1:18">
      <c r="A27" s="362" t="s">
        <v>241</v>
      </c>
      <c r="B27" s="363" t="s">
        <v>2746</v>
      </c>
      <c r="C27" s="362">
        <v>29610</v>
      </c>
      <c r="D27" s="362">
        <v>27770</v>
      </c>
      <c r="E27" s="362">
        <v>28300</v>
      </c>
      <c r="F27" s="362"/>
      <c r="G27" s="362">
        <v>20210</v>
      </c>
      <c r="L27" s="362" t="s">
        <v>2816</v>
      </c>
      <c r="M27" s="362" t="s">
        <v>2817</v>
      </c>
      <c r="N27" s="362" t="s">
        <v>2818</v>
      </c>
      <c r="O27" s="362" t="s">
        <v>2819</v>
      </c>
      <c r="P27" s="362" t="s">
        <v>2820</v>
      </c>
      <c r="Q27" s="362" t="s">
        <v>2821</v>
      </c>
      <c r="R27" s="362" t="s">
        <v>2822</v>
      </c>
    </row>
    <row r="28" ht="14.25" customHeight="1" spans="1:18">
      <c r="A28" s="362" t="s">
        <v>241</v>
      </c>
      <c r="B28" s="363" t="s">
        <v>2756</v>
      </c>
      <c r="C28" s="362"/>
      <c r="D28" s="362">
        <v>31520</v>
      </c>
      <c r="E28" s="362">
        <v>31410</v>
      </c>
      <c r="F28" s="362"/>
      <c r="G28" s="362">
        <v>22940</v>
      </c>
      <c r="L28" s="362" t="s">
        <v>2823</v>
      </c>
      <c r="M28" s="362" t="s">
        <v>2824</v>
      </c>
      <c r="N28" s="362" t="s">
        <v>2825</v>
      </c>
      <c r="O28" s="362" t="s">
        <v>2826</v>
      </c>
      <c r="P28" s="362" t="s">
        <v>2827</v>
      </c>
      <c r="Q28" s="362" t="s">
        <v>2828</v>
      </c>
      <c r="R28" s="362" t="s">
        <v>2829</v>
      </c>
    </row>
    <row r="29" ht="14.25" customHeight="1" spans="1:18">
      <c r="A29" s="364" t="s">
        <v>241</v>
      </c>
      <c r="B29" s="367" t="s">
        <v>2766</v>
      </c>
      <c r="C29" s="368"/>
      <c r="D29" s="368">
        <v>29460</v>
      </c>
      <c r="E29" s="368">
        <v>28640</v>
      </c>
      <c r="F29" s="368"/>
      <c r="G29" s="368">
        <v>21430</v>
      </c>
      <c r="L29" s="362" t="s">
        <v>2830</v>
      </c>
      <c r="M29" s="362" t="s">
        <v>2831</v>
      </c>
      <c r="N29" s="362" t="s">
        <v>2832</v>
      </c>
      <c r="O29" s="362" t="s">
        <v>2833</v>
      </c>
      <c r="P29" s="362" t="s">
        <v>2834</v>
      </c>
      <c r="Q29" s="362" t="s">
        <v>2835</v>
      </c>
      <c r="R29" s="362" t="s">
        <v>2836</v>
      </c>
    </row>
    <row r="30" ht="14.25" customHeight="1" spans="1:18">
      <c r="A30" s="360" t="s">
        <v>251</v>
      </c>
      <c r="B30" s="361" t="s">
        <v>2563</v>
      </c>
      <c r="C30" s="361">
        <v>26890</v>
      </c>
      <c r="D30" s="361">
        <v>26770</v>
      </c>
      <c r="E30" s="361">
        <v>25700</v>
      </c>
      <c r="F30" s="361">
        <v>8180</v>
      </c>
      <c r="G30" s="369">
        <v>18740</v>
      </c>
      <c r="L30" s="362" t="s">
        <v>2837</v>
      </c>
      <c r="M30" s="362" t="s">
        <v>2838</v>
      </c>
      <c r="N30" s="362" t="s">
        <v>2839</v>
      </c>
      <c r="O30" s="362" t="s">
        <v>2840</v>
      </c>
      <c r="P30" s="362" t="s">
        <v>2841</v>
      </c>
      <c r="Q30" s="362" t="s">
        <v>2842</v>
      </c>
      <c r="R30" s="362" t="s">
        <v>2843</v>
      </c>
    </row>
    <row r="31" ht="14.25" customHeight="1" spans="1:18">
      <c r="A31" s="362" t="s">
        <v>251</v>
      </c>
      <c r="B31" s="363" t="s">
        <v>2576</v>
      </c>
      <c r="C31" s="362">
        <v>24550</v>
      </c>
      <c r="D31" s="362">
        <v>23990</v>
      </c>
      <c r="E31" s="362">
        <v>22930</v>
      </c>
      <c r="F31" s="362">
        <v>7470</v>
      </c>
      <c r="G31" s="370">
        <v>16790</v>
      </c>
      <c r="L31" s="362" t="s">
        <v>2844</v>
      </c>
      <c r="M31" s="362" t="s">
        <v>2845</v>
      </c>
      <c r="N31" s="362" t="s">
        <v>2846</v>
      </c>
      <c r="O31" s="362" t="s">
        <v>2847</v>
      </c>
      <c r="P31" s="362" t="s">
        <v>2848</v>
      </c>
      <c r="Q31" s="362" t="s">
        <v>2849</v>
      </c>
      <c r="R31" s="362" t="s">
        <v>2850</v>
      </c>
    </row>
    <row r="32" ht="14.25" customHeight="1" spans="1:18">
      <c r="A32" s="362" t="s">
        <v>251</v>
      </c>
      <c r="B32" s="363" t="s">
        <v>2590</v>
      </c>
      <c r="C32" s="362">
        <v>27210</v>
      </c>
      <c r="D32" s="362">
        <v>23240</v>
      </c>
      <c r="E32" s="362">
        <v>23260</v>
      </c>
      <c r="F32" s="362">
        <v>7130</v>
      </c>
      <c r="G32" s="370">
        <v>16270</v>
      </c>
      <c r="L32" s="362" t="s">
        <v>2851</v>
      </c>
      <c r="M32" s="362" t="s">
        <v>2852</v>
      </c>
      <c r="N32" s="362" t="s">
        <v>2853</v>
      </c>
      <c r="O32" s="362" t="s">
        <v>2854</v>
      </c>
      <c r="P32" s="362" t="s">
        <v>2855</v>
      </c>
      <c r="Q32" s="362" t="s">
        <v>2856</v>
      </c>
      <c r="R32" s="366" t="s">
        <v>2857</v>
      </c>
    </row>
    <row r="33" ht="14.25" customHeight="1" spans="1:17">
      <c r="A33" s="362" t="s">
        <v>251</v>
      </c>
      <c r="B33" s="363" t="s">
        <v>2602</v>
      </c>
      <c r="C33" s="362">
        <v>27300</v>
      </c>
      <c r="D33" s="362">
        <v>22980</v>
      </c>
      <c r="E33" s="362">
        <v>24260</v>
      </c>
      <c r="F33" s="362">
        <v>5860</v>
      </c>
      <c r="G33" s="370">
        <v>16090</v>
      </c>
      <c r="L33" s="366" t="s">
        <v>2858</v>
      </c>
      <c r="M33" s="362" t="s">
        <v>2859</v>
      </c>
      <c r="N33" s="362" t="s">
        <v>2860</v>
      </c>
      <c r="O33" s="362" t="s">
        <v>2861</v>
      </c>
      <c r="P33" s="362" t="s">
        <v>2862</v>
      </c>
      <c r="Q33" s="362" t="s">
        <v>2863</v>
      </c>
    </row>
    <row r="34" ht="14.25" customHeight="1" spans="1:17">
      <c r="A34" s="362" t="s">
        <v>251</v>
      </c>
      <c r="B34" s="363" t="s">
        <v>2614</v>
      </c>
      <c r="C34" s="362">
        <v>23090</v>
      </c>
      <c r="D34" s="362">
        <v>23390</v>
      </c>
      <c r="E34" s="362">
        <v>23510</v>
      </c>
      <c r="F34" s="362">
        <v>6700</v>
      </c>
      <c r="G34" s="370">
        <v>16370</v>
      </c>
      <c r="M34" s="362" t="s">
        <v>2864</v>
      </c>
      <c r="N34" s="362" t="s">
        <v>2865</v>
      </c>
      <c r="O34" s="362" t="s">
        <v>2866</v>
      </c>
      <c r="P34" s="362" t="s">
        <v>2867</v>
      </c>
      <c r="Q34" s="362" t="s">
        <v>2868</v>
      </c>
    </row>
    <row r="35" ht="14.25" customHeight="1" spans="1:17">
      <c r="A35" s="362" t="s">
        <v>251</v>
      </c>
      <c r="B35" s="363" t="s">
        <v>2625</v>
      </c>
      <c r="C35" s="362">
        <v>27270</v>
      </c>
      <c r="D35" s="362">
        <v>24270</v>
      </c>
      <c r="E35" s="362">
        <v>24950</v>
      </c>
      <c r="F35" s="362">
        <v>6600</v>
      </c>
      <c r="G35" s="370">
        <v>16990</v>
      </c>
      <c r="M35" s="362" t="s">
        <v>2869</v>
      </c>
      <c r="N35" s="362" t="s">
        <v>2870</v>
      </c>
      <c r="O35" s="362" t="s">
        <v>2871</v>
      </c>
      <c r="P35" s="362" t="s">
        <v>2872</v>
      </c>
      <c r="Q35" s="362" t="s">
        <v>2873</v>
      </c>
    </row>
    <row r="36" ht="14.25" customHeight="1" spans="1:17">
      <c r="A36" s="362" t="s">
        <v>251</v>
      </c>
      <c r="B36" s="363" t="s">
        <v>2636</v>
      </c>
      <c r="C36" s="362">
        <v>23490</v>
      </c>
      <c r="D36" s="362">
        <v>23020</v>
      </c>
      <c r="E36" s="362">
        <v>25230</v>
      </c>
      <c r="F36" s="362">
        <v>6780</v>
      </c>
      <c r="G36" s="370">
        <v>16120</v>
      </c>
      <c r="M36" s="362" t="s">
        <v>2874</v>
      </c>
      <c r="N36" s="362" t="s">
        <v>2875</v>
      </c>
      <c r="O36" s="362" t="s">
        <v>2876</v>
      </c>
      <c r="P36" s="362" t="s">
        <v>2877</v>
      </c>
      <c r="Q36" s="362" t="s">
        <v>2878</v>
      </c>
    </row>
    <row r="37" ht="14.25" customHeight="1" spans="1:17">
      <c r="A37" s="362" t="s">
        <v>251</v>
      </c>
      <c r="B37" s="363" t="s">
        <v>2647</v>
      </c>
      <c r="C37" s="362">
        <v>24380</v>
      </c>
      <c r="D37" s="362">
        <v>22240</v>
      </c>
      <c r="E37" s="362">
        <v>25980</v>
      </c>
      <c r="F37" s="362">
        <v>8160</v>
      </c>
      <c r="G37" s="370">
        <v>15570</v>
      </c>
      <c r="M37" s="362" t="s">
        <v>2879</v>
      </c>
      <c r="N37" s="362" t="s">
        <v>2880</v>
      </c>
      <c r="O37" s="362" t="s">
        <v>2881</v>
      </c>
      <c r="P37" s="362" t="s">
        <v>2882</v>
      </c>
      <c r="Q37" s="362" t="s">
        <v>2883</v>
      </c>
    </row>
    <row r="38" ht="14.25" customHeight="1" spans="1:17">
      <c r="A38" s="362" t="s">
        <v>251</v>
      </c>
      <c r="B38" s="363" t="s">
        <v>2657</v>
      </c>
      <c r="C38" s="362">
        <v>23120</v>
      </c>
      <c r="D38" s="362">
        <v>24630</v>
      </c>
      <c r="E38" s="362">
        <v>25030</v>
      </c>
      <c r="F38" s="362">
        <v>7710</v>
      </c>
      <c r="G38" s="370">
        <v>17240</v>
      </c>
      <c r="M38" s="362" t="s">
        <v>2884</v>
      </c>
      <c r="N38" s="362" t="s">
        <v>2885</v>
      </c>
      <c r="O38" s="362" t="s">
        <v>2886</v>
      </c>
      <c r="P38" s="362" t="s">
        <v>2887</v>
      </c>
      <c r="Q38" s="362" t="s">
        <v>2888</v>
      </c>
    </row>
    <row r="39" ht="14.25" customHeight="1" spans="1:17">
      <c r="A39" s="362" t="s">
        <v>251</v>
      </c>
      <c r="B39" s="363" t="s">
        <v>2667</v>
      </c>
      <c r="C39" s="362">
        <v>22330</v>
      </c>
      <c r="D39" s="362">
        <v>21140</v>
      </c>
      <c r="E39" s="362">
        <v>23970</v>
      </c>
      <c r="F39" s="362">
        <v>7940</v>
      </c>
      <c r="G39" s="370">
        <v>14790</v>
      </c>
      <c r="M39" s="362" t="s">
        <v>2889</v>
      </c>
      <c r="N39" s="362" t="s">
        <v>2890</v>
      </c>
      <c r="O39" s="362" t="s">
        <v>2891</v>
      </c>
      <c r="P39" s="362" t="s">
        <v>2892</v>
      </c>
      <c r="Q39" s="362" t="s">
        <v>2893</v>
      </c>
    </row>
    <row r="40" ht="14.25" customHeight="1" spans="1:17">
      <c r="A40" s="362" t="s">
        <v>251</v>
      </c>
      <c r="B40" s="363" t="s">
        <v>2677</v>
      </c>
      <c r="C40" s="362">
        <v>24740</v>
      </c>
      <c r="D40" s="362">
        <v>24690</v>
      </c>
      <c r="E40" s="362">
        <v>22610</v>
      </c>
      <c r="F40" s="362"/>
      <c r="G40" s="370">
        <v>17280</v>
      </c>
      <c r="M40" s="362" t="s">
        <v>2894</v>
      </c>
      <c r="N40" s="362" t="s">
        <v>2895</v>
      </c>
      <c r="O40" s="362" t="s">
        <v>2896</v>
      </c>
      <c r="P40" s="362" t="s">
        <v>2897</v>
      </c>
      <c r="Q40" s="362" t="s">
        <v>2898</v>
      </c>
    </row>
    <row r="41" ht="14.25" customHeight="1" spans="1:17">
      <c r="A41" s="362" t="s">
        <v>251</v>
      </c>
      <c r="B41" s="363" t="s">
        <v>2687</v>
      </c>
      <c r="C41" s="362">
        <v>21220</v>
      </c>
      <c r="D41" s="362">
        <v>21120</v>
      </c>
      <c r="E41" s="362">
        <v>22590</v>
      </c>
      <c r="F41" s="362"/>
      <c r="G41" s="370">
        <v>14780</v>
      </c>
      <c r="M41" s="366" t="s">
        <v>2899</v>
      </c>
      <c r="N41" s="362" t="s">
        <v>2900</v>
      </c>
      <c r="O41" s="362" t="s">
        <v>2901</v>
      </c>
      <c r="P41" s="362" t="s">
        <v>2902</v>
      </c>
      <c r="Q41" s="362" t="s">
        <v>2903</v>
      </c>
    </row>
    <row r="42" ht="14.25" customHeight="1" spans="1:17">
      <c r="A42" s="362" t="s">
        <v>251</v>
      </c>
      <c r="B42" s="363" t="s">
        <v>2697</v>
      </c>
      <c r="C42" s="362">
        <v>24800</v>
      </c>
      <c r="D42" s="362">
        <v>22280</v>
      </c>
      <c r="E42" s="362">
        <v>24350</v>
      </c>
      <c r="F42" s="362"/>
      <c r="G42" s="370">
        <v>15590</v>
      </c>
      <c r="N42" s="362" t="s">
        <v>2904</v>
      </c>
      <c r="O42" s="362" t="s">
        <v>2905</v>
      </c>
      <c r="P42" s="362" t="s">
        <v>2906</v>
      </c>
      <c r="Q42" s="362" t="s">
        <v>2907</v>
      </c>
    </row>
    <row r="43" ht="14.25" customHeight="1" spans="1:17">
      <c r="A43" s="362" t="s">
        <v>251</v>
      </c>
      <c r="B43" s="363" t="s">
        <v>2707</v>
      </c>
      <c r="C43" s="362">
        <v>21210</v>
      </c>
      <c r="D43" s="362">
        <v>21160</v>
      </c>
      <c r="E43" s="362">
        <v>22650</v>
      </c>
      <c r="F43" s="362"/>
      <c r="G43" s="370">
        <v>14800</v>
      </c>
      <c r="N43" s="362" t="s">
        <v>2908</v>
      </c>
      <c r="O43" s="362" t="s">
        <v>2909</v>
      </c>
      <c r="P43" s="362" t="s">
        <v>2910</v>
      </c>
      <c r="Q43" s="362" t="s">
        <v>2911</v>
      </c>
    </row>
    <row r="44" ht="14.25" customHeight="1" spans="1:17">
      <c r="A44" s="362" t="s">
        <v>251</v>
      </c>
      <c r="B44" s="363" t="s">
        <v>2717</v>
      </c>
      <c r="C44" s="362">
        <v>22370</v>
      </c>
      <c r="D44" s="362">
        <v>23140</v>
      </c>
      <c r="E44" s="362">
        <v>25090</v>
      </c>
      <c r="F44" s="362"/>
      <c r="G44" s="370">
        <v>16190</v>
      </c>
      <c r="N44" s="362" t="s">
        <v>2912</v>
      </c>
      <c r="O44" s="362" t="s">
        <v>2913</v>
      </c>
      <c r="P44" s="366" t="s">
        <v>2914</v>
      </c>
      <c r="Q44" s="362" t="s">
        <v>2915</v>
      </c>
    </row>
    <row r="45" ht="14.25" customHeight="1" spans="1:17">
      <c r="A45" s="362" t="s">
        <v>251</v>
      </c>
      <c r="B45" s="363" t="s">
        <v>2727</v>
      </c>
      <c r="C45" s="362">
        <v>21240</v>
      </c>
      <c r="D45" s="362">
        <v>27050</v>
      </c>
      <c r="E45" s="362">
        <v>28000</v>
      </c>
      <c r="F45" s="362"/>
      <c r="G45" s="370">
        <v>18940</v>
      </c>
      <c r="N45" s="362" t="s">
        <v>2916</v>
      </c>
      <c r="O45" s="366" t="s">
        <v>2917</v>
      </c>
      <c r="Q45" s="362" t="s">
        <v>2918</v>
      </c>
    </row>
    <row r="46" ht="14.25" customHeight="1" spans="1:17">
      <c r="A46" s="362" t="s">
        <v>251</v>
      </c>
      <c r="B46" s="363" t="s">
        <v>2737</v>
      </c>
      <c r="C46" s="362">
        <v>23240</v>
      </c>
      <c r="D46" s="362">
        <v>23000</v>
      </c>
      <c r="E46" s="362">
        <v>24980</v>
      </c>
      <c r="F46" s="362"/>
      <c r="G46" s="370">
        <v>16100</v>
      </c>
      <c r="N46" s="362" t="s">
        <v>2919</v>
      </c>
      <c r="Q46" s="362" t="s">
        <v>2920</v>
      </c>
    </row>
    <row r="47" ht="14.25" customHeight="1" spans="1:17">
      <c r="A47" s="362" t="s">
        <v>251</v>
      </c>
      <c r="B47" s="363" t="s">
        <v>2747</v>
      </c>
      <c r="C47" s="362">
        <v>27150</v>
      </c>
      <c r="D47" s="362">
        <v>23310</v>
      </c>
      <c r="E47" s="362">
        <v>25150</v>
      </c>
      <c r="F47" s="362"/>
      <c r="G47" s="370">
        <v>16310</v>
      </c>
      <c r="N47" s="362" t="s">
        <v>2921</v>
      </c>
      <c r="Q47" s="362" t="s">
        <v>2922</v>
      </c>
    </row>
    <row r="48" ht="14.25" customHeight="1" spans="1:17">
      <c r="A48" s="362" t="s">
        <v>251</v>
      </c>
      <c r="B48" s="363" t="s">
        <v>2757</v>
      </c>
      <c r="C48" s="362">
        <v>23100</v>
      </c>
      <c r="D48" s="362">
        <v>21110</v>
      </c>
      <c r="E48" s="362">
        <v>23080</v>
      </c>
      <c r="F48" s="362"/>
      <c r="G48" s="370">
        <v>14780</v>
      </c>
      <c r="N48" s="362" t="s">
        <v>2923</v>
      </c>
      <c r="Q48" s="362" t="s">
        <v>2924</v>
      </c>
    </row>
    <row r="49" ht="14.25" customHeight="1" spans="1:17">
      <c r="A49" s="362" t="s">
        <v>251</v>
      </c>
      <c r="B49" s="363" t="s">
        <v>2767</v>
      </c>
      <c r="C49" s="362">
        <v>23400</v>
      </c>
      <c r="D49" s="362">
        <v>22920</v>
      </c>
      <c r="E49" s="362">
        <v>24900</v>
      </c>
      <c r="F49" s="362"/>
      <c r="G49" s="370">
        <v>16040</v>
      </c>
      <c r="N49" s="362" t="s">
        <v>2925</v>
      </c>
      <c r="Q49" s="362" t="s">
        <v>2926</v>
      </c>
    </row>
    <row r="50" ht="14.25" customHeight="1" spans="1:17">
      <c r="A50" s="362" t="s">
        <v>251</v>
      </c>
      <c r="B50" s="363" t="s">
        <v>2776</v>
      </c>
      <c r="C50" s="362">
        <v>21200</v>
      </c>
      <c r="D50" s="362">
        <v>26540</v>
      </c>
      <c r="E50" s="362">
        <v>23200</v>
      </c>
      <c r="F50" s="362"/>
      <c r="G50" s="370">
        <v>18580</v>
      </c>
      <c r="N50" s="362" t="s">
        <v>2927</v>
      </c>
      <c r="Q50" s="363" t="s">
        <v>2928</v>
      </c>
    </row>
    <row r="51" ht="14.25" customHeight="1" spans="1:17">
      <c r="A51" s="362" t="s">
        <v>251</v>
      </c>
      <c r="B51" s="363" t="s">
        <v>2784</v>
      </c>
      <c r="C51" s="362">
        <v>23000</v>
      </c>
      <c r="D51" s="362">
        <v>23460</v>
      </c>
      <c r="E51" s="362">
        <v>25290</v>
      </c>
      <c r="F51" s="362"/>
      <c r="G51" s="370">
        <v>16420</v>
      </c>
      <c r="N51" s="362" t="s">
        <v>2929</v>
      </c>
      <c r="Q51" s="366" t="s">
        <v>2930</v>
      </c>
    </row>
    <row r="52" ht="14.25" customHeight="1" spans="1:14">
      <c r="A52" s="362" t="s">
        <v>251</v>
      </c>
      <c r="B52" s="363" t="s">
        <v>2792</v>
      </c>
      <c r="C52" s="362">
        <v>26660</v>
      </c>
      <c r="D52" s="362">
        <v>22350</v>
      </c>
      <c r="E52" s="362">
        <v>22920</v>
      </c>
      <c r="F52" s="362"/>
      <c r="G52" s="370">
        <v>15640</v>
      </c>
      <c r="N52" s="362" t="s">
        <v>2931</v>
      </c>
    </row>
    <row r="53" ht="14.25" customHeight="1" spans="1:14">
      <c r="A53" s="362" t="s">
        <v>251</v>
      </c>
      <c r="B53" s="363" t="s">
        <v>2800</v>
      </c>
      <c r="C53" s="362">
        <v>23580</v>
      </c>
      <c r="D53" s="362"/>
      <c r="E53" s="362">
        <v>24280</v>
      </c>
      <c r="F53" s="362"/>
      <c r="G53" s="370"/>
      <c r="N53" s="362" t="s">
        <v>2932</v>
      </c>
    </row>
    <row r="54" ht="14.25" customHeight="1" spans="1:14">
      <c r="A54" s="371" t="s">
        <v>251</v>
      </c>
      <c r="B54" s="365" t="s">
        <v>2808</v>
      </c>
      <c r="C54" s="366">
        <v>22460</v>
      </c>
      <c r="D54" s="366"/>
      <c r="E54" s="366"/>
      <c r="F54" s="366"/>
      <c r="G54" s="372"/>
      <c r="N54" s="362" t="s">
        <v>2933</v>
      </c>
    </row>
    <row r="55" ht="14.25" customHeight="1" spans="1:14">
      <c r="A55" s="360" t="s">
        <v>259</v>
      </c>
      <c r="B55" s="361" t="s">
        <v>2564</v>
      </c>
      <c r="C55" s="362">
        <v>21970</v>
      </c>
      <c r="D55" s="362">
        <v>20370</v>
      </c>
      <c r="E55" s="362">
        <v>20180</v>
      </c>
      <c r="F55" s="362">
        <v>5730</v>
      </c>
      <c r="G55" s="362">
        <v>13820</v>
      </c>
      <c r="N55" s="362" t="s">
        <v>2934</v>
      </c>
    </row>
    <row r="56" ht="14.25" customHeight="1" spans="1:14">
      <c r="A56" s="362" t="s">
        <v>259</v>
      </c>
      <c r="B56" s="362" t="s">
        <v>2577</v>
      </c>
      <c r="C56" s="362">
        <v>20470</v>
      </c>
      <c r="D56" s="362">
        <v>20700</v>
      </c>
      <c r="E56" s="362">
        <v>20380</v>
      </c>
      <c r="F56" s="362">
        <v>4760</v>
      </c>
      <c r="G56" s="362">
        <v>14050</v>
      </c>
      <c r="N56" s="362" t="s">
        <v>2935</v>
      </c>
    </row>
    <row r="57" ht="14.25" customHeight="1" spans="1:14">
      <c r="A57" s="362" t="s">
        <v>259</v>
      </c>
      <c r="B57" s="362" t="s">
        <v>2591</v>
      </c>
      <c r="C57" s="362">
        <v>20790</v>
      </c>
      <c r="D57" s="362">
        <v>21370</v>
      </c>
      <c r="E57" s="362">
        <v>20890</v>
      </c>
      <c r="F57" s="362">
        <v>4910</v>
      </c>
      <c r="G57" s="362">
        <v>14510</v>
      </c>
      <c r="N57" s="362" t="s">
        <v>2936</v>
      </c>
    </row>
    <row r="58" ht="14.25" customHeight="1" spans="1:14">
      <c r="A58" s="362" t="s">
        <v>259</v>
      </c>
      <c r="B58" s="362" t="s">
        <v>2603</v>
      </c>
      <c r="C58" s="362">
        <v>21460</v>
      </c>
      <c r="D58" s="362">
        <v>20920</v>
      </c>
      <c r="E58" s="362">
        <v>23410</v>
      </c>
      <c r="F58" s="362">
        <v>5100</v>
      </c>
      <c r="G58" s="362">
        <v>14200</v>
      </c>
      <c r="N58" s="362" t="s">
        <v>2937</v>
      </c>
    </row>
    <row r="59" ht="14.25" customHeight="1" spans="1:14">
      <c r="A59" s="362" t="s">
        <v>259</v>
      </c>
      <c r="B59" s="362" t="s">
        <v>2615</v>
      </c>
      <c r="C59" s="362">
        <v>21000</v>
      </c>
      <c r="D59" s="362">
        <v>21550</v>
      </c>
      <c r="E59" s="362">
        <v>21150</v>
      </c>
      <c r="F59" s="362">
        <v>5250</v>
      </c>
      <c r="G59" s="362">
        <v>14630</v>
      </c>
      <c r="N59" s="362" t="s">
        <v>2938</v>
      </c>
    </row>
    <row r="60" ht="14.25" customHeight="1" spans="1:14">
      <c r="A60" s="362" t="s">
        <v>259</v>
      </c>
      <c r="B60" s="362" t="s">
        <v>2626</v>
      </c>
      <c r="C60" s="362">
        <v>21640</v>
      </c>
      <c r="D60" s="362">
        <v>21260</v>
      </c>
      <c r="E60" s="362">
        <v>24040</v>
      </c>
      <c r="F60" s="362">
        <v>4470</v>
      </c>
      <c r="G60" s="362">
        <v>14430</v>
      </c>
      <c r="N60" s="362" t="s">
        <v>2939</v>
      </c>
    </row>
    <row r="61" ht="14.25" customHeight="1" spans="1:14">
      <c r="A61" s="362" t="s">
        <v>259</v>
      </c>
      <c r="B61" s="362" t="s">
        <v>2637</v>
      </c>
      <c r="C61" s="362">
        <v>21330</v>
      </c>
      <c r="D61" s="362">
        <v>18640</v>
      </c>
      <c r="E61" s="362">
        <v>21190</v>
      </c>
      <c r="F61" s="362">
        <v>4180</v>
      </c>
      <c r="G61" s="362">
        <v>12650</v>
      </c>
      <c r="N61" s="362" t="s">
        <v>2940</v>
      </c>
    </row>
    <row r="62" ht="14.25" customHeight="1" spans="1:14">
      <c r="A62" s="362" t="s">
        <v>259</v>
      </c>
      <c r="B62" s="362" t="s">
        <v>2648</v>
      </c>
      <c r="C62" s="362">
        <v>18710</v>
      </c>
      <c r="D62" s="362">
        <v>19400</v>
      </c>
      <c r="E62" s="362">
        <v>23750</v>
      </c>
      <c r="F62" s="362">
        <v>4860</v>
      </c>
      <c r="G62" s="362">
        <v>13170</v>
      </c>
      <c r="N62" s="362" t="s">
        <v>2941</v>
      </c>
    </row>
    <row r="63" ht="14.25" customHeight="1" spans="1:14">
      <c r="A63" s="362" t="s">
        <v>259</v>
      </c>
      <c r="B63" s="362" t="s">
        <v>2658</v>
      </c>
      <c r="C63" s="362">
        <v>19480</v>
      </c>
      <c r="D63" s="362">
        <v>16830</v>
      </c>
      <c r="E63" s="362">
        <v>21590</v>
      </c>
      <c r="F63" s="362">
        <v>4560</v>
      </c>
      <c r="G63" s="362">
        <v>11420</v>
      </c>
      <c r="N63" s="362" t="s">
        <v>2942</v>
      </c>
    </row>
    <row r="64" ht="14.25" customHeight="1" spans="1:14">
      <c r="A64" s="362" t="s">
        <v>259</v>
      </c>
      <c r="B64" s="362" t="s">
        <v>2668</v>
      </c>
      <c r="C64" s="362">
        <v>16920</v>
      </c>
      <c r="D64" s="362">
        <v>19190</v>
      </c>
      <c r="E64" s="362">
        <v>22200</v>
      </c>
      <c r="F64" s="362">
        <v>4390</v>
      </c>
      <c r="G64" s="362">
        <v>13030</v>
      </c>
      <c r="N64" s="366" t="s">
        <v>2943</v>
      </c>
    </row>
    <row r="65" s="347" customFormat="1" ht="14.25" customHeight="1" spans="1:7">
      <c r="A65" s="362" t="s">
        <v>259</v>
      </c>
      <c r="B65" s="362" t="s">
        <v>2678</v>
      </c>
      <c r="C65" s="362">
        <v>19290</v>
      </c>
      <c r="D65" s="362">
        <v>17020</v>
      </c>
      <c r="E65" s="362">
        <v>19880</v>
      </c>
      <c r="F65" s="362">
        <v>4070</v>
      </c>
      <c r="G65" s="362">
        <v>11550</v>
      </c>
    </row>
    <row r="66" s="347" customFormat="1" ht="14.25" customHeight="1" spans="1:7">
      <c r="A66" s="362" t="s">
        <v>259</v>
      </c>
      <c r="B66" s="362" t="s">
        <v>2688</v>
      </c>
      <c r="C66" s="362">
        <v>17090</v>
      </c>
      <c r="D66" s="362">
        <v>18340</v>
      </c>
      <c r="E66" s="362">
        <v>21830</v>
      </c>
      <c r="F66" s="362">
        <v>4690</v>
      </c>
      <c r="G66" s="362">
        <v>12450</v>
      </c>
    </row>
    <row r="67" s="347" customFormat="1" ht="14.25" customHeight="1" spans="1:7">
      <c r="A67" s="362" t="s">
        <v>259</v>
      </c>
      <c r="B67" s="362" t="s">
        <v>2698</v>
      </c>
      <c r="C67" s="362">
        <v>18420</v>
      </c>
      <c r="D67" s="362">
        <v>16360</v>
      </c>
      <c r="E67" s="362">
        <v>20020</v>
      </c>
      <c r="F67" s="362">
        <v>5150</v>
      </c>
      <c r="G67" s="362">
        <v>11110</v>
      </c>
    </row>
    <row r="68" s="347" customFormat="1" ht="14.25" customHeight="1" spans="1:7">
      <c r="A68" s="362" t="s">
        <v>259</v>
      </c>
      <c r="B68" s="362" t="s">
        <v>2708</v>
      </c>
      <c r="C68" s="362">
        <v>16450</v>
      </c>
      <c r="D68" s="362">
        <v>18430</v>
      </c>
      <c r="E68" s="362">
        <v>21010</v>
      </c>
      <c r="F68" s="362">
        <v>4720</v>
      </c>
      <c r="G68" s="362">
        <v>12510</v>
      </c>
    </row>
    <row r="69" s="347" customFormat="1" ht="14.25" customHeight="1" spans="1:7">
      <c r="A69" s="362" t="s">
        <v>259</v>
      </c>
      <c r="B69" s="362" t="s">
        <v>2718</v>
      </c>
      <c r="C69" s="362">
        <v>18510</v>
      </c>
      <c r="D69" s="362">
        <v>16300</v>
      </c>
      <c r="E69" s="362">
        <v>18830</v>
      </c>
      <c r="F69" s="362">
        <v>5400</v>
      </c>
      <c r="G69" s="362">
        <v>11070</v>
      </c>
    </row>
    <row r="70" s="347" customFormat="1" ht="14.25" customHeight="1" spans="1:7">
      <c r="A70" s="362" t="s">
        <v>259</v>
      </c>
      <c r="B70" s="362" t="s">
        <v>2728</v>
      </c>
      <c r="C70" s="362">
        <v>16370</v>
      </c>
      <c r="D70" s="362">
        <v>18620</v>
      </c>
      <c r="E70" s="362">
        <v>21100</v>
      </c>
      <c r="F70" s="362">
        <v>5700</v>
      </c>
      <c r="G70" s="362">
        <v>12640</v>
      </c>
    </row>
    <row r="71" s="347" customFormat="1" ht="14.25" customHeight="1" spans="1:7">
      <c r="A71" s="362" t="s">
        <v>259</v>
      </c>
      <c r="B71" s="362" t="s">
        <v>2738</v>
      </c>
      <c r="C71" s="362">
        <v>18700</v>
      </c>
      <c r="D71" s="362">
        <v>16290</v>
      </c>
      <c r="E71" s="362">
        <v>18760</v>
      </c>
      <c r="F71" s="362">
        <v>4780</v>
      </c>
      <c r="G71" s="362">
        <v>11050</v>
      </c>
    </row>
    <row r="72" s="347" customFormat="1" ht="14.25" customHeight="1" spans="1:7">
      <c r="A72" s="362" t="s">
        <v>259</v>
      </c>
      <c r="B72" s="362" t="s">
        <v>2748</v>
      </c>
      <c r="C72" s="362">
        <v>16340</v>
      </c>
      <c r="D72" s="362">
        <v>17520</v>
      </c>
      <c r="E72" s="362">
        <v>21170</v>
      </c>
      <c r="F72" s="362"/>
      <c r="G72" s="362">
        <v>11900</v>
      </c>
    </row>
    <row r="73" s="347" customFormat="1" ht="14.25" customHeight="1" spans="1:7">
      <c r="A73" s="362" t="s">
        <v>259</v>
      </c>
      <c r="B73" s="362" t="s">
        <v>2758</v>
      </c>
      <c r="C73" s="362">
        <v>17610</v>
      </c>
      <c r="D73" s="362">
        <v>18520</v>
      </c>
      <c r="E73" s="362">
        <v>18720</v>
      </c>
      <c r="F73" s="362"/>
      <c r="G73" s="362">
        <v>12570</v>
      </c>
    </row>
    <row r="74" s="347" customFormat="1" ht="14.25" customHeight="1" spans="1:7">
      <c r="A74" s="362" t="s">
        <v>259</v>
      </c>
      <c r="B74" s="362" t="s">
        <v>2768</v>
      </c>
      <c r="C74" s="362">
        <v>18600</v>
      </c>
      <c r="D74" s="362">
        <v>16480</v>
      </c>
      <c r="E74" s="362">
        <v>20100</v>
      </c>
      <c r="F74" s="362"/>
      <c r="G74" s="362">
        <v>11190</v>
      </c>
    </row>
    <row r="75" s="347" customFormat="1" ht="14.25" customHeight="1" spans="1:7">
      <c r="A75" s="362" t="s">
        <v>259</v>
      </c>
      <c r="B75" s="362" t="s">
        <v>2777</v>
      </c>
      <c r="C75" s="362">
        <v>16570</v>
      </c>
      <c r="D75" s="362">
        <v>17530</v>
      </c>
      <c r="E75" s="362">
        <v>21030</v>
      </c>
      <c r="F75" s="362"/>
      <c r="G75" s="362">
        <v>11900</v>
      </c>
    </row>
    <row r="76" s="347" customFormat="1" ht="14.25" customHeight="1" spans="1:7">
      <c r="A76" s="362" t="s">
        <v>259</v>
      </c>
      <c r="B76" s="362" t="s">
        <v>2785</v>
      </c>
      <c r="C76" s="362">
        <v>17610</v>
      </c>
      <c r="D76" s="362">
        <v>20800</v>
      </c>
      <c r="E76" s="362">
        <v>18920</v>
      </c>
      <c r="F76" s="362"/>
      <c r="G76" s="362">
        <v>14120</v>
      </c>
    </row>
    <row r="77" s="347" customFormat="1" ht="14.25" customHeight="1" spans="1:7">
      <c r="A77" s="362" t="s">
        <v>259</v>
      </c>
      <c r="B77" s="362" t="s">
        <v>2793</v>
      </c>
      <c r="C77" s="362">
        <v>20890</v>
      </c>
      <c r="D77" s="362">
        <v>19740</v>
      </c>
      <c r="E77" s="362">
        <v>20110</v>
      </c>
      <c r="F77" s="362"/>
      <c r="G77" s="362">
        <v>13400</v>
      </c>
    </row>
    <row r="78" s="347" customFormat="1" ht="14.25" customHeight="1" spans="1:7">
      <c r="A78" s="362" t="s">
        <v>259</v>
      </c>
      <c r="B78" s="362" t="s">
        <v>2801</v>
      </c>
      <c r="C78" s="362">
        <v>19820</v>
      </c>
      <c r="D78" s="362">
        <v>19780</v>
      </c>
      <c r="E78" s="362">
        <v>18560</v>
      </c>
      <c r="F78" s="362"/>
      <c r="G78" s="362">
        <v>13430</v>
      </c>
    </row>
    <row r="79" s="347" customFormat="1" ht="14.25" customHeight="1" spans="1:7">
      <c r="A79" s="362" t="s">
        <v>259</v>
      </c>
      <c r="B79" s="362" t="s">
        <v>2809</v>
      </c>
      <c r="C79" s="362">
        <v>21660</v>
      </c>
      <c r="D79" s="362">
        <v>18000</v>
      </c>
      <c r="E79" s="362">
        <v>22570</v>
      </c>
      <c r="F79" s="362"/>
      <c r="G79" s="362">
        <v>12220</v>
      </c>
    </row>
    <row r="80" s="347" customFormat="1" ht="14.25" customHeight="1" spans="1:7">
      <c r="A80" s="362" t="s">
        <v>259</v>
      </c>
      <c r="B80" s="362" t="s">
        <v>2816</v>
      </c>
      <c r="C80" s="362">
        <v>19850</v>
      </c>
      <c r="D80" s="362"/>
      <c r="E80" s="362">
        <v>21700</v>
      </c>
      <c r="F80" s="362"/>
      <c r="G80" s="362"/>
    </row>
    <row r="81" s="347" customFormat="1" ht="14.25" customHeight="1" spans="1:7">
      <c r="A81" s="362" t="s">
        <v>259</v>
      </c>
      <c r="B81" s="362" t="s">
        <v>2823</v>
      </c>
      <c r="C81" s="362">
        <v>18080</v>
      </c>
      <c r="D81" s="362"/>
      <c r="E81" s="362">
        <v>20900</v>
      </c>
      <c r="F81" s="362"/>
      <c r="G81" s="362"/>
    </row>
    <row r="82" s="347" customFormat="1" ht="14.25" customHeight="1" spans="1:7">
      <c r="A82" s="362" t="s">
        <v>259</v>
      </c>
      <c r="B82" s="362" t="s">
        <v>2830</v>
      </c>
      <c r="C82" s="362"/>
      <c r="D82" s="362"/>
      <c r="E82" s="362">
        <v>20840</v>
      </c>
      <c r="F82" s="362"/>
      <c r="G82" s="362"/>
    </row>
    <row r="83" s="347" customFormat="1" ht="14.25" customHeight="1" spans="1:7">
      <c r="A83" s="362" t="s">
        <v>259</v>
      </c>
      <c r="B83" s="362" t="s">
        <v>2837</v>
      </c>
      <c r="C83" s="362"/>
      <c r="D83" s="362"/>
      <c r="E83" s="362"/>
      <c r="F83" s="362">
        <v>4770</v>
      </c>
      <c r="G83" s="362"/>
    </row>
    <row r="84" s="347" customFormat="1" ht="14.25" customHeight="1" spans="1:7">
      <c r="A84" s="362" t="s">
        <v>259</v>
      </c>
      <c r="B84" s="362" t="s">
        <v>2844</v>
      </c>
      <c r="C84" s="362"/>
      <c r="D84" s="362"/>
      <c r="E84" s="362"/>
      <c r="F84" s="362">
        <v>4600</v>
      </c>
      <c r="G84" s="362"/>
    </row>
    <row r="85" s="347" customFormat="1" ht="14.25" customHeight="1" spans="1:7">
      <c r="A85" s="362" t="s">
        <v>259</v>
      </c>
      <c r="B85" s="362" t="s">
        <v>2851</v>
      </c>
      <c r="C85" s="362"/>
      <c r="D85" s="362"/>
      <c r="E85" s="362"/>
      <c r="F85" s="362">
        <v>4680</v>
      </c>
      <c r="G85" s="362"/>
    </row>
    <row r="86" s="347" customFormat="1" ht="14.25" customHeight="1" spans="1:7">
      <c r="A86" s="364" t="s">
        <v>259</v>
      </c>
      <c r="B86" s="367" t="s">
        <v>2858</v>
      </c>
      <c r="C86" s="368">
        <v>16610</v>
      </c>
      <c r="D86" s="368">
        <v>16540</v>
      </c>
      <c r="E86" s="368">
        <v>18850</v>
      </c>
      <c r="F86" s="368"/>
      <c r="G86" s="368">
        <v>11220</v>
      </c>
    </row>
    <row r="87" s="347" customFormat="1" ht="14.25" customHeight="1" spans="1:7">
      <c r="A87" s="360" t="s">
        <v>267</v>
      </c>
      <c r="B87" s="361" t="s">
        <v>2565</v>
      </c>
      <c r="C87" s="361">
        <v>15240</v>
      </c>
      <c r="D87" s="361">
        <v>15170</v>
      </c>
      <c r="E87" s="361">
        <v>18260</v>
      </c>
      <c r="F87" s="361">
        <v>3830</v>
      </c>
      <c r="G87" s="369">
        <v>10020</v>
      </c>
    </row>
    <row r="88" s="347" customFormat="1" ht="14.25" customHeight="1" spans="1:7">
      <c r="A88" s="362" t="s">
        <v>267</v>
      </c>
      <c r="B88" s="362" t="s">
        <v>2578</v>
      </c>
      <c r="C88" s="362">
        <v>17310</v>
      </c>
      <c r="D88" s="362">
        <v>17220</v>
      </c>
      <c r="E88" s="362">
        <v>18610</v>
      </c>
      <c r="F88" s="362">
        <v>3990</v>
      </c>
      <c r="G88" s="370">
        <v>11380</v>
      </c>
    </row>
    <row r="89" s="347" customFormat="1" ht="14.25" customHeight="1" spans="1:7">
      <c r="A89" s="362" t="s">
        <v>267</v>
      </c>
      <c r="B89" s="362" t="s">
        <v>2592</v>
      </c>
      <c r="C89" s="362">
        <v>15600</v>
      </c>
      <c r="D89" s="362">
        <v>15550</v>
      </c>
      <c r="E89" s="362">
        <v>19200</v>
      </c>
      <c r="F89" s="362">
        <v>4110</v>
      </c>
      <c r="G89" s="370">
        <v>10270</v>
      </c>
    </row>
    <row r="90" s="347" customFormat="1" ht="14.25" customHeight="1" spans="1:7">
      <c r="A90" s="362" t="s">
        <v>267</v>
      </c>
      <c r="B90" s="362" t="s">
        <v>2604</v>
      </c>
      <c r="C90" s="362">
        <v>17330</v>
      </c>
      <c r="D90" s="362">
        <v>17240</v>
      </c>
      <c r="E90" s="362">
        <v>18570</v>
      </c>
      <c r="F90" s="362">
        <v>4070</v>
      </c>
      <c r="G90" s="370">
        <v>11390</v>
      </c>
    </row>
    <row r="91" s="347" customFormat="1" ht="14.25" customHeight="1" spans="1:7">
      <c r="A91" s="362" t="s">
        <v>267</v>
      </c>
      <c r="B91" s="362" t="s">
        <v>2616</v>
      </c>
      <c r="C91" s="362">
        <v>16330</v>
      </c>
      <c r="D91" s="362">
        <v>16260</v>
      </c>
      <c r="E91" s="362">
        <v>16800</v>
      </c>
      <c r="F91" s="362">
        <v>3410</v>
      </c>
      <c r="G91" s="370">
        <v>10740</v>
      </c>
    </row>
    <row r="92" s="347" customFormat="1" ht="14.25" customHeight="1" spans="1:7">
      <c r="A92" s="362" t="s">
        <v>267</v>
      </c>
      <c r="B92" s="362" t="s">
        <v>2627</v>
      </c>
      <c r="C92" s="362">
        <v>15570</v>
      </c>
      <c r="D92" s="362">
        <v>15500</v>
      </c>
      <c r="E92" s="362">
        <v>17360</v>
      </c>
      <c r="F92" s="362">
        <v>3510</v>
      </c>
      <c r="G92" s="370">
        <v>10240</v>
      </c>
    </row>
    <row r="93" s="347" customFormat="1" ht="14.25" customHeight="1" spans="1:7">
      <c r="A93" s="362" t="s">
        <v>267</v>
      </c>
      <c r="B93" s="362" t="s">
        <v>2638</v>
      </c>
      <c r="C93" s="362">
        <v>14000</v>
      </c>
      <c r="D93" s="362">
        <v>13930</v>
      </c>
      <c r="E93" s="362">
        <v>18200</v>
      </c>
      <c r="F93" s="362">
        <v>3640</v>
      </c>
      <c r="G93" s="370">
        <v>9210</v>
      </c>
    </row>
    <row r="94" s="347" customFormat="1" ht="14.25" customHeight="1" spans="1:7">
      <c r="A94" s="362" t="s">
        <v>267</v>
      </c>
      <c r="B94" s="362" t="s">
        <v>2649</v>
      </c>
      <c r="C94" s="362">
        <v>14530</v>
      </c>
      <c r="D94" s="362">
        <v>14470</v>
      </c>
      <c r="E94" s="362">
        <v>18240</v>
      </c>
      <c r="F94" s="362">
        <v>3180</v>
      </c>
      <c r="G94" s="370">
        <v>9560</v>
      </c>
    </row>
    <row r="95" s="347" customFormat="1" ht="14.25" customHeight="1" spans="1:7">
      <c r="A95" s="362" t="s">
        <v>267</v>
      </c>
      <c r="B95" s="362" t="s">
        <v>2659</v>
      </c>
      <c r="C95" s="362">
        <v>17330</v>
      </c>
      <c r="D95" s="362">
        <v>17260</v>
      </c>
      <c r="E95" s="362">
        <v>18420</v>
      </c>
      <c r="F95" s="362">
        <v>3060</v>
      </c>
      <c r="G95" s="370">
        <v>11410</v>
      </c>
    </row>
    <row r="96" s="347" customFormat="1" ht="14.25" customHeight="1" spans="1:7">
      <c r="A96" s="362" t="s">
        <v>267</v>
      </c>
      <c r="B96" s="362" t="s">
        <v>2669</v>
      </c>
      <c r="C96" s="362">
        <v>15030</v>
      </c>
      <c r="D96" s="362">
        <v>14970</v>
      </c>
      <c r="E96" s="362">
        <v>17580</v>
      </c>
      <c r="F96" s="362">
        <v>2970</v>
      </c>
      <c r="G96" s="370">
        <v>9890</v>
      </c>
    </row>
    <row r="97" s="347" customFormat="1" ht="14.25" customHeight="1" spans="1:7">
      <c r="A97" s="362" t="s">
        <v>267</v>
      </c>
      <c r="B97" s="362" t="s">
        <v>2679</v>
      </c>
      <c r="C97" s="362">
        <v>17400</v>
      </c>
      <c r="D97" s="362">
        <v>17330</v>
      </c>
      <c r="E97" s="362">
        <v>16430</v>
      </c>
      <c r="F97" s="362">
        <v>2950</v>
      </c>
      <c r="G97" s="370">
        <v>11450</v>
      </c>
    </row>
    <row r="98" s="347" customFormat="1" ht="14.25" customHeight="1" spans="1:7">
      <c r="A98" s="362" t="s">
        <v>267</v>
      </c>
      <c r="B98" s="362" t="s">
        <v>2689</v>
      </c>
      <c r="C98" s="362">
        <v>15200</v>
      </c>
      <c r="D98" s="362">
        <v>15120</v>
      </c>
      <c r="E98" s="362">
        <v>17550</v>
      </c>
      <c r="F98" s="362">
        <v>3080</v>
      </c>
      <c r="G98" s="370">
        <v>9990</v>
      </c>
    </row>
    <row r="99" s="347" customFormat="1" ht="14.25" customHeight="1" spans="1:7">
      <c r="A99" s="362" t="s">
        <v>267</v>
      </c>
      <c r="B99" s="362" t="s">
        <v>2699</v>
      </c>
      <c r="C99" s="362">
        <v>17520</v>
      </c>
      <c r="D99" s="362">
        <v>17430</v>
      </c>
      <c r="E99" s="362">
        <v>16350</v>
      </c>
      <c r="F99" s="362">
        <v>3260</v>
      </c>
      <c r="G99" s="370">
        <v>11510</v>
      </c>
    </row>
    <row r="100" s="347" customFormat="1" ht="14.25" customHeight="1" spans="1:7">
      <c r="A100" s="362" t="s">
        <v>267</v>
      </c>
      <c r="B100" s="362" t="s">
        <v>2709</v>
      </c>
      <c r="C100" s="362">
        <v>15340</v>
      </c>
      <c r="D100" s="362">
        <v>15260</v>
      </c>
      <c r="E100" s="362">
        <v>15930</v>
      </c>
      <c r="F100" s="362">
        <v>2740</v>
      </c>
      <c r="G100" s="370">
        <v>10080</v>
      </c>
    </row>
    <row r="101" s="347" customFormat="1" ht="14.25" customHeight="1" spans="1:7">
      <c r="A101" s="362" t="s">
        <v>267</v>
      </c>
      <c r="B101" s="362" t="s">
        <v>2719</v>
      </c>
      <c r="C101" s="362">
        <v>14620</v>
      </c>
      <c r="D101" s="362">
        <v>14560</v>
      </c>
      <c r="E101" s="362">
        <v>15570</v>
      </c>
      <c r="F101" s="362">
        <v>3500</v>
      </c>
      <c r="G101" s="370">
        <v>9630</v>
      </c>
    </row>
    <row r="102" s="347" customFormat="1" ht="14.25" customHeight="1" spans="1:7">
      <c r="A102" s="362" t="s">
        <v>267</v>
      </c>
      <c r="B102" s="362" t="s">
        <v>2729</v>
      </c>
      <c r="C102" s="362">
        <v>13680</v>
      </c>
      <c r="D102" s="362">
        <v>13610</v>
      </c>
      <c r="E102" s="362">
        <v>15690</v>
      </c>
      <c r="F102" s="362">
        <v>2870</v>
      </c>
      <c r="G102" s="370">
        <v>8990</v>
      </c>
    </row>
    <row r="103" s="347" customFormat="1" ht="14.25" customHeight="1" spans="1:7">
      <c r="A103" s="362" t="s">
        <v>267</v>
      </c>
      <c r="B103" s="362" t="s">
        <v>2739</v>
      </c>
      <c r="C103" s="362">
        <v>14620</v>
      </c>
      <c r="D103" s="362">
        <v>14540</v>
      </c>
      <c r="E103" s="362">
        <v>15240</v>
      </c>
      <c r="F103" s="362">
        <v>2840</v>
      </c>
      <c r="G103" s="370">
        <v>9610</v>
      </c>
    </row>
    <row r="104" s="347" customFormat="1" ht="14.25" customHeight="1" spans="1:7">
      <c r="A104" s="362" t="s">
        <v>267</v>
      </c>
      <c r="B104" s="362" t="s">
        <v>2749</v>
      </c>
      <c r="C104" s="362">
        <v>13610</v>
      </c>
      <c r="D104" s="362">
        <v>13540</v>
      </c>
      <c r="E104" s="362">
        <v>15750</v>
      </c>
      <c r="F104" s="362">
        <v>2770</v>
      </c>
      <c r="G104" s="370">
        <v>8940</v>
      </c>
    </row>
    <row r="105" s="347" customFormat="1" ht="14.25" customHeight="1" spans="1:7">
      <c r="A105" s="362" t="s">
        <v>267</v>
      </c>
      <c r="B105" s="362" t="s">
        <v>2759</v>
      </c>
      <c r="C105" s="362">
        <v>13310</v>
      </c>
      <c r="D105" s="362">
        <v>13240</v>
      </c>
      <c r="E105" s="362">
        <v>16280</v>
      </c>
      <c r="F105" s="362">
        <v>3210</v>
      </c>
      <c r="G105" s="370">
        <v>8750</v>
      </c>
    </row>
    <row r="106" s="347" customFormat="1" ht="14.25" customHeight="1" spans="1:7">
      <c r="A106" s="362" t="s">
        <v>267</v>
      </c>
      <c r="B106" s="362" t="s">
        <v>2769</v>
      </c>
      <c r="C106" s="362">
        <v>13010</v>
      </c>
      <c r="D106" s="362">
        <v>12930</v>
      </c>
      <c r="E106" s="362">
        <v>14960</v>
      </c>
      <c r="F106" s="362">
        <v>3530</v>
      </c>
      <c r="G106" s="370">
        <v>8550</v>
      </c>
    </row>
    <row r="107" s="347" customFormat="1" ht="14.25" customHeight="1" spans="1:7">
      <c r="A107" s="362" t="s">
        <v>267</v>
      </c>
      <c r="B107" s="362" t="s">
        <v>2778</v>
      </c>
      <c r="C107" s="362">
        <v>13070</v>
      </c>
      <c r="D107" s="362">
        <v>13000</v>
      </c>
      <c r="E107" s="362">
        <v>15910</v>
      </c>
      <c r="F107" s="362">
        <v>3990</v>
      </c>
      <c r="G107" s="370">
        <v>8580</v>
      </c>
    </row>
    <row r="108" s="347" customFormat="1" ht="14.25" customHeight="1" spans="1:7">
      <c r="A108" s="362" t="s">
        <v>267</v>
      </c>
      <c r="B108" s="362" t="s">
        <v>2786</v>
      </c>
      <c r="C108" s="362">
        <v>12640</v>
      </c>
      <c r="D108" s="362">
        <v>12580</v>
      </c>
      <c r="E108" s="362">
        <v>15730</v>
      </c>
      <c r="F108" s="362"/>
      <c r="G108" s="370">
        <v>8310</v>
      </c>
    </row>
    <row r="109" s="347" customFormat="1" ht="14.25" customHeight="1" spans="1:7">
      <c r="A109" s="362" t="s">
        <v>267</v>
      </c>
      <c r="B109" s="362" t="s">
        <v>2794</v>
      </c>
      <c r="C109" s="362">
        <v>13130</v>
      </c>
      <c r="D109" s="362">
        <v>13070</v>
      </c>
      <c r="E109" s="362">
        <v>15000</v>
      </c>
      <c r="F109" s="362"/>
      <c r="G109" s="370">
        <v>8630</v>
      </c>
    </row>
    <row r="110" s="347" customFormat="1" ht="14.25" customHeight="1" spans="1:7">
      <c r="A110" s="362" t="s">
        <v>267</v>
      </c>
      <c r="B110" s="362" t="s">
        <v>2802</v>
      </c>
      <c r="C110" s="362">
        <v>13560</v>
      </c>
      <c r="D110" s="362">
        <v>13490</v>
      </c>
      <c r="E110" s="362">
        <v>16300</v>
      </c>
      <c r="F110" s="362"/>
      <c r="G110" s="370">
        <v>8920</v>
      </c>
    </row>
    <row r="111" s="347" customFormat="1" ht="14.25" customHeight="1" spans="1:7">
      <c r="A111" s="362" t="s">
        <v>267</v>
      </c>
      <c r="B111" s="362" t="s">
        <v>2810</v>
      </c>
      <c r="C111" s="362">
        <v>12440</v>
      </c>
      <c r="D111" s="362">
        <v>12380</v>
      </c>
      <c r="E111" s="362">
        <v>17850</v>
      </c>
      <c r="F111" s="362"/>
      <c r="G111" s="370">
        <v>8180</v>
      </c>
    </row>
    <row r="112" s="347" customFormat="1" ht="14.25" customHeight="1" spans="1:7">
      <c r="A112" s="362" t="s">
        <v>267</v>
      </c>
      <c r="B112" s="362" t="s">
        <v>2817</v>
      </c>
      <c r="C112" s="362">
        <v>13260</v>
      </c>
      <c r="D112" s="362">
        <v>13180</v>
      </c>
      <c r="E112" s="362">
        <v>19740</v>
      </c>
      <c r="F112" s="362"/>
      <c r="G112" s="370">
        <v>8710</v>
      </c>
    </row>
    <row r="113" s="347" customFormat="1" ht="14.25" customHeight="1" spans="1:7">
      <c r="A113" s="362" t="s">
        <v>267</v>
      </c>
      <c r="B113" s="362" t="s">
        <v>2824</v>
      </c>
      <c r="C113" s="362">
        <v>15520</v>
      </c>
      <c r="D113" s="362">
        <v>15450</v>
      </c>
      <c r="E113" s="362"/>
      <c r="F113" s="362"/>
      <c r="G113" s="370">
        <v>10210</v>
      </c>
    </row>
    <row r="114" s="347" customFormat="1" ht="14.25" customHeight="1" spans="1:7">
      <c r="A114" s="362" t="s">
        <v>267</v>
      </c>
      <c r="B114" s="362" t="s">
        <v>2831</v>
      </c>
      <c r="C114" s="362">
        <v>13110</v>
      </c>
      <c r="D114" s="362">
        <v>13050</v>
      </c>
      <c r="E114" s="362"/>
      <c r="F114" s="362"/>
      <c r="G114" s="370">
        <v>8620</v>
      </c>
    </row>
    <row r="115" s="347" customFormat="1" ht="14.25" customHeight="1" spans="1:7">
      <c r="A115" s="362" t="s">
        <v>267</v>
      </c>
      <c r="B115" s="362" t="s">
        <v>2838</v>
      </c>
      <c r="C115" s="362">
        <v>12460</v>
      </c>
      <c r="D115" s="362">
        <v>12390</v>
      </c>
      <c r="E115" s="362"/>
      <c r="F115" s="362"/>
      <c r="G115" s="370">
        <v>8190</v>
      </c>
    </row>
    <row r="116" s="347" customFormat="1" ht="14.25" customHeight="1" spans="1:7">
      <c r="A116" s="362" t="s">
        <v>267</v>
      </c>
      <c r="B116" s="362" t="s">
        <v>2845</v>
      </c>
      <c r="C116" s="362">
        <v>13580</v>
      </c>
      <c r="D116" s="362">
        <v>13520</v>
      </c>
      <c r="E116" s="362"/>
      <c r="F116" s="362"/>
      <c r="G116" s="370">
        <v>8930</v>
      </c>
    </row>
    <row r="117" s="347" customFormat="1" ht="14.25" customHeight="1" spans="1:7">
      <c r="A117" s="362" t="s">
        <v>267</v>
      </c>
      <c r="B117" s="362" t="s">
        <v>2852</v>
      </c>
      <c r="C117" s="362">
        <v>17120</v>
      </c>
      <c r="D117" s="362">
        <v>17040</v>
      </c>
      <c r="E117" s="362"/>
      <c r="F117" s="362"/>
      <c r="G117" s="370">
        <v>11260</v>
      </c>
    </row>
    <row r="118" s="347" customFormat="1" ht="14.25" customHeight="1" spans="1:7">
      <c r="A118" s="362" t="s">
        <v>267</v>
      </c>
      <c r="B118" s="362" t="s">
        <v>2859</v>
      </c>
      <c r="C118" s="362">
        <v>14860</v>
      </c>
      <c r="D118" s="362">
        <v>14790</v>
      </c>
      <c r="E118" s="362"/>
      <c r="F118" s="362"/>
      <c r="G118" s="370">
        <v>9780</v>
      </c>
    </row>
    <row r="119" s="347" customFormat="1" ht="14.25" customHeight="1" spans="1:7">
      <c r="A119" s="362" t="s">
        <v>267</v>
      </c>
      <c r="B119" s="362" t="s">
        <v>2864</v>
      </c>
      <c r="C119" s="362">
        <v>16470</v>
      </c>
      <c r="D119" s="362">
        <v>16400</v>
      </c>
      <c r="E119" s="362"/>
      <c r="F119" s="362"/>
      <c r="G119" s="370">
        <v>10840</v>
      </c>
    </row>
    <row r="120" s="347" customFormat="1" ht="14.25" customHeight="1" spans="1:7">
      <c r="A120" s="362" t="s">
        <v>267</v>
      </c>
      <c r="B120" s="362" t="s">
        <v>2869</v>
      </c>
      <c r="C120" s="362"/>
      <c r="D120" s="362"/>
      <c r="E120" s="362"/>
      <c r="F120" s="362">
        <v>4160</v>
      </c>
      <c r="G120" s="370"/>
    </row>
    <row r="121" s="347" customFormat="1" ht="14.25" customHeight="1" spans="1:7">
      <c r="A121" s="362" t="s">
        <v>267</v>
      </c>
      <c r="B121" s="362" t="s">
        <v>2874</v>
      </c>
      <c r="C121" s="362"/>
      <c r="D121" s="362"/>
      <c r="E121" s="362"/>
      <c r="F121" s="362">
        <v>3880</v>
      </c>
      <c r="G121" s="370"/>
    </row>
    <row r="122" s="347" customFormat="1" ht="14.25" customHeight="1" spans="1:7">
      <c r="A122" s="362" t="s">
        <v>267</v>
      </c>
      <c r="B122" s="362" t="s">
        <v>2879</v>
      </c>
      <c r="C122" s="362">
        <v>13750</v>
      </c>
      <c r="D122" s="362">
        <v>13680</v>
      </c>
      <c r="E122" s="362">
        <v>16460</v>
      </c>
      <c r="F122" s="362">
        <v>2880</v>
      </c>
      <c r="G122" s="370">
        <v>9040</v>
      </c>
    </row>
    <row r="123" s="347" customFormat="1" ht="14.25" customHeight="1" spans="1:7">
      <c r="A123" s="362" t="s">
        <v>267</v>
      </c>
      <c r="B123" s="362" t="s">
        <v>2884</v>
      </c>
      <c r="C123" s="362">
        <v>13590</v>
      </c>
      <c r="D123" s="362">
        <v>13520</v>
      </c>
      <c r="E123" s="362">
        <v>16290</v>
      </c>
      <c r="F123" s="362">
        <v>2790</v>
      </c>
      <c r="G123" s="370">
        <v>8930</v>
      </c>
    </row>
    <row r="124" s="347" customFormat="1" ht="14.25" customHeight="1" spans="1:7">
      <c r="A124" s="362" t="s">
        <v>267</v>
      </c>
      <c r="B124" s="362" t="s">
        <v>2889</v>
      </c>
      <c r="C124" s="362">
        <v>13400</v>
      </c>
      <c r="D124" s="362">
        <v>13320</v>
      </c>
      <c r="E124" s="362">
        <v>16100</v>
      </c>
      <c r="F124" s="362">
        <v>2320</v>
      </c>
      <c r="G124" s="370">
        <v>8800</v>
      </c>
    </row>
    <row r="125" s="347" customFormat="1" ht="14.25" customHeight="1" spans="1:7">
      <c r="A125" s="362" t="s">
        <v>267</v>
      </c>
      <c r="B125" s="362" t="s">
        <v>2894</v>
      </c>
      <c r="C125" s="362">
        <v>12860</v>
      </c>
      <c r="D125" s="362">
        <v>12790</v>
      </c>
      <c r="E125" s="362">
        <v>15370</v>
      </c>
      <c r="F125" s="362">
        <v>2280</v>
      </c>
      <c r="G125" s="370">
        <v>8450</v>
      </c>
    </row>
    <row r="126" s="347" customFormat="1" ht="14.25" customHeight="1" spans="1:7">
      <c r="A126" s="371" t="s">
        <v>267</v>
      </c>
      <c r="B126" s="366" t="s">
        <v>2899</v>
      </c>
      <c r="C126" s="366">
        <v>12960</v>
      </c>
      <c r="D126" s="366">
        <v>12890</v>
      </c>
      <c r="E126" s="366">
        <v>15530</v>
      </c>
      <c r="F126" s="366">
        <v>2910</v>
      </c>
      <c r="G126" s="372">
        <v>8520</v>
      </c>
    </row>
    <row r="127" s="347" customFormat="1" ht="14.25" customHeight="1" spans="1:7">
      <c r="A127" s="360" t="s">
        <v>273</v>
      </c>
      <c r="B127" s="361" t="s">
        <v>2566</v>
      </c>
      <c r="C127" s="362">
        <v>12280</v>
      </c>
      <c r="D127" s="362">
        <v>12250</v>
      </c>
      <c r="E127" s="362">
        <v>15130</v>
      </c>
      <c r="F127" s="362">
        <v>2710</v>
      </c>
      <c r="G127" s="362">
        <v>7870</v>
      </c>
    </row>
    <row r="128" s="347" customFormat="1" ht="14.25" customHeight="1" spans="1:7">
      <c r="A128" s="362" t="s">
        <v>273</v>
      </c>
      <c r="B128" s="362" t="s">
        <v>2579</v>
      </c>
      <c r="C128" s="362">
        <v>13180</v>
      </c>
      <c r="D128" s="362">
        <v>13150</v>
      </c>
      <c r="E128" s="362">
        <v>16190</v>
      </c>
      <c r="F128" s="362">
        <v>2820</v>
      </c>
      <c r="G128" s="362">
        <v>8460</v>
      </c>
    </row>
    <row r="129" s="347" customFormat="1" ht="14.25" customHeight="1" spans="1:7">
      <c r="A129" s="362" t="s">
        <v>273</v>
      </c>
      <c r="B129" s="362" t="s">
        <v>2593</v>
      </c>
      <c r="C129" s="362">
        <v>10950</v>
      </c>
      <c r="D129" s="362">
        <v>10920</v>
      </c>
      <c r="E129" s="362">
        <v>13820</v>
      </c>
      <c r="F129" s="362">
        <v>2500</v>
      </c>
      <c r="G129" s="362">
        <v>7020</v>
      </c>
    </row>
    <row r="130" s="347" customFormat="1" ht="14.25" customHeight="1" spans="1:7">
      <c r="A130" s="362" t="s">
        <v>273</v>
      </c>
      <c r="B130" s="362" t="s">
        <v>2605</v>
      </c>
      <c r="C130" s="362">
        <v>10910</v>
      </c>
      <c r="D130" s="362">
        <v>10860</v>
      </c>
      <c r="E130" s="362">
        <v>13730</v>
      </c>
      <c r="F130" s="362">
        <v>2760</v>
      </c>
      <c r="G130" s="362">
        <v>6990</v>
      </c>
    </row>
    <row r="131" s="347" customFormat="1" ht="14.25" customHeight="1" spans="1:7">
      <c r="A131" s="362" t="s">
        <v>273</v>
      </c>
      <c r="B131" s="362" t="s">
        <v>2617</v>
      </c>
      <c r="C131" s="362">
        <v>12910</v>
      </c>
      <c r="D131" s="362">
        <v>12870</v>
      </c>
      <c r="E131" s="362">
        <v>15720</v>
      </c>
      <c r="F131" s="362">
        <v>2750</v>
      </c>
      <c r="G131" s="362">
        <v>8280</v>
      </c>
    </row>
    <row r="132" s="347" customFormat="1" ht="14.25" customHeight="1" spans="1:7">
      <c r="A132" s="362" t="s">
        <v>273</v>
      </c>
      <c r="B132" s="362" t="s">
        <v>2628</v>
      </c>
      <c r="C132" s="362">
        <v>11910</v>
      </c>
      <c r="D132" s="362">
        <v>11860</v>
      </c>
      <c r="E132" s="362">
        <v>14730</v>
      </c>
      <c r="F132" s="362">
        <v>2360</v>
      </c>
      <c r="G132" s="362">
        <v>7630</v>
      </c>
    </row>
    <row r="133" s="347" customFormat="1" ht="14.25" customHeight="1" spans="1:7">
      <c r="A133" s="362" t="s">
        <v>273</v>
      </c>
      <c r="B133" s="362" t="s">
        <v>2639</v>
      </c>
      <c r="C133" s="362">
        <v>12270</v>
      </c>
      <c r="D133" s="362">
        <v>12210</v>
      </c>
      <c r="E133" s="362">
        <v>15010</v>
      </c>
      <c r="F133" s="362">
        <v>2580</v>
      </c>
      <c r="G133" s="362">
        <v>7860</v>
      </c>
    </row>
    <row r="134" s="347" customFormat="1" ht="14.25" customHeight="1" spans="1:7">
      <c r="A134" s="362" t="s">
        <v>273</v>
      </c>
      <c r="B134" s="362" t="s">
        <v>2650</v>
      </c>
      <c r="C134" s="362">
        <v>10800</v>
      </c>
      <c r="D134" s="362">
        <v>10780</v>
      </c>
      <c r="E134" s="362">
        <v>13640</v>
      </c>
      <c r="F134" s="362">
        <v>2110</v>
      </c>
      <c r="G134" s="362">
        <v>6930</v>
      </c>
    </row>
    <row r="135" s="347" customFormat="1" ht="14.25" customHeight="1" spans="1:7">
      <c r="A135" s="362" t="s">
        <v>273</v>
      </c>
      <c r="B135" s="362" t="s">
        <v>2660</v>
      </c>
      <c r="C135" s="362">
        <v>10430</v>
      </c>
      <c r="D135" s="362">
        <v>10390</v>
      </c>
      <c r="E135" s="362">
        <v>13140</v>
      </c>
      <c r="F135" s="362">
        <v>2240</v>
      </c>
      <c r="G135" s="362">
        <v>6680</v>
      </c>
    </row>
    <row r="136" s="347" customFormat="1" ht="14.25" customHeight="1" spans="1:7">
      <c r="A136" s="362" t="s">
        <v>273</v>
      </c>
      <c r="B136" s="362" t="s">
        <v>2670</v>
      </c>
      <c r="C136" s="362">
        <v>11930</v>
      </c>
      <c r="D136" s="362">
        <v>11880</v>
      </c>
      <c r="E136" s="362">
        <v>14770</v>
      </c>
      <c r="F136" s="362">
        <v>1970</v>
      </c>
      <c r="G136" s="362">
        <v>7640</v>
      </c>
    </row>
    <row r="137" s="347" customFormat="1" ht="14.25" customHeight="1" spans="1:7">
      <c r="A137" s="362" t="s">
        <v>273</v>
      </c>
      <c r="B137" s="362" t="s">
        <v>2680</v>
      </c>
      <c r="C137" s="362">
        <v>10470</v>
      </c>
      <c r="D137" s="362">
        <v>10430</v>
      </c>
      <c r="E137" s="362">
        <v>13190</v>
      </c>
      <c r="F137" s="362">
        <v>1990</v>
      </c>
      <c r="G137" s="362">
        <v>6710</v>
      </c>
    </row>
    <row r="138" s="347" customFormat="1" ht="14.25" customHeight="1" spans="1:7">
      <c r="A138" s="362" t="s">
        <v>273</v>
      </c>
      <c r="B138" s="362" t="s">
        <v>2690</v>
      </c>
      <c r="C138" s="362">
        <v>10410</v>
      </c>
      <c r="D138" s="362">
        <v>10380</v>
      </c>
      <c r="E138" s="362">
        <v>13130</v>
      </c>
      <c r="F138" s="362">
        <v>2030</v>
      </c>
      <c r="G138" s="362">
        <v>6680</v>
      </c>
    </row>
    <row r="139" s="347" customFormat="1" ht="14.25" customHeight="1" spans="1:7">
      <c r="A139" s="362" t="s">
        <v>273</v>
      </c>
      <c r="B139" s="362" t="s">
        <v>2700</v>
      </c>
      <c r="C139" s="362">
        <v>9460</v>
      </c>
      <c r="D139" s="362">
        <v>9410</v>
      </c>
      <c r="E139" s="362">
        <v>12050</v>
      </c>
      <c r="F139" s="362">
        <v>2140</v>
      </c>
      <c r="G139" s="362">
        <v>6050</v>
      </c>
    </row>
    <row r="140" s="347" customFormat="1" ht="14.25" customHeight="1" spans="1:7">
      <c r="A140" s="362" t="s">
        <v>273</v>
      </c>
      <c r="B140" s="362" t="s">
        <v>2710</v>
      </c>
      <c r="C140" s="362">
        <v>11030</v>
      </c>
      <c r="D140" s="362">
        <v>10980</v>
      </c>
      <c r="E140" s="362">
        <v>13880</v>
      </c>
      <c r="F140" s="362">
        <v>2210</v>
      </c>
      <c r="G140" s="362">
        <v>7060</v>
      </c>
    </row>
    <row r="141" s="347" customFormat="1" ht="14.25" customHeight="1" spans="1:7">
      <c r="A141" s="362" t="s">
        <v>273</v>
      </c>
      <c r="B141" s="362" t="s">
        <v>2720</v>
      </c>
      <c r="C141" s="362">
        <v>11200</v>
      </c>
      <c r="D141" s="362">
        <v>11150</v>
      </c>
      <c r="E141" s="362">
        <v>14100</v>
      </c>
      <c r="F141" s="362">
        <v>2470</v>
      </c>
      <c r="G141" s="362">
        <v>7170</v>
      </c>
    </row>
    <row r="142" s="347" customFormat="1" ht="14.25" customHeight="1" spans="1:7">
      <c r="A142" s="362" t="s">
        <v>273</v>
      </c>
      <c r="B142" s="362" t="s">
        <v>2730</v>
      </c>
      <c r="C142" s="362">
        <v>10780</v>
      </c>
      <c r="D142" s="362">
        <v>10730</v>
      </c>
      <c r="E142" s="362">
        <v>13540</v>
      </c>
      <c r="F142" s="362">
        <v>2280</v>
      </c>
      <c r="G142" s="362">
        <v>6900</v>
      </c>
    </row>
    <row r="143" s="347" customFormat="1" ht="14.25" customHeight="1" spans="1:7">
      <c r="A143" s="362" t="s">
        <v>273</v>
      </c>
      <c r="B143" s="362" t="s">
        <v>2740</v>
      </c>
      <c r="C143" s="362">
        <v>11550</v>
      </c>
      <c r="D143" s="362">
        <v>11490</v>
      </c>
      <c r="E143" s="362">
        <v>14480</v>
      </c>
      <c r="F143" s="362">
        <v>2070</v>
      </c>
      <c r="G143" s="362">
        <v>7390</v>
      </c>
    </row>
    <row r="144" s="347" customFormat="1" ht="14.25" customHeight="1" spans="1:7">
      <c r="A144" s="362" t="s">
        <v>273</v>
      </c>
      <c r="B144" s="362" t="s">
        <v>2750</v>
      </c>
      <c r="C144" s="362">
        <v>10720</v>
      </c>
      <c r="D144" s="362">
        <v>10680</v>
      </c>
      <c r="E144" s="362">
        <v>13480</v>
      </c>
      <c r="F144" s="362">
        <v>2440</v>
      </c>
      <c r="G144" s="362">
        <v>6870</v>
      </c>
    </row>
    <row r="145" s="347" customFormat="1" ht="14.25" customHeight="1" spans="1:7">
      <c r="A145" s="362" t="s">
        <v>273</v>
      </c>
      <c r="B145" s="362" t="s">
        <v>2760</v>
      </c>
      <c r="C145" s="362">
        <v>10340</v>
      </c>
      <c r="D145" s="362">
        <v>10290</v>
      </c>
      <c r="E145" s="362">
        <v>12880</v>
      </c>
      <c r="F145" s="362">
        <v>2650</v>
      </c>
      <c r="G145" s="362">
        <v>6620</v>
      </c>
    </row>
    <row r="146" s="347" customFormat="1" ht="14.25" customHeight="1" spans="1:7">
      <c r="A146" s="362" t="s">
        <v>273</v>
      </c>
      <c r="B146" s="362" t="s">
        <v>2770</v>
      </c>
      <c r="C146" s="362">
        <v>11890</v>
      </c>
      <c r="D146" s="362">
        <v>11830</v>
      </c>
      <c r="E146" s="362">
        <v>14670</v>
      </c>
      <c r="F146" s="362"/>
      <c r="G146" s="362">
        <v>7610</v>
      </c>
    </row>
    <row r="147" s="347" customFormat="1" ht="14.25" customHeight="1" spans="1:7">
      <c r="A147" s="362" t="s">
        <v>273</v>
      </c>
      <c r="B147" s="362" t="s">
        <v>2779</v>
      </c>
      <c r="C147" s="362">
        <v>12650</v>
      </c>
      <c r="D147" s="362">
        <v>12600</v>
      </c>
      <c r="E147" s="362">
        <v>15440</v>
      </c>
      <c r="F147" s="362"/>
      <c r="G147" s="362">
        <v>8110</v>
      </c>
    </row>
    <row r="148" s="347" customFormat="1" ht="14.25" customHeight="1" spans="1:7">
      <c r="A148" s="362" t="s">
        <v>273</v>
      </c>
      <c r="B148" s="362" t="s">
        <v>2787</v>
      </c>
      <c r="C148" s="362">
        <v>10370</v>
      </c>
      <c r="D148" s="362">
        <v>10310</v>
      </c>
      <c r="E148" s="362">
        <v>12970</v>
      </c>
      <c r="F148" s="362"/>
      <c r="G148" s="362">
        <v>6630</v>
      </c>
    </row>
    <row r="149" s="347" customFormat="1" ht="14.25" customHeight="1" spans="1:7">
      <c r="A149" s="362" t="s">
        <v>273</v>
      </c>
      <c r="B149" s="362" t="s">
        <v>2795</v>
      </c>
      <c r="C149" s="362">
        <v>11600</v>
      </c>
      <c r="D149" s="362">
        <v>11560</v>
      </c>
      <c r="E149" s="362">
        <v>14540</v>
      </c>
      <c r="F149" s="362">
        <v>2390</v>
      </c>
      <c r="G149" s="362">
        <v>7430</v>
      </c>
    </row>
    <row r="150" s="347" customFormat="1" ht="14.25" customHeight="1" spans="1:7">
      <c r="A150" s="362" t="s">
        <v>273</v>
      </c>
      <c r="B150" s="362" t="s">
        <v>2803</v>
      </c>
      <c r="C150" s="362">
        <v>9950</v>
      </c>
      <c r="D150" s="362">
        <v>9890</v>
      </c>
      <c r="E150" s="362">
        <v>12590</v>
      </c>
      <c r="F150" s="362">
        <v>1970</v>
      </c>
      <c r="G150" s="362">
        <v>6360</v>
      </c>
    </row>
    <row r="151" s="347" customFormat="1" ht="14.25" customHeight="1" spans="1:7">
      <c r="A151" s="362" t="s">
        <v>273</v>
      </c>
      <c r="B151" s="362" t="s">
        <v>2811</v>
      </c>
      <c r="C151" s="362">
        <v>10700</v>
      </c>
      <c r="D151" s="362">
        <v>10650</v>
      </c>
      <c r="E151" s="362">
        <v>13420</v>
      </c>
      <c r="F151" s="362">
        <v>2020</v>
      </c>
      <c r="G151" s="362">
        <v>6850</v>
      </c>
    </row>
    <row r="152" s="347" customFormat="1" ht="14.25" customHeight="1" spans="1:7">
      <c r="A152" s="362" t="s">
        <v>273</v>
      </c>
      <c r="B152" s="362" t="s">
        <v>2818</v>
      </c>
      <c r="C152" s="362">
        <v>10310</v>
      </c>
      <c r="D152" s="362">
        <v>10260</v>
      </c>
      <c r="E152" s="362">
        <v>12820</v>
      </c>
      <c r="F152" s="362">
        <v>1980</v>
      </c>
      <c r="G152" s="362">
        <v>6600</v>
      </c>
    </row>
    <row r="153" s="347" customFormat="1" ht="14.25" customHeight="1" spans="1:7">
      <c r="A153" s="362" t="s">
        <v>273</v>
      </c>
      <c r="B153" s="362" t="s">
        <v>2825</v>
      </c>
      <c r="C153" s="362">
        <v>10880</v>
      </c>
      <c r="D153" s="362">
        <v>10820</v>
      </c>
      <c r="E153" s="362">
        <v>13660</v>
      </c>
      <c r="F153" s="362">
        <v>2260</v>
      </c>
      <c r="G153" s="362">
        <v>6970</v>
      </c>
    </row>
    <row r="154" s="347" customFormat="1" ht="14.25" customHeight="1" spans="1:7">
      <c r="A154" s="362" t="s">
        <v>273</v>
      </c>
      <c r="B154" s="362" t="s">
        <v>2832</v>
      </c>
      <c r="C154" s="362">
        <v>11220</v>
      </c>
      <c r="D154" s="362">
        <v>11160</v>
      </c>
      <c r="E154" s="362">
        <v>14130</v>
      </c>
      <c r="F154" s="362">
        <v>2230</v>
      </c>
      <c r="G154" s="362">
        <v>7180</v>
      </c>
    </row>
    <row r="155" s="347" customFormat="1" ht="14.25" customHeight="1" spans="1:7">
      <c r="A155" s="362" t="s">
        <v>273</v>
      </c>
      <c r="B155" s="362" t="s">
        <v>2839</v>
      </c>
      <c r="C155" s="362">
        <v>10430</v>
      </c>
      <c r="D155" s="362">
        <v>10380</v>
      </c>
      <c r="E155" s="362">
        <v>13140</v>
      </c>
      <c r="F155" s="362">
        <v>2080</v>
      </c>
      <c r="G155" s="362">
        <v>6650</v>
      </c>
    </row>
    <row r="156" s="347" customFormat="1" ht="14.25" customHeight="1" spans="1:7">
      <c r="A156" s="362" t="s">
        <v>273</v>
      </c>
      <c r="B156" s="362" t="s">
        <v>2846</v>
      </c>
      <c r="C156" s="362">
        <v>10440</v>
      </c>
      <c r="D156" s="362">
        <v>10400</v>
      </c>
      <c r="E156" s="362">
        <v>13150</v>
      </c>
      <c r="F156" s="362">
        <v>2490</v>
      </c>
      <c r="G156" s="362">
        <v>6690</v>
      </c>
    </row>
    <row r="157" s="347" customFormat="1" ht="14.25" customHeight="1" spans="1:7">
      <c r="A157" s="362" t="s">
        <v>273</v>
      </c>
      <c r="B157" s="362" t="s">
        <v>2853</v>
      </c>
      <c r="C157" s="362">
        <v>10970</v>
      </c>
      <c r="D157" s="362">
        <v>10920</v>
      </c>
      <c r="E157" s="362">
        <v>13840</v>
      </c>
      <c r="F157" s="362">
        <v>2420</v>
      </c>
      <c r="G157" s="362">
        <v>7020</v>
      </c>
    </row>
    <row r="158" s="347" customFormat="1" ht="14.25" customHeight="1" spans="1:7">
      <c r="A158" s="362" t="s">
        <v>273</v>
      </c>
      <c r="B158" s="362" t="s">
        <v>2860</v>
      </c>
      <c r="C158" s="362">
        <v>9590</v>
      </c>
      <c r="D158" s="362">
        <v>9540</v>
      </c>
      <c r="E158" s="362">
        <v>12210</v>
      </c>
      <c r="F158" s="362">
        <v>2100</v>
      </c>
      <c r="G158" s="362">
        <v>6130</v>
      </c>
    </row>
    <row r="159" s="347" customFormat="1" ht="14.25" customHeight="1" spans="1:7">
      <c r="A159" s="362" t="s">
        <v>273</v>
      </c>
      <c r="B159" s="362" t="s">
        <v>2865</v>
      </c>
      <c r="C159" s="362">
        <v>11190</v>
      </c>
      <c r="D159" s="362">
        <v>11140</v>
      </c>
      <c r="E159" s="362">
        <v>14090</v>
      </c>
      <c r="F159" s="362">
        <v>2470</v>
      </c>
      <c r="G159" s="362">
        <v>7170</v>
      </c>
    </row>
    <row r="160" s="347" customFormat="1" ht="14.25" customHeight="1" spans="1:7">
      <c r="A160" s="362" t="s">
        <v>273</v>
      </c>
      <c r="B160" s="362" t="s">
        <v>2870</v>
      </c>
      <c r="C160" s="362">
        <v>11180</v>
      </c>
      <c r="D160" s="362">
        <v>11140</v>
      </c>
      <c r="E160" s="362">
        <v>14050</v>
      </c>
      <c r="F160" s="362">
        <v>2270</v>
      </c>
      <c r="G160" s="362">
        <v>7170</v>
      </c>
    </row>
    <row r="161" s="347" customFormat="1" ht="14.25" customHeight="1" spans="1:7">
      <c r="A161" s="362" t="s">
        <v>273</v>
      </c>
      <c r="B161" s="362" t="s">
        <v>2875</v>
      </c>
      <c r="C161" s="362">
        <v>11160</v>
      </c>
      <c r="D161" s="362">
        <v>11120</v>
      </c>
      <c r="E161" s="362">
        <v>14020</v>
      </c>
      <c r="F161" s="362">
        <v>2150</v>
      </c>
      <c r="G161" s="362">
        <v>7160</v>
      </c>
    </row>
    <row r="162" s="347" customFormat="1" ht="14.25" customHeight="1" spans="1:7">
      <c r="A162" s="362" t="s">
        <v>273</v>
      </c>
      <c r="B162" s="362" t="s">
        <v>2880</v>
      </c>
      <c r="C162" s="362">
        <v>9620</v>
      </c>
      <c r="D162" s="362">
        <v>9570</v>
      </c>
      <c r="E162" s="362">
        <v>12320</v>
      </c>
      <c r="F162" s="362">
        <v>2010</v>
      </c>
      <c r="G162" s="362">
        <v>6160</v>
      </c>
    </row>
    <row r="163" s="347" customFormat="1" ht="14.25" customHeight="1" spans="1:7">
      <c r="A163" s="362" t="s">
        <v>273</v>
      </c>
      <c r="B163" s="362" t="s">
        <v>2885</v>
      </c>
      <c r="C163" s="362">
        <v>9320</v>
      </c>
      <c r="D163" s="362">
        <v>9270</v>
      </c>
      <c r="E163" s="362">
        <v>11790</v>
      </c>
      <c r="F163" s="362">
        <v>1920</v>
      </c>
      <c r="G163" s="362">
        <v>5960</v>
      </c>
    </row>
    <row r="164" s="347" customFormat="1" ht="14.25" customHeight="1" spans="1:7">
      <c r="A164" s="362" t="s">
        <v>273</v>
      </c>
      <c r="B164" s="362" t="s">
        <v>2890</v>
      </c>
      <c r="C164" s="362"/>
      <c r="D164" s="362"/>
      <c r="E164" s="362"/>
      <c r="F164" s="362">
        <v>1980</v>
      </c>
      <c r="G164" s="362"/>
    </row>
    <row r="165" s="347" customFormat="1" ht="14.25" customHeight="1" spans="1:7">
      <c r="A165" s="362" t="s">
        <v>273</v>
      </c>
      <c r="B165" s="362" t="s">
        <v>2895</v>
      </c>
      <c r="C165" s="362">
        <v>11060</v>
      </c>
      <c r="D165" s="362">
        <v>11030</v>
      </c>
      <c r="E165" s="362">
        <v>13850</v>
      </c>
      <c r="F165" s="362">
        <v>2170</v>
      </c>
      <c r="G165" s="362">
        <v>7090</v>
      </c>
    </row>
    <row r="166" s="347" customFormat="1" ht="14.25" customHeight="1" spans="1:7">
      <c r="A166" s="362" t="s">
        <v>273</v>
      </c>
      <c r="B166" s="362" t="s">
        <v>2900</v>
      </c>
      <c r="C166" s="362">
        <v>11050</v>
      </c>
      <c r="D166" s="362">
        <v>11010</v>
      </c>
      <c r="E166" s="362">
        <v>13920</v>
      </c>
      <c r="F166" s="362">
        <v>2140</v>
      </c>
      <c r="G166" s="362">
        <v>7080</v>
      </c>
    </row>
    <row r="167" s="347" customFormat="1" ht="14.25" customHeight="1" spans="1:7">
      <c r="A167" s="362" t="s">
        <v>273</v>
      </c>
      <c r="B167" s="362" t="s">
        <v>2904</v>
      </c>
      <c r="C167" s="362">
        <v>10930</v>
      </c>
      <c r="D167" s="362">
        <v>10890</v>
      </c>
      <c r="E167" s="362">
        <v>13790</v>
      </c>
      <c r="F167" s="362">
        <v>2010</v>
      </c>
      <c r="G167" s="362">
        <v>7000</v>
      </c>
    </row>
    <row r="168" s="347" customFormat="1" ht="14.25" customHeight="1" spans="1:7">
      <c r="A168" s="362" t="s">
        <v>273</v>
      </c>
      <c r="B168" s="362" t="s">
        <v>2908</v>
      </c>
      <c r="C168" s="362">
        <v>9420</v>
      </c>
      <c r="D168" s="362">
        <v>9380</v>
      </c>
      <c r="E168" s="362">
        <v>11970</v>
      </c>
      <c r="F168" s="362"/>
      <c r="G168" s="362">
        <v>6040</v>
      </c>
    </row>
    <row r="169" s="347" customFormat="1" ht="14.25" customHeight="1" spans="1:7">
      <c r="A169" s="362" t="s">
        <v>273</v>
      </c>
      <c r="B169" s="362" t="s">
        <v>2912</v>
      </c>
      <c r="C169" s="362"/>
      <c r="D169" s="362"/>
      <c r="E169" s="362"/>
      <c r="F169" s="362">
        <v>2880</v>
      </c>
      <c r="G169" s="362"/>
    </row>
    <row r="170" s="347" customFormat="1" ht="14.25" customHeight="1" spans="1:7">
      <c r="A170" s="362" t="s">
        <v>273</v>
      </c>
      <c r="B170" s="362" t="s">
        <v>2916</v>
      </c>
      <c r="C170" s="362"/>
      <c r="D170" s="362"/>
      <c r="E170" s="362"/>
      <c r="F170" s="362">
        <v>2880</v>
      </c>
      <c r="G170" s="362"/>
    </row>
    <row r="171" s="347" customFormat="1" ht="14.25" customHeight="1" spans="1:7">
      <c r="A171" s="362" t="s">
        <v>273</v>
      </c>
      <c r="B171" s="362" t="s">
        <v>2919</v>
      </c>
      <c r="C171" s="362"/>
      <c r="D171" s="362"/>
      <c r="E171" s="362"/>
      <c r="F171" s="362">
        <v>2880</v>
      </c>
      <c r="G171" s="362"/>
    </row>
    <row r="172" s="347" customFormat="1" ht="14.25" customHeight="1" spans="1:7">
      <c r="A172" s="362" t="s">
        <v>273</v>
      </c>
      <c r="B172" s="362" t="s">
        <v>2921</v>
      </c>
      <c r="C172" s="362"/>
      <c r="D172" s="362"/>
      <c r="E172" s="362"/>
      <c r="F172" s="362">
        <v>2880</v>
      </c>
      <c r="G172" s="362"/>
    </row>
    <row r="173" s="347" customFormat="1" ht="14.25" customHeight="1" spans="1:7">
      <c r="A173" s="362" t="s">
        <v>273</v>
      </c>
      <c r="B173" s="362" t="s">
        <v>2923</v>
      </c>
      <c r="C173" s="362"/>
      <c r="D173" s="362"/>
      <c r="E173" s="362"/>
      <c r="F173" s="362">
        <v>2150</v>
      </c>
      <c r="G173" s="362"/>
    </row>
    <row r="174" s="347" customFormat="1" ht="14.25" customHeight="1" spans="1:7">
      <c r="A174" s="362" t="s">
        <v>273</v>
      </c>
      <c r="B174" s="362" t="s">
        <v>2925</v>
      </c>
      <c r="C174" s="362"/>
      <c r="D174" s="362"/>
      <c r="E174" s="362"/>
      <c r="F174" s="362">
        <v>2030</v>
      </c>
      <c r="G174" s="362"/>
    </row>
    <row r="175" s="347" customFormat="1" ht="14.25" customHeight="1" spans="1:7">
      <c r="A175" s="362" t="s">
        <v>273</v>
      </c>
      <c r="B175" s="362" t="s">
        <v>2927</v>
      </c>
      <c r="C175" s="362"/>
      <c r="D175" s="362"/>
      <c r="E175" s="362"/>
      <c r="F175" s="362">
        <v>2780</v>
      </c>
      <c r="G175" s="362"/>
    </row>
    <row r="176" s="347" customFormat="1" ht="14.25" customHeight="1" spans="1:7">
      <c r="A176" s="362" t="s">
        <v>273</v>
      </c>
      <c r="B176" s="362" t="s">
        <v>2929</v>
      </c>
      <c r="C176" s="362"/>
      <c r="D176" s="362"/>
      <c r="E176" s="362"/>
      <c r="F176" s="362">
        <v>2780</v>
      </c>
      <c r="G176" s="362"/>
    </row>
    <row r="177" s="347" customFormat="1" ht="14.25" customHeight="1" spans="1:7">
      <c r="A177" s="362" t="s">
        <v>273</v>
      </c>
      <c r="B177" s="362" t="s">
        <v>2931</v>
      </c>
      <c r="C177" s="362"/>
      <c r="D177" s="362"/>
      <c r="E177" s="362"/>
      <c r="F177" s="362">
        <v>2780</v>
      </c>
      <c r="G177" s="362"/>
    </row>
    <row r="178" s="347" customFormat="1" ht="14.25" customHeight="1" spans="1:7">
      <c r="A178" s="362" t="s">
        <v>273</v>
      </c>
      <c r="B178" s="362" t="s">
        <v>2932</v>
      </c>
      <c r="C178" s="362"/>
      <c r="D178" s="362"/>
      <c r="E178" s="362"/>
      <c r="F178" s="362">
        <v>2060</v>
      </c>
      <c r="G178" s="362"/>
    </row>
    <row r="179" s="347" customFormat="1" ht="14.25" customHeight="1" spans="1:7">
      <c r="A179" s="362" t="s">
        <v>273</v>
      </c>
      <c r="B179" s="362" t="s">
        <v>2933</v>
      </c>
      <c r="C179" s="362"/>
      <c r="D179" s="362"/>
      <c r="E179" s="362"/>
      <c r="F179" s="362">
        <v>2120</v>
      </c>
      <c r="G179" s="362"/>
    </row>
    <row r="180" s="347" customFormat="1" ht="14.25" customHeight="1" spans="1:7">
      <c r="A180" s="362" t="s">
        <v>273</v>
      </c>
      <c r="B180" s="362" t="s">
        <v>2934</v>
      </c>
      <c r="C180" s="362"/>
      <c r="D180" s="362"/>
      <c r="E180" s="362"/>
      <c r="F180" s="362">
        <v>2340</v>
      </c>
      <c r="G180" s="362"/>
    </row>
    <row r="181" s="347" customFormat="1" ht="14.25" customHeight="1" spans="1:7">
      <c r="A181" s="362" t="s">
        <v>273</v>
      </c>
      <c r="B181" s="362" t="s">
        <v>2935</v>
      </c>
      <c r="C181" s="362"/>
      <c r="D181" s="362"/>
      <c r="E181" s="362"/>
      <c r="F181" s="362">
        <v>2340</v>
      </c>
      <c r="G181" s="362"/>
    </row>
    <row r="182" s="347" customFormat="1" ht="14.25" customHeight="1" spans="1:7">
      <c r="A182" s="362" t="s">
        <v>273</v>
      </c>
      <c r="B182" s="362" t="s">
        <v>2936</v>
      </c>
      <c r="C182" s="362"/>
      <c r="D182" s="362"/>
      <c r="E182" s="362"/>
      <c r="F182" s="362">
        <v>2340</v>
      </c>
      <c r="G182" s="362"/>
    </row>
    <row r="183" s="347" customFormat="1" ht="14.25" customHeight="1" spans="1:7">
      <c r="A183" s="362" t="s">
        <v>273</v>
      </c>
      <c r="B183" s="362" t="s">
        <v>2937</v>
      </c>
      <c r="C183" s="362"/>
      <c r="D183" s="362"/>
      <c r="E183" s="362"/>
      <c r="F183" s="362">
        <v>2340</v>
      </c>
      <c r="G183" s="362"/>
    </row>
    <row r="184" s="347" customFormat="1" ht="14.25" customHeight="1" spans="1:7">
      <c r="A184" s="362" t="s">
        <v>273</v>
      </c>
      <c r="B184" s="362" t="s">
        <v>2938</v>
      </c>
      <c r="C184" s="362"/>
      <c r="D184" s="362"/>
      <c r="E184" s="362"/>
      <c r="F184" s="362">
        <v>2340</v>
      </c>
      <c r="G184" s="362"/>
    </row>
    <row r="185" s="347" customFormat="1" ht="14.25" customHeight="1" spans="1:7">
      <c r="A185" s="362" t="s">
        <v>273</v>
      </c>
      <c r="B185" s="362" t="s">
        <v>2939</v>
      </c>
      <c r="C185" s="362"/>
      <c r="D185" s="362"/>
      <c r="E185" s="362"/>
      <c r="F185" s="362">
        <v>2530</v>
      </c>
      <c r="G185" s="362"/>
    </row>
    <row r="186" s="347" customFormat="1" ht="14.25" customHeight="1" spans="1:7">
      <c r="A186" s="362" t="s">
        <v>273</v>
      </c>
      <c r="B186" s="362" t="s">
        <v>2940</v>
      </c>
      <c r="C186" s="362"/>
      <c r="D186" s="362"/>
      <c r="E186" s="362"/>
      <c r="F186" s="362">
        <v>2550</v>
      </c>
      <c r="G186" s="362"/>
    </row>
    <row r="187" s="347" customFormat="1" ht="14.25" customHeight="1" spans="1:7">
      <c r="A187" s="362" t="s">
        <v>273</v>
      </c>
      <c r="B187" s="362" t="s">
        <v>2941</v>
      </c>
      <c r="C187" s="362"/>
      <c r="D187" s="362"/>
      <c r="E187" s="362"/>
      <c r="F187" s="362">
        <v>2070</v>
      </c>
      <c r="G187" s="362"/>
    </row>
    <row r="188" s="347" customFormat="1" ht="14.25" customHeight="1" spans="1:7">
      <c r="A188" s="362" t="s">
        <v>273</v>
      </c>
      <c r="B188" s="362" t="s">
        <v>2942</v>
      </c>
      <c r="C188" s="362"/>
      <c r="D188" s="362"/>
      <c r="E188" s="362"/>
      <c r="F188" s="362">
        <v>2340</v>
      </c>
      <c r="G188" s="362"/>
    </row>
    <row r="189" s="347" customFormat="1" ht="14.25" customHeight="1" spans="1:7">
      <c r="A189" s="364" t="s">
        <v>273</v>
      </c>
      <c r="B189" s="368" t="s">
        <v>2943</v>
      </c>
      <c r="C189" s="368"/>
      <c r="D189" s="368"/>
      <c r="E189" s="368"/>
      <c r="F189" s="368">
        <v>2050</v>
      </c>
      <c r="G189" s="368"/>
    </row>
    <row r="190" s="347" customFormat="1" ht="14.25" customHeight="1" spans="1:7">
      <c r="A190" s="360" t="s">
        <v>278</v>
      </c>
      <c r="B190" s="361" t="s">
        <v>2567</v>
      </c>
      <c r="C190" s="361">
        <v>8830</v>
      </c>
      <c r="D190" s="361">
        <v>8790</v>
      </c>
      <c r="E190" s="361">
        <v>11630</v>
      </c>
      <c r="F190" s="361">
        <v>1790</v>
      </c>
      <c r="G190" s="369">
        <v>5550</v>
      </c>
    </row>
    <row r="191" s="347" customFormat="1" ht="14.25" customHeight="1" spans="1:7">
      <c r="A191" s="362" t="s">
        <v>278</v>
      </c>
      <c r="B191" s="362" t="s">
        <v>2580</v>
      </c>
      <c r="C191" s="362">
        <v>9780</v>
      </c>
      <c r="D191" s="362">
        <v>9710</v>
      </c>
      <c r="E191" s="362">
        <v>12550</v>
      </c>
      <c r="F191" s="362">
        <v>1980</v>
      </c>
      <c r="G191" s="370">
        <v>6130</v>
      </c>
    </row>
    <row r="192" s="347" customFormat="1" ht="14.25" customHeight="1" spans="1:7">
      <c r="A192" s="362" t="s">
        <v>278</v>
      </c>
      <c r="B192" s="362" t="s">
        <v>2594</v>
      </c>
      <c r="C192" s="362">
        <v>8180</v>
      </c>
      <c r="D192" s="362">
        <v>8140</v>
      </c>
      <c r="E192" s="362">
        <v>10870</v>
      </c>
      <c r="F192" s="362">
        <v>1690</v>
      </c>
      <c r="G192" s="370">
        <v>5140</v>
      </c>
    </row>
    <row r="193" s="347" customFormat="1" ht="14.25" customHeight="1" spans="1:7">
      <c r="A193" s="362" t="s">
        <v>278</v>
      </c>
      <c r="B193" s="362" t="s">
        <v>2606</v>
      </c>
      <c r="C193" s="362">
        <v>8440</v>
      </c>
      <c r="D193" s="362">
        <v>8390</v>
      </c>
      <c r="E193" s="362">
        <v>11210</v>
      </c>
      <c r="F193" s="362">
        <v>1600</v>
      </c>
      <c r="G193" s="370">
        <v>5300</v>
      </c>
    </row>
    <row r="194" s="347" customFormat="1" ht="14.25" customHeight="1" spans="1:7">
      <c r="A194" s="362" t="s">
        <v>278</v>
      </c>
      <c r="B194" s="362" t="s">
        <v>2618</v>
      </c>
      <c r="C194" s="362">
        <v>8780</v>
      </c>
      <c r="D194" s="362">
        <v>8730</v>
      </c>
      <c r="E194" s="362">
        <v>11550</v>
      </c>
      <c r="F194" s="362">
        <v>1660</v>
      </c>
      <c r="G194" s="370">
        <v>5520</v>
      </c>
    </row>
    <row r="195" s="347" customFormat="1" ht="14.25" customHeight="1" spans="1:7">
      <c r="A195" s="362" t="s">
        <v>278</v>
      </c>
      <c r="B195" s="362" t="s">
        <v>2629</v>
      </c>
      <c r="C195" s="362">
        <v>8720</v>
      </c>
      <c r="D195" s="362">
        <v>8670</v>
      </c>
      <c r="E195" s="362">
        <v>11450</v>
      </c>
      <c r="F195" s="362">
        <v>1720</v>
      </c>
      <c r="G195" s="370">
        <v>5480</v>
      </c>
    </row>
    <row r="196" s="347" customFormat="1" ht="14.25" customHeight="1" spans="1:7">
      <c r="A196" s="362" t="s">
        <v>278</v>
      </c>
      <c r="B196" s="362" t="s">
        <v>2640</v>
      </c>
      <c r="C196" s="362">
        <v>8460</v>
      </c>
      <c r="D196" s="362">
        <v>8410</v>
      </c>
      <c r="E196" s="362">
        <v>11230</v>
      </c>
      <c r="F196" s="362">
        <v>1730</v>
      </c>
      <c r="G196" s="370">
        <v>5310</v>
      </c>
    </row>
    <row r="197" s="347" customFormat="1" ht="14.25" customHeight="1" spans="1:7">
      <c r="A197" s="362" t="s">
        <v>278</v>
      </c>
      <c r="B197" s="362" t="s">
        <v>2651</v>
      </c>
      <c r="C197" s="362">
        <v>8790</v>
      </c>
      <c r="D197" s="362">
        <v>8730</v>
      </c>
      <c r="E197" s="362">
        <v>11560</v>
      </c>
      <c r="F197" s="362">
        <v>1750</v>
      </c>
      <c r="G197" s="370">
        <v>5520</v>
      </c>
    </row>
    <row r="198" s="347" customFormat="1" ht="14.25" customHeight="1" spans="1:7">
      <c r="A198" s="362" t="s">
        <v>278</v>
      </c>
      <c r="B198" s="362" t="s">
        <v>2661</v>
      </c>
      <c r="C198" s="362">
        <v>8720</v>
      </c>
      <c r="D198" s="362">
        <v>8680</v>
      </c>
      <c r="E198" s="362">
        <v>11470</v>
      </c>
      <c r="F198" s="362"/>
      <c r="G198" s="370">
        <v>5480</v>
      </c>
    </row>
    <row r="199" s="347" customFormat="1" ht="14.25" customHeight="1" spans="1:7">
      <c r="A199" s="362" t="s">
        <v>278</v>
      </c>
      <c r="B199" s="362" t="s">
        <v>2671</v>
      </c>
      <c r="C199" s="362">
        <v>8690</v>
      </c>
      <c r="D199" s="362">
        <v>8630</v>
      </c>
      <c r="E199" s="362">
        <v>11350</v>
      </c>
      <c r="F199" s="362">
        <v>1600</v>
      </c>
      <c r="G199" s="370">
        <v>5450</v>
      </c>
    </row>
    <row r="200" s="347" customFormat="1" ht="14.25" customHeight="1" spans="1:7">
      <c r="A200" s="362" t="s">
        <v>278</v>
      </c>
      <c r="B200" s="362" t="s">
        <v>2681</v>
      </c>
      <c r="C200" s="362"/>
      <c r="D200" s="362"/>
      <c r="E200" s="362"/>
      <c r="F200" s="362">
        <v>1510</v>
      </c>
      <c r="G200" s="370"/>
    </row>
    <row r="201" s="347" customFormat="1" ht="14.25" customHeight="1" spans="1:7">
      <c r="A201" s="362" t="s">
        <v>278</v>
      </c>
      <c r="B201" s="362" t="s">
        <v>2691</v>
      </c>
      <c r="C201" s="362">
        <v>8440</v>
      </c>
      <c r="D201" s="362">
        <v>8390</v>
      </c>
      <c r="E201" s="362">
        <v>10930</v>
      </c>
      <c r="F201" s="362">
        <v>1500</v>
      </c>
      <c r="G201" s="370">
        <v>5300</v>
      </c>
    </row>
    <row r="202" s="347" customFormat="1" ht="14.25" customHeight="1" spans="1:7">
      <c r="A202" s="362" t="s">
        <v>278</v>
      </c>
      <c r="B202" s="362" t="s">
        <v>2701</v>
      </c>
      <c r="C202" s="362">
        <v>8530</v>
      </c>
      <c r="D202" s="362">
        <v>8490</v>
      </c>
      <c r="E202" s="362">
        <v>11160</v>
      </c>
      <c r="F202" s="362">
        <v>1580</v>
      </c>
      <c r="G202" s="370">
        <v>5360</v>
      </c>
    </row>
    <row r="203" s="347" customFormat="1" ht="14.25" customHeight="1" spans="1:7">
      <c r="A203" s="362" t="s">
        <v>278</v>
      </c>
      <c r="B203" s="362" t="s">
        <v>2711</v>
      </c>
      <c r="C203" s="362">
        <v>8130</v>
      </c>
      <c r="D203" s="362">
        <v>8070</v>
      </c>
      <c r="E203" s="362">
        <v>10820</v>
      </c>
      <c r="F203" s="362">
        <v>1690</v>
      </c>
      <c r="G203" s="370">
        <v>5100</v>
      </c>
    </row>
    <row r="204" s="347" customFormat="1" ht="14.25" customHeight="1" spans="1:7">
      <c r="A204" s="362" t="s">
        <v>278</v>
      </c>
      <c r="B204" s="362" t="s">
        <v>2721</v>
      </c>
      <c r="C204" s="362">
        <v>8350</v>
      </c>
      <c r="D204" s="362">
        <v>8290</v>
      </c>
      <c r="E204" s="362">
        <v>11080</v>
      </c>
      <c r="F204" s="362">
        <v>1450</v>
      </c>
      <c r="G204" s="370">
        <v>5240</v>
      </c>
    </row>
    <row r="205" s="347" customFormat="1" ht="14.25" customHeight="1" spans="1:7">
      <c r="A205" s="362" t="s">
        <v>278</v>
      </c>
      <c r="B205" s="362" t="s">
        <v>2731</v>
      </c>
      <c r="C205" s="362">
        <v>7190</v>
      </c>
      <c r="D205" s="362">
        <v>7130</v>
      </c>
      <c r="E205" s="362">
        <v>9490</v>
      </c>
      <c r="F205" s="362">
        <v>1470</v>
      </c>
      <c r="G205" s="370">
        <v>4510</v>
      </c>
    </row>
    <row r="206" s="347" customFormat="1" ht="14.25" customHeight="1" spans="1:7">
      <c r="A206" s="362" t="s">
        <v>278</v>
      </c>
      <c r="B206" s="362" t="s">
        <v>2741</v>
      </c>
      <c r="C206" s="362">
        <v>7000</v>
      </c>
      <c r="D206" s="362">
        <v>6950</v>
      </c>
      <c r="E206" s="362">
        <v>9170</v>
      </c>
      <c r="F206" s="362">
        <v>1400</v>
      </c>
      <c r="G206" s="370">
        <v>4380</v>
      </c>
    </row>
    <row r="207" s="347" customFormat="1" ht="14.25" customHeight="1" spans="1:7">
      <c r="A207" s="362" t="s">
        <v>278</v>
      </c>
      <c r="B207" s="362" t="s">
        <v>2751</v>
      </c>
      <c r="C207" s="362">
        <v>6950</v>
      </c>
      <c r="D207" s="362">
        <v>6900</v>
      </c>
      <c r="E207" s="362">
        <v>9110</v>
      </c>
      <c r="F207" s="362">
        <v>1790</v>
      </c>
      <c r="G207" s="370">
        <v>4360</v>
      </c>
    </row>
    <row r="208" s="347" customFormat="1" ht="14.25" customHeight="1" spans="1:7">
      <c r="A208" s="362" t="s">
        <v>278</v>
      </c>
      <c r="B208" s="362" t="s">
        <v>2761</v>
      </c>
      <c r="C208" s="362">
        <v>9470</v>
      </c>
      <c r="D208" s="362">
        <v>9410</v>
      </c>
      <c r="E208" s="362">
        <v>12330</v>
      </c>
      <c r="F208" s="362">
        <v>1770</v>
      </c>
      <c r="G208" s="370">
        <v>5940</v>
      </c>
    </row>
    <row r="209" s="347" customFormat="1" ht="14.25" customHeight="1" spans="1:7">
      <c r="A209" s="362" t="s">
        <v>278</v>
      </c>
      <c r="B209" s="362" t="s">
        <v>2771</v>
      </c>
      <c r="C209" s="362">
        <v>8740</v>
      </c>
      <c r="D209" s="362">
        <v>8700</v>
      </c>
      <c r="E209" s="362">
        <v>11500</v>
      </c>
      <c r="F209" s="362">
        <v>1730</v>
      </c>
      <c r="G209" s="370">
        <v>5490</v>
      </c>
    </row>
    <row r="210" s="347" customFormat="1" ht="14.25" customHeight="1" spans="1:7">
      <c r="A210" s="362" t="s">
        <v>278</v>
      </c>
      <c r="B210" s="362" t="s">
        <v>2780</v>
      </c>
      <c r="C210" s="362">
        <v>8710</v>
      </c>
      <c r="D210" s="362">
        <v>8660</v>
      </c>
      <c r="E210" s="362">
        <v>11440</v>
      </c>
      <c r="F210" s="362">
        <v>1740</v>
      </c>
      <c r="G210" s="370">
        <v>5470</v>
      </c>
    </row>
    <row r="211" s="347" customFormat="1" ht="14.25" customHeight="1" spans="1:7">
      <c r="A211" s="362" t="s">
        <v>278</v>
      </c>
      <c r="B211" s="362" t="s">
        <v>2788</v>
      </c>
      <c r="C211" s="362">
        <v>9480</v>
      </c>
      <c r="D211" s="362">
        <v>9430</v>
      </c>
      <c r="E211" s="362">
        <v>12360</v>
      </c>
      <c r="F211" s="362">
        <v>1820</v>
      </c>
      <c r="G211" s="370">
        <v>5950</v>
      </c>
    </row>
    <row r="212" s="347" customFormat="1" ht="14.25" customHeight="1" spans="1:7">
      <c r="A212" s="362" t="s">
        <v>278</v>
      </c>
      <c r="B212" s="362" t="s">
        <v>2796</v>
      </c>
      <c r="C212" s="362">
        <v>9070</v>
      </c>
      <c r="D212" s="362">
        <v>9020</v>
      </c>
      <c r="E212" s="362">
        <v>11720</v>
      </c>
      <c r="F212" s="362">
        <v>1850</v>
      </c>
      <c r="G212" s="370">
        <v>5700</v>
      </c>
    </row>
    <row r="213" s="347" customFormat="1" ht="14.25" customHeight="1" spans="1:7">
      <c r="A213" s="362" t="s">
        <v>278</v>
      </c>
      <c r="B213" s="362" t="s">
        <v>2804</v>
      </c>
      <c r="C213" s="362">
        <v>9030</v>
      </c>
      <c r="D213" s="362">
        <v>8980</v>
      </c>
      <c r="E213" s="362">
        <v>11670</v>
      </c>
      <c r="F213" s="362">
        <v>1690</v>
      </c>
      <c r="G213" s="370">
        <v>5670</v>
      </c>
    </row>
    <row r="214" s="347" customFormat="1" ht="14.25" customHeight="1" spans="1:7">
      <c r="A214" s="362" t="s">
        <v>278</v>
      </c>
      <c r="B214" s="362" t="s">
        <v>2812</v>
      </c>
      <c r="C214" s="362">
        <v>8090</v>
      </c>
      <c r="D214" s="362">
        <v>8030</v>
      </c>
      <c r="E214" s="362">
        <v>10780</v>
      </c>
      <c r="F214" s="362">
        <v>1570</v>
      </c>
      <c r="G214" s="370">
        <v>5070</v>
      </c>
    </row>
    <row r="215" s="347" customFormat="1" ht="14.25" customHeight="1" spans="1:7">
      <c r="A215" s="362" t="s">
        <v>278</v>
      </c>
      <c r="B215" s="362" t="s">
        <v>2819</v>
      </c>
      <c r="C215" s="362">
        <v>7950</v>
      </c>
      <c r="D215" s="362">
        <v>7900</v>
      </c>
      <c r="E215" s="362">
        <v>10560</v>
      </c>
      <c r="F215" s="362">
        <v>1630</v>
      </c>
      <c r="G215" s="370">
        <v>4990</v>
      </c>
    </row>
    <row r="216" s="347" customFormat="1" ht="14.25" customHeight="1" spans="1:7">
      <c r="A216" s="362" t="s">
        <v>278</v>
      </c>
      <c r="B216" s="362" t="s">
        <v>2826</v>
      </c>
      <c r="C216" s="362">
        <v>8490</v>
      </c>
      <c r="D216" s="362">
        <v>8440</v>
      </c>
      <c r="E216" s="362">
        <v>11260</v>
      </c>
      <c r="F216" s="362">
        <v>1690</v>
      </c>
      <c r="G216" s="370">
        <v>5330</v>
      </c>
    </row>
    <row r="217" s="347" customFormat="1" ht="14.25" customHeight="1" spans="1:7">
      <c r="A217" s="362" t="s">
        <v>278</v>
      </c>
      <c r="B217" s="362" t="s">
        <v>2833</v>
      </c>
      <c r="C217" s="362">
        <v>8200</v>
      </c>
      <c r="D217" s="362">
        <v>8150</v>
      </c>
      <c r="E217" s="362">
        <v>10910</v>
      </c>
      <c r="F217" s="362">
        <v>1670</v>
      </c>
      <c r="G217" s="370">
        <v>5150</v>
      </c>
    </row>
    <row r="218" s="347" customFormat="1" ht="14.25" customHeight="1" spans="1:7">
      <c r="A218" s="362" t="s">
        <v>278</v>
      </c>
      <c r="B218" s="362" t="s">
        <v>2840</v>
      </c>
      <c r="C218" s="362"/>
      <c r="D218" s="362"/>
      <c r="E218" s="362"/>
      <c r="F218" s="362">
        <v>2040</v>
      </c>
      <c r="G218" s="370"/>
    </row>
    <row r="219" s="347" customFormat="1" ht="14.25" customHeight="1" spans="1:7">
      <c r="A219" s="362" t="s">
        <v>278</v>
      </c>
      <c r="B219" s="362" t="s">
        <v>2847</v>
      </c>
      <c r="C219" s="362"/>
      <c r="D219" s="362"/>
      <c r="E219" s="362"/>
      <c r="F219" s="362">
        <v>2040</v>
      </c>
      <c r="G219" s="370"/>
    </row>
    <row r="220" s="347" customFormat="1" ht="14.25" customHeight="1" spans="1:7">
      <c r="A220" s="362" t="s">
        <v>278</v>
      </c>
      <c r="B220" s="362" t="s">
        <v>2854</v>
      </c>
      <c r="C220" s="362"/>
      <c r="D220" s="362"/>
      <c r="E220" s="362"/>
      <c r="F220" s="362">
        <v>2040</v>
      </c>
      <c r="G220" s="370"/>
    </row>
    <row r="221" s="347" customFormat="1" ht="14.25" customHeight="1" spans="1:7">
      <c r="A221" s="362" t="s">
        <v>278</v>
      </c>
      <c r="B221" s="362" t="s">
        <v>2861</v>
      </c>
      <c r="C221" s="362"/>
      <c r="D221" s="362"/>
      <c r="E221" s="362"/>
      <c r="F221" s="362">
        <v>2040</v>
      </c>
      <c r="G221" s="370"/>
    </row>
    <row r="222" s="347" customFormat="1" ht="14.25" customHeight="1" spans="1:7">
      <c r="A222" s="362" t="s">
        <v>278</v>
      </c>
      <c r="B222" s="362" t="s">
        <v>2866</v>
      </c>
      <c r="C222" s="362"/>
      <c r="D222" s="362"/>
      <c r="E222" s="362"/>
      <c r="F222" s="362">
        <v>2040</v>
      </c>
      <c r="G222" s="370"/>
    </row>
    <row r="223" s="347" customFormat="1" ht="14.25" customHeight="1" spans="1:7">
      <c r="A223" s="362" t="s">
        <v>278</v>
      </c>
      <c r="B223" s="362" t="s">
        <v>2871</v>
      </c>
      <c r="C223" s="362"/>
      <c r="D223" s="362"/>
      <c r="E223" s="362"/>
      <c r="F223" s="362">
        <v>1930</v>
      </c>
      <c r="G223" s="370"/>
    </row>
    <row r="224" s="347" customFormat="1" ht="14.25" customHeight="1" spans="1:7">
      <c r="A224" s="362" t="s">
        <v>278</v>
      </c>
      <c r="B224" s="362" t="s">
        <v>2876</v>
      </c>
      <c r="C224" s="362"/>
      <c r="D224" s="362"/>
      <c r="E224" s="362"/>
      <c r="F224" s="362">
        <v>1930</v>
      </c>
      <c r="G224" s="370"/>
    </row>
    <row r="225" s="347" customFormat="1" ht="14.25" customHeight="1" spans="1:7">
      <c r="A225" s="362" t="s">
        <v>278</v>
      </c>
      <c r="B225" s="362" t="s">
        <v>2881</v>
      </c>
      <c r="C225" s="362"/>
      <c r="D225" s="362"/>
      <c r="E225" s="362"/>
      <c r="F225" s="362">
        <v>1930</v>
      </c>
      <c r="G225" s="370"/>
    </row>
    <row r="226" s="347" customFormat="1" ht="14.25" customHeight="1" spans="1:7">
      <c r="A226" s="362" t="s">
        <v>278</v>
      </c>
      <c r="B226" s="362" t="s">
        <v>2886</v>
      </c>
      <c r="C226" s="362"/>
      <c r="D226" s="362"/>
      <c r="E226" s="362"/>
      <c r="F226" s="362">
        <v>1700</v>
      </c>
      <c r="G226" s="370"/>
    </row>
    <row r="227" s="347" customFormat="1" ht="14.25" customHeight="1" spans="1:7">
      <c r="A227" s="362" t="s">
        <v>278</v>
      </c>
      <c r="B227" s="362" t="s">
        <v>2891</v>
      </c>
      <c r="C227" s="362"/>
      <c r="D227" s="362"/>
      <c r="E227" s="362"/>
      <c r="F227" s="362">
        <v>1520</v>
      </c>
      <c r="G227" s="370"/>
    </row>
    <row r="228" s="347" customFormat="1" ht="14.25" customHeight="1" spans="1:7">
      <c r="A228" s="362" t="s">
        <v>278</v>
      </c>
      <c r="B228" s="362" t="s">
        <v>2896</v>
      </c>
      <c r="C228" s="362"/>
      <c r="D228" s="362"/>
      <c r="E228" s="362"/>
      <c r="F228" s="362">
        <v>1520</v>
      </c>
      <c r="G228" s="370"/>
    </row>
    <row r="229" s="347" customFormat="1" ht="14.25" customHeight="1" spans="1:7">
      <c r="A229" s="362" t="s">
        <v>278</v>
      </c>
      <c r="B229" s="362" t="s">
        <v>2901</v>
      </c>
      <c r="C229" s="362"/>
      <c r="D229" s="362"/>
      <c r="E229" s="362"/>
      <c r="F229" s="362">
        <v>1520</v>
      </c>
      <c r="G229" s="370"/>
    </row>
    <row r="230" s="347" customFormat="1" ht="14.25" customHeight="1" spans="1:7">
      <c r="A230" s="362" t="s">
        <v>278</v>
      </c>
      <c r="B230" s="362" t="s">
        <v>2905</v>
      </c>
      <c r="C230" s="362"/>
      <c r="D230" s="362"/>
      <c r="E230" s="362"/>
      <c r="F230" s="362">
        <v>1820</v>
      </c>
      <c r="G230" s="370"/>
    </row>
    <row r="231" s="347" customFormat="1" ht="14.25" customHeight="1" spans="1:7">
      <c r="A231" s="362" t="s">
        <v>278</v>
      </c>
      <c r="B231" s="362" t="s">
        <v>2909</v>
      </c>
      <c r="C231" s="362"/>
      <c r="D231" s="362"/>
      <c r="E231" s="362"/>
      <c r="F231" s="362">
        <v>1760</v>
      </c>
      <c r="G231" s="370"/>
    </row>
    <row r="232" s="347" customFormat="1" ht="14.25" customHeight="1" spans="1:7">
      <c r="A232" s="362" t="s">
        <v>278</v>
      </c>
      <c r="B232" s="362" t="s">
        <v>2913</v>
      </c>
      <c r="C232" s="362"/>
      <c r="D232" s="362"/>
      <c r="E232" s="362"/>
      <c r="F232" s="362">
        <v>1840</v>
      </c>
      <c r="G232" s="370"/>
    </row>
    <row r="233" s="347" customFormat="1" ht="14.25" customHeight="1" spans="1:7">
      <c r="A233" s="371" t="s">
        <v>278</v>
      </c>
      <c r="B233" s="366" t="s">
        <v>2917</v>
      </c>
      <c r="C233" s="366"/>
      <c r="D233" s="366"/>
      <c r="E233" s="366"/>
      <c r="F233" s="366">
        <v>1770</v>
      </c>
      <c r="G233" s="372"/>
    </row>
    <row r="234" s="347" customFormat="1" ht="14.25" customHeight="1" spans="1:7">
      <c r="A234" s="360" t="s">
        <v>284</v>
      </c>
      <c r="B234" s="361" t="s">
        <v>2568</v>
      </c>
      <c r="C234" s="362">
        <v>6980</v>
      </c>
      <c r="D234" s="362">
        <v>6970</v>
      </c>
      <c r="E234" s="362">
        <v>8720</v>
      </c>
      <c r="F234" s="362">
        <v>1350</v>
      </c>
      <c r="G234" s="362">
        <v>4280</v>
      </c>
    </row>
    <row r="235" s="347" customFormat="1" ht="14.25" customHeight="1" spans="1:7">
      <c r="A235" s="362" t="s">
        <v>284</v>
      </c>
      <c r="B235" s="362" t="s">
        <v>2581</v>
      </c>
      <c r="C235" s="362">
        <v>7620</v>
      </c>
      <c r="D235" s="362">
        <v>7580</v>
      </c>
      <c r="E235" s="362">
        <v>9360</v>
      </c>
      <c r="F235" s="362">
        <v>1490</v>
      </c>
      <c r="G235" s="362">
        <v>4650</v>
      </c>
    </row>
    <row r="236" s="347" customFormat="1" ht="14.25" customHeight="1" spans="1:7">
      <c r="A236" s="362" t="s">
        <v>284</v>
      </c>
      <c r="B236" s="362" t="s">
        <v>2595</v>
      </c>
      <c r="C236" s="362">
        <v>6650</v>
      </c>
      <c r="D236" s="362">
        <v>6630</v>
      </c>
      <c r="E236" s="362">
        <v>8330</v>
      </c>
      <c r="F236" s="362">
        <v>1250</v>
      </c>
      <c r="G236" s="362">
        <v>4070</v>
      </c>
    </row>
    <row r="237" s="347" customFormat="1" ht="14.25" customHeight="1" spans="1:7">
      <c r="A237" s="362" t="s">
        <v>284</v>
      </c>
      <c r="B237" s="362" t="s">
        <v>2607</v>
      </c>
      <c r="C237" s="362">
        <v>5850</v>
      </c>
      <c r="D237" s="362">
        <v>5820</v>
      </c>
      <c r="E237" s="362">
        <v>7260</v>
      </c>
      <c r="F237" s="362">
        <v>1140</v>
      </c>
      <c r="G237" s="362">
        <v>3570</v>
      </c>
    </row>
    <row r="238" s="347" customFormat="1" ht="14.25" customHeight="1" spans="1:7">
      <c r="A238" s="362" t="s">
        <v>284</v>
      </c>
      <c r="B238" s="362" t="s">
        <v>2619</v>
      </c>
      <c r="C238" s="362">
        <v>6920</v>
      </c>
      <c r="D238" s="362">
        <v>6890</v>
      </c>
      <c r="E238" s="362">
        <v>8640</v>
      </c>
      <c r="F238" s="362">
        <v>1310</v>
      </c>
      <c r="G238" s="362">
        <v>4230</v>
      </c>
    </row>
    <row r="239" s="347" customFormat="1" ht="14.25" customHeight="1" spans="1:7">
      <c r="A239" s="362" t="s">
        <v>284</v>
      </c>
      <c r="B239" s="362" t="s">
        <v>2630</v>
      </c>
      <c r="C239" s="362">
        <v>6780</v>
      </c>
      <c r="D239" s="362">
        <v>6750</v>
      </c>
      <c r="E239" s="362">
        <v>8440</v>
      </c>
      <c r="F239" s="362">
        <v>1160</v>
      </c>
      <c r="G239" s="362">
        <v>4140</v>
      </c>
    </row>
    <row r="240" s="347" customFormat="1" ht="14.25" customHeight="1" spans="1:7">
      <c r="A240" s="362" t="s">
        <v>284</v>
      </c>
      <c r="B240" s="362" t="s">
        <v>2641</v>
      </c>
      <c r="C240" s="362">
        <v>5420</v>
      </c>
      <c r="D240" s="362">
        <v>5380</v>
      </c>
      <c r="E240" s="362">
        <v>6640</v>
      </c>
      <c r="F240" s="362">
        <v>1020</v>
      </c>
      <c r="G240" s="362">
        <v>3300</v>
      </c>
    </row>
    <row r="241" s="347" customFormat="1" ht="14.25" customHeight="1" spans="1:7">
      <c r="A241" s="362" t="s">
        <v>284</v>
      </c>
      <c r="B241" s="362" t="s">
        <v>2652</v>
      </c>
      <c r="C241" s="362">
        <v>6660</v>
      </c>
      <c r="D241" s="362">
        <v>6640</v>
      </c>
      <c r="E241" s="362">
        <v>8340</v>
      </c>
      <c r="F241" s="362">
        <v>1130</v>
      </c>
      <c r="G241" s="362">
        <v>4080</v>
      </c>
    </row>
    <row r="242" s="347" customFormat="1" ht="14.25" customHeight="1" spans="1:7">
      <c r="A242" s="362" t="s">
        <v>284</v>
      </c>
      <c r="B242" s="362" t="s">
        <v>2662</v>
      </c>
      <c r="C242" s="362">
        <v>6580</v>
      </c>
      <c r="D242" s="362">
        <v>6550</v>
      </c>
      <c r="E242" s="362">
        <v>8090</v>
      </c>
      <c r="F242" s="362">
        <v>1240</v>
      </c>
      <c r="G242" s="362">
        <v>4020</v>
      </c>
    </row>
    <row r="243" s="347" customFormat="1" ht="14.25" customHeight="1" spans="1:7">
      <c r="A243" s="362" t="s">
        <v>284</v>
      </c>
      <c r="B243" s="362" t="s">
        <v>2672</v>
      </c>
      <c r="C243" s="362">
        <v>6000</v>
      </c>
      <c r="D243" s="362">
        <v>5970</v>
      </c>
      <c r="E243" s="362">
        <v>7370</v>
      </c>
      <c r="F243" s="362">
        <v>1070</v>
      </c>
      <c r="G243" s="362">
        <v>3670</v>
      </c>
    </row>
    <row r="244" s="347" customFormat="1" ht="14.25" customHeight="1" spans="1:7">
      <c r="A244" s="362" t="s">
        <v>284</v>
      </c>
      <c r="B244" s="362" t="s">
        <v>2682</v>
      </c>
      <c r="C244" s="362">
        <v>5840</v>
      </c>
      <c r="D244" s="362">
        <v>5810</v>
      </c>
      <c r="E244" s="362">
        <v>7240</v>
      </c>
      <c r="F244" s="362">
        <v>1100</v>
      </c>
      <c r="G244" s="362">
        <v>3560</v>
      </c>
    </row>
    <row r="245" s="347" customFormat="1" ht="14.25" customHeight="1" spans="1:7">
      <c r="A245" s="362" t="s">
        <v>284</v>
      </c>
      <c r="B245" s="362" t="s">
        <v>2692</v>
      </c>
      <c r="C245" s="362">
        <v>6040</v>
      </c>
      <c r="D245" s="362">
        <v>6000</v>
      </c>
      <c r="E245" s="362">
        <v>7420</v>
      </c>
      <c r="F245" s="362">
        <v>1140</v>
      </c>
      <c r="G245" s="362">
        <v>3690</v>
      </c>
    </row>
    <row r="246" s="347" customFormat="1" ht="14.25" customHeight="1" spans="1:7">
      <c r="A246" s="362" t="s">
        <v>284</v>
      </c>
      <c r="B246" s="362" t="s">
        <v>2702</v>
      </c>
      <c r="C246" s="362">
        <v>5890</v>
      </c>
      <c r="D246" s="362">
        <v>5860</v>
      </c>
      <c r="E246" s="362">
        <v>7300</v>
      </c>
      <c r="F246" s="362">
        <v>1110</v>
      </c>
      <c r="G246" s="362">
        <v>3590</v>
      </c>
    </row>
    <row r="247" s="347" customFormat="1" ht="14.25" customHeight="1" spans="1:7">
      <c r="A247" s="362" t="s">
        <v>284</v>
      </c>
      <c r="B247" s="362" t="s">
        <v>2712</v>
      </c>
      <c r="C247" s="362">
        <v>6480</v>
      </c>
      <c r="D247" s="362">
        <v>6450</v>
      </c>
      <c r="E247" s="362">
        <v>8010</v>
      </c>
      <c r="F247" s="362">
        <v>1170</v>
      </c>
      <c r="G247" s="362">
        <v>3960</v>
      </c>
    </row>
    <row r="248" s="347" customFormat="1" ht="14.25" customHeight="1" spans="1:7">
      <c r="A248" s="362" t="s">
        <v>284</v>
      </c>
      <c r="B248" s="362" t="s">
        <v>2722</v>
      </c>
      <c r="C248" s="362">
        <v>6860</v>
      </c>
      <c r="D248" s="362">
        <v>6840</v>
      </c>
      <c r="E248" s="362">
        <v>8520</v>
      </c>
      <c r="F248" s="362">
        <v>1240</v>
      </c>
      <c r="G248" s="362">
        <v>4200</v>
      </c>
    </row>
    <row r="249" s="347" customFormat="1" ht="14.25" customHeight="1" spans="1:7">
      <c r="A249" s="362" t="s">
        <v>284</v>
      </c>
      <c r="B249" s="362" t="s">
        <v>2732</v>
      </c>
      <c r="C249" s="362">
        <v>7180</v>
      </c>
      <c r="D249" s="362">
        <v>7140</v>
      </c>
      <c r="E249" s="362">
        <v>8900</v>
      </c>
      <c r="F249" s="362">
        <v>1350</v>
      </c>
      <c r="G249" s="362">
        <v>4380</v>
      </c>
    </row>
    <row r="250" s="347" customFormat="1" ht="14.25" customHeight="1" spans="1:7">
      <c r="A250" s="362" t="s">
        <v>284</v>
      </c>
      <c r="B250" s="362" t="s">
        <v>2742</v>
      </c>
      <c r="C250" s="362">
        <v>6880</v>
      </c>
      <c r="D250" s="362">
        <v>6860</v>
      </c>
      <c r="E250" s="362">
        <v>8550</v>
      </c>
      <c r="F250" s="362">
        <v>1220</v>
      </c>
      <c r="G250" s="362">
        <v>4210</v>
      </c>
    </row>
    <row r="251" s="347" customFormat="1" ht="14.25" customHeight="1" spans="1:7">
      <c r="A251" s="362" t="s">
        <v>284</v>
      </c>
      <c r="B251" s="362" t="s">
        <v>2752</v>
      </c>
      <c r="C251" s="362"/>
      <c r="D251" s="362"/>
      <c r="E251" s="362"/>
      <c r="F251" s="362">
        <v>1100</v>
      </c>
      <c r="G251" s="362"/>
    </row>
    <row r="252" s="347" customFormat="1" ht="14.25" customHeight="1" spans="1:7">
      <c r="A252" s="362" t="s">
        <v>284</v>
      </c>
      <c r="B252" s="362" t="s">
        <v>2762</v>
      </c>
      <c r="C252" s="362">
        <v>7240</v>
      </c>
      <c r="D252" s="362">
        <v>7200</v>
      </c>
      <c r="E252" s="362">
        <v>9040</v>
      </c>
      <c r="F252" s="362">
        <v>1380</v>
      </c>
      <c r="G252" s="362">
        <v>4420</v>
      </c>
    </row>
    <row r="253" s="347" customFormat="1" ht="14.25" customHeight="1" spans="1:7">
      <c r="A253" s="362" t="s">
        <v>284</v>
      </c>
      <c r="B253" s="362" t="s">
        <v>2772</v>
      </c>
      <c r="C253" s="362">
        <v>6670</v>
      </c>
      <c r="D253" s="362">
        <v>6650</v>
      </c>
      <c r="E253" s="362">
        <v>8350</v>
      </c>
      <c r="F253" s="362">
        <v>1260</v>
      </c>
      <c r="G253" s="362">
        <v>4080</v>
      </c>
    </row>
    <row r="254" s="347" customFormat="1" ht="14.25" customHeight="1" spans="1:7">
      <c r="A254" s="362" t="s">
        <v>284</v>
      </c>
      <c r="B254" s="362" t="s">
        <v>2781</v>
      </c>
      <c r="C254" s="362">
        <v>7630</v>
      </c>
      <c r="D254" s="362">
        <v>7590</v>
      </c>
      <c r="E254" s="362">
        <v>9380</v>
      </c>
      <c r="F254" s="362">
        <v>1320</v>
      </c>
      <c r="G254" s="362">
        <v>4660</v>
      </c>
    </row>
    <row r="255" s="347" customFormat="1" ht="14.25" customHeight="1" spans="1:7">
      <c r="A255" s="362" t="s">
        <v>284</v>
      </c>
      <c r="B255" s="362" t="s">
        <v>2789</v>
      </c>
      <c r="C255" s="362">
        <v>6940</v>
      </c>
      <c r="D255" s="362">
        <v>6890</v>
      </c>
      <c r="E255" s="362">
        <v>8650</v>
      </c>
      <c r="F255" s="362">
        <v>1210</v>
      </c>
      <c r="G255" s="362">
        <v>4230</v>
      </c>
    </row>
    <row r="256" s="347" customFormat="1" ht="14.25" customHeight="1" spans="1:7">
      <c r="A256" s="362" t="s">
        <v>284</v>
      </c>
      <c r="B256" s="362" t="s">
        <v>2797</v>
      </c>
      <c r="C256" s="362">
        <v>7520</v>
      </c>
      <c r="D256" s="362">
        <v>7490</v>
      </c>
      <c r="E256" s="362">
        <v>9240</v>
      </c>
      <c r="F256" s="362">
        <v>1270</v>
      </c>
      <c r="G256" s="362">
        <v>4590</v>
      </c>
    </row>
    <row r="257" s="347" customFormat="1" ht="14.25" customHeight="1" spans="1:7">
      <c r="A257" s="362" t="s">
        <v>284</v>
      </c>
      <c r="B257" s="362" t="s">
        <v>2805</v>
      </c>
      <c r="C257" s="362">
        <v>6280</v>
      </c>
      <c r="D257" s="362">
        <v>6230</v>
      </c>
      <c r="E257" s="362">
        <v>7740</v>
      </c>
      <c r="F257" s="362">
        <v>1080</v>
      </c>
      <c r="G257" s="362">
        <v>3830</v>
      </c>
    </row>
    <row r="258" s="347" customFormat="1" ht="14.25" customHeight="1" spans="1:7">
      <c r="A258" s="362" t="s">
        <v>284</v>
      </c>
      <c r="B258" s="362" t="s">
        <v>2813</v>
      </c>
      <c r="C258" s="362">
        <v>6190</v>
      </c>
      <c r="D258" s="362">
        <v>6160</v>
      </c>
      <c r="E258" s="362">
        <v>7680</v>
      </c>
      <c r="F258" s="362">
        <v>1170</v>
      </c>
      <c r="G258" s="362">
        <v>3780</v>
      </c>
    </row>
    <row r="259" s="347" customFormat="1" ht="14.25" customHeight="1" spans="1:7">
      <c r="A259" s="362" t="s">
        <v>284</v>
      </c>
      <c r="B259" s="362" t="s">
        <v>2820</v>
      </c>
      <c r="C259" s="362">
        <v>7610</v>
      </c>
      <c r="D259" s="362">
        <v>7570</v>
      </c>
      <c r="E259" s="362">
        <v>9350</v>
      </c>
      <c r="F259" s="362">
        <v>1350</v>
      </c>
      <c r="G259" s="362">
        <v>4650</v>
      </c>
    </row>
    <row r="260" s="347" customFormat="1" ht="14.25" customHeight="1" spans="1:7">
      <c r="A260" s="362" t="s">
        <v>284</v>
      </c>
      <c r="B260" s="362" t="s">
        <v>2827</v>
      </c>
      <c r="C260" s="362">
        <v>6920</v>
      </c>
      <c r="D260" s="362">
        <v>6880</v>
      </c>
      <c r="E260" s="362">
        <v>8380</v>
      </c>
      <c r="F260" s="362">
        <v>1160</v>
      </c>
      <c r="G260" s="362">
        <v>4220</v>
      </c>
    </row>
    <row r="261" s="347" customFormat="1" ht="14.25" customHeight="1" spans="1:7">
      <c r="A261" s="362" t="s">
        <v>284</v>
      </c>
      <c r="B261" s="362" t="s">
        <v>2834</v>
      </c>
      <c r="C261" s="362">
        <v>6850</v>
      </c>
      <c r="D261" s="362">
        <v>6810</v>
      </c>
      <c r="E261" s="362">
        <v>8290</v>
      </c>
      <c r="F261" s="362">
        <v>1130</v>
      </c>
      <c r="G261" s="362">
        <v>4180</v>
      </c>
    </row>
    <row r="262" s="347" customFormat="1" ht="14.25" customHeight="1" spans="1:7">
      <c r="A262" s="362" t="s">
        <v>284</v>
      </c>
      <c r="B262" s="362" t="s">
        <v>2841</v>
      </c>
      <c r="C262" s="362">
        <v>5860</v>
      </c>
      <c r="D262" s="362">
        <v>5820</v>
      </c>
      <c r="E262" s="362">
        <v>7640</v>
      </c>
      <c r="F262" s="362">
        <v>1070</v>
      </c>
      <c r="G262" s="362">
        <v>3570</v>
      </c>
    </row>
    <row r="263" s="347" customFormat="1" ht="14.25" customHeight="1" spans="1:7">
      <c r="A263" s="362" t="s">
        <v>284</v>
      </c>
      <c r="B263" s="362" t="s">
        <v>2848</v>
      </c>
      <c r="C263" s="362">
        <v>5870</v>
      </c>
      <c r="D263" s="362">
        <v>5840</v>
      </c>
      <c r="E263" s="362">
        <v>7270</v>
      </c>
      <c r="F263" s="362">
        <v>1190</v>
      </c>
      <c r="G263" s="362">
        <v>3580</v>
      </c>
    </row>
    <row r="264" s="347" customFormat="1" ht="14.25" customHeight="1" spans="1:7">
      <c r="A264" s="362" t="s">
        <v>284</v>
      </c>
      <c r="B264" s="362" t="s">
        <v>2855</v>
      </c>
      <c r="C264" s="362">
        <v>6190</v>
      </c>
      <c r="D264" s="362">
        <v>6150</v>
      </c>
      <c r="E264" s="362">
        <v>7660</v>
      </c>
      <c r="F264" s="362">
        <v>1160</v>
      </c>
      <c r="G264" s="362">
        <v>3770</v>
      </c>
    </row>
    <row r="265" s="347" customFormat="1" ht="14.25" customHeight="1" spans="1:7">
      <c r="A265" s="362" t="s">
        <v>284</v>
      </c>
      <c r="B265" s="362" t="s">
        <v>2862</v>
      </c>
      <c r="C265" s="362"/>
      <c r="D265" s="362"/>
      <c r="E265" s="362"/>
      <c r="F265" s="362">
        <v>1500</v>
      </c>
      <c r="G265" s="362"/>
    </row>
    <row r="266" s="347" customFormat="1" ht="14.25" customHeight="1" spans="1:7">
      <c r="A266" s="362" t="s">
        <v>284</v>
      </c>
      <c r="B266" s="362" t="s">
        <v>2867</v>
      </c>
      <c r="C266" s="362"/>
      <c r="D266" s="362"/>
      <c r="E266" s="362"/>
      <c r="F266" s="362">
        <v>1500</v>
      </c>
      <c r="G266" s="362"/>
    </row>
    <row r="267" s="347" customFormat="1" ht="14.25" customHeight="1" spans="1:7">
      <c r="A267" s="362" t="s">
        <v>284</v>
      </c>
      <c r="B267" s="362" t="s">
        <v>2872</v>
      </c>
      <c r="C267" s="362"/>
      <c r="D267" s="362"/>
      <c r="E267" s="362"/>
      <c r="F267" s="362">
        <v>1500</v>
      </c>
      <c r="G267" s="362"/>
    </row>
    <row r="268" s="347" customFormat="1" ht="14.25" customHeight="1" spans="1:7">
      <c r="A268" s="362" t="s">
        <v>284</v>
      </c>
      <c r="B268" s="362" t="s">
        <v>2877</v>
      </c>
      <c r="C268" s="362"/>
      <c r="D268" s="362"/>
      <c r="E268" s="362"/>
      <c r="F268" s="362">
        <v>1290</v>
      </c>
      <c r="G268" s="362"/>
    </row>
    <row r="269" s="347" customFormat="1" ht="14.25" customHeight="1" spans="1:7">
      <c r="A269" s="362" t="s">
        <v>284</v>
      </c>
      <c r="B269" s="362" t="s">
        <v>2882</v>
      </c>
      <c r="C269" s="362"/>
      <c r="D269" s="362"/>
      <c r="E269" s="362"/>
      <c r="F269" s="362">
        <v>1150</v>
      </c>
      <c r="G269" s="362"/>
    </row>
    <row r="270" s="347" customFormat="1" ht="14.25" customHeight="1" spans="1:7">
      <c r="A270" s="362" t="s">
        <v>284</v>
      </c>
      <c r="B270" s="362" t="s">
        <v>2887</v>
      </c>
      <c r="C270" s="362"/>
      <c r="D270" s="362"/>
      <c r="E270" s="362"/>
      <c r="F270" s="362">
        <v>1380</v>
      </c>
      <c r="G270" s="362"/>
    </row>
    <row r="271" s="347" customFormat="1" ht="14.25" customHeight="1" spans="1:7">
      <c r="A271" s="362" t="s">
        <v>284</v>
      </c>
      <c r="B271" s="362" t="s">
        <v>2892</v>
      </c>
      <c r="C271" s="362"/>
      <c r="D271" s="362"/>
      <c r="E271" s="362"/>
      <c r="F271" s="362">
        <v>1460</v>
      </c>
      <c r="G271" s="362"/>
    </row>
    <row r="272" s="347" customFormat="1" ht="14.25" customHeight="1" spans="1:7">
      <c r="A272" s="362" t="s">
        <v>284</v>
      </c>
      <c r="B272" s="362" t="s">
        <v>2897</v>
      </c>
      <c r="C272" s="362"/>
      <c r="D272" s="362"/>
      <c r="E272" s="362"/>
      <c r="F272" s="362">
        <v>1460</v>
      </c>
      <c r="G272" s="362"/>
    </row>
    <row r="273" s="347" customFormat="1" ht="14.25" customHeight="1" spans="1:7">
      <c r="A273" s="362" t="s">
        <v>284</v>
      </c>
      <c r="B273" s="362" t="s">
        <v>2902</v>
      </c>
      <c r="C273" s="362"/>
      <c r="D273" s="362"/>
      <c r="E273" s="362"/>
      <c r="F273" s="362">
        <v>1490</v>
      </c>
      <c r="G273" s="362"/>
    </row>
    <row r="274" s="347" customFormat="1" ht="14.25" customHeight="1" spans="1:7">
      <c r="A274" s="362" t="s">
        <v>284</v>
      </c>
      <c r="B274" s="362" t="s">
        <v>2906</v>
      </c>
      <c r="C274" s="362"/>
      <c r="D274" s="362"/>
      <c r="E274" s="362"/>
      <c r="F274" s="362">
        <v>1490</v>
      </c>
      <c r="G274" s="362"/>
    </row>
    <row r="275" s="347" customFormat="1" ht="14.25" customHeight="1" spans="1:7">
      <c r="A275" s="362" t="s">
        <v>284</v>
      </c>
      <c r="B275" s="362" t="s">
        <v>2910</v>
      </c>
      <c r="C275" s="362"/>
      <c r="D275" s="362"/>
      <c r="E275" s="362"/>
      <c r="F275" s="362">
        <v>1220</v>
      </c>
      <c r="G275" s="362"/>
    </row>
    <row r="276" s="347" customFormat="1" ht="14.25" customHeight="1" spans="1:7">
      <c r="A276" s="364" t="s">
        <v>284</v>
      </c>
      <c r="B276" s="367" t="s">
        <v>2914</v>
      </c>
      <c r="C276" s="368"/>
      <c r="D276" s="368"/>
      <c r="E276" s="368"/>
      <c r="F276" s="368">
        <v>1380</v>
      </c>
      <c r="G276" s="368"/>
    </row>
    <row r="277" s="347" customFormat="1" ht="14.25" customHeight="1" spans="1:7">
      <c r="A277" s="360" t="s">
        <v>288</v>
      </c>
      <c r="B277" s="361" t="s">
        <v>2569</v>
      </c>
      <c r="C277" s="361">
        <v>5790</v>
      </c>
      <c r="D277" s="361">
        <v>5740</v>
      </c>
      <c r="E277" s="361">
        <v>6730</v>
      </c>
      <c r="F277" s="361">
        <v>1110</v>
      </c>
      <c r="G277" s="369">
        <v>3460</v>
      </c>
    </row>
    <row r="278" s="347" customFormat="1" ht="14.25" customHeight="1" spans="1:7">
      <c r="A278" s="362" t="s">
        <v>288</v>
      </c>
      <c r="B278" s="362" t="s">
        <v>2582</v>
      </c>
      <c r="C278" s="362">
        <v>5740</v>
      </c>
      <c r="D278" s="362">
        <v>5670</v>
      </c>
      <c r="E278" s="362">
        <v>6680</v>
      </c>
      <c r="F278" s="362">
        <v>1070</v>
      </c>
      <c r="G278" s="370">
        <v>3420</v>
      </c>
    </row>
    <row r="279" s="347" customFormat="1" ht="14.25" customHeight="1" spans="1:7">
      <c r="A279" s="362" t="s">
        <v>288</v>
      </c>
      <c r="B279" s="362" t="s">
        <v>2596</v>
      </c>
      <c r="C279" s="362">
        <v>4760</v>
      </c>
      <c r="D279" s="362">
        <v>4720</v>
      </c>
      <c r="E279" s="362">
        <v>5540</v>
      </c>
      <c r="F279" s="362">
        <v>810</v>
      </c>
      <c r="G279" s="370">
        <v>2850</v>
      </c>
    </row>
    <row r="280" s="347" customFormat="1" ht="14.25" customHeight="1" spans="1:7">
      <c r="A280" s="362" t="s">
        <v>288</v>
      </c>
      <c r="B280" s="362" t="s">
        <v>2608</v>
      </c>
      <c r="C280" s="362">
        <v>4010</v>
      </c>
      <c r="D280" s="362">
        <v>3950</v>
      </c>
      <c r="E280" s="362">
        <v>4710</v>
      </c>
      <c r="F280" s="362">
        <v>800</v>
      </c>
      <c r="G280" s="370">
        <v>2390</v>
      </c>
    </row>
    <row r="281" s="347" customFormat="1" ht="14.25" customHeight="1" spans="1:7">
      <c r="A281" s="362" t="s">
        <v>288</v>
      </c>
      <c r="B281" s="362" t="s">
        <v>2620</v>
      </c>
      <c r="C281" s="362">
        <v>4480</v>
      </c>
      <c r="D281" s="362">
        <v>4420</v>
      </c>
      <c r="E281" s="362">
        <v>5230</v>
      </c>
      <c r="F281" s="362">
        <v>870</v>
      </c>
      <c r="G281" s="370">
        <v>2660</v>
      </c>
    </row>
    <row r="282" s="347" customFormat="1" ht="14.25" customHeight="1" spans="1:7">
      <c r="A282" s="362" t="s">
        <v>288</v>
      </c>
      <c r="B282" s="362" t="s">
        <v>2631</v>
      </c>
      <c r="C282" s="362">
        <v>5360</v>
      </c>
      <c r="D282" s="362">
        <v>5300</v>
      </c>
      <c r="E282" s="362">
        <v>6190</v>
      </c>
      <c r="F282" s="362">
        <v>950</v>
      </c>
      <c r="G282" s="370">
        <v>3190</v>
      </c>
    </row>
    <row r="283" s="347" customFormat="1" ht="14.25" customHeight="1" spans="1:7">
      <c r="A283" s="362" t="s">
        <v>288</v>
      </c>
      <c r="B283" s="362" t="s">
        <v>2642</v>
      </c>
      <c r="C283" s="362">
        <v>4950</v>
      </c>
      <c r="D283" s="362">
        <v>4900</v>
      </c>
      <c r="E283" s="362">
        <v>5720</v>
      </c>
      <c r="F283" s="362">
        <v>920</v>
      </c>
      <c r="G283" s="370">
        <v>2950</v>
      </c>
    </row>
    <row r="284" s="347" customFormat="1" ht="14.25" customHeight="1" spans="1:7">
      <c r="A284" s="362" t="s">
        <v>288</v>
      </c>
      <c r="B284" s="362" t="s">
        <v>2653</v>
      </c>
      <c r="C284" s="362">
        <v>5610</v>
      </c>
      <c r="D284" s="362">
        <v>5560</v>
      </c>
      <c r="E284" s="362">
        <v>6520</v>
      </c>
      <c r="F284" s="362">
        <v>1030</v>
      </c>
      <c r="G284" s="370">
        <v>3360</v>
      </c>
    </row>
    <row r="285" s="347" customFormat="1" ht="14.25" customHeight="1" spans="1:7">
      <c r="A285" s="362" t="s">
        <v>288</v>
      </c>
      <c r="B285" s="362" t="s">
        <v>2663</v>
      </c>
      <c r="C285" s="362">
        <v>5340</v>
      </c>
      <c r="D285" s="362">
        <v>5290</v>
      </c>
      <c r="E285" s="362">
        <v>6170</v>
      </c>
      <c r="F285" s="362">
        <v>1080</v>
      </c>
      <c r="G285" s="370">
        <v>3180</v>
      </c>
    </row>
    <row r="286" s="347" customFormat="1" ht="14.25" customHeight="1" spans="1:7">
      <c r="A286" s="362" t="s">
        <v>288</v>
      </c>
      <c r="B286" s="362" t="s">
        <v>2673</v>
      </c>
      <c r="C286" s="362">
        <v>4890</v>
      </c>
      <c r="D286" s="362">
        <v>4840</v>
      </c>
      <c r="E286" s="362">
        <v>5640</v>
      </c>
      <c r="F286" s="362">
        <v>960</v>
      </c>
      <c r="G286" s="370">
        <v>2910</v>
      </c>
    </row>
    <row r="287" s="347" customFormat="1" ht="14.25" customHeight="1" spans="1:7">
      <c r="A287" s="362" t="s">
        <v>288</v>
      </c>
      <c r="B287" s="362" t="s">
        <v>2683</v>
      </c>
      <c r="C287" s="362">
        <v>4960</v>
      </c>
      <c r="D287" s="362">
        <v>4920</v>
      </c>
      <c r="E287" s="362">
        <v>5730</v>
      </c>
      <c r="F287" s="362">
        <v>930</v>
      </c>
      <c r="G287" s="370">
        <v>2960</v>
      </c>
    </row>
    <row r="288" s="347" customFormat="1" ht="14.25" customHeight="1" spans="1:7">
      <c r="A288" s="362" t="s">
        <v>288</v>
      </c>
      <c r="B288" s="362" t="s">
        <v>2693</v>
      </c>
      <c r="C288" s="362">
        <v>4350</v>
      </c>
      <c r="D288" s="362">
        <v>4300</v>
      </c>
      <c r="E288" s="362">
        <v>4900</v>
      </c>
      <c r="F288" s="362">
        <v>820</v>
      </c>
      <c r="G288" s="370">
        <v>2590</v>
      </c>
    </row>
    <row r="289" s="347" customFormat="1" ht="14.25" customHeight="1" spans="1:7">
      <c r="A289" s="362" t="s">
        <v>288</v>
      </c>
      <c r="B289" s="362" t="s">
        <v>2703</v>
      </c>
      <c r="C289" s="362">
        <v>5230</v>
      </c>
      <c r="D289" s="362">
        <v>5170</v>
      </c>
      <c r="E289" s="362">
        <v>6060</v>
      </c>
      <c r="F289" s="362">
        <v>900</v>
      </c>
      <c r="G289" s="370">
        <v>3120</v>
      </c>
    </row>
    <row r="290" s="347" customFormat="1" ht="14.25" customHeight="1" spans="1:7">
      <c r="A290" s="362" t="s">
        <v>288</v>
      </c>
      <c r="B290" s="362" t="s">
        <v>2713</v>
      </c>
      <c r="C290" s="362">
        <v>5550</v>
      </c>
      <c r="D290" s="362">
        <v>5500</v>
      </c>
      <c r="E290" s="362">
        <v>6440</v>
      </c>
      <c r="F290" s="362">
        <v>960</v>
      </c>
      <c r="G290" s="370">
        <v>3320</v>
      </c>
    </row>
    <row r="291" s="347" customFormat="1" ht="14.25" customHeight="1" spans="1:7">
      <c r="A291" s="362" t="s">
        <v>288</v>
      </c>
      <c r="B291" s="362" t="s">
        <v>2723</v>
      </c>
      <c r="C291" s="362">
        <v>5440</v>
      </c>
      <c r="D291" s="362">
        <v>5400</v>
      </c>
      <c r="E291" s="362">
        <v>6320</v>
      </c>
      <c r="F291" s="362">
        <v>930</v>
      </c>
      <c r="G291" s="370">
        <v>3250</v>
      </c>
    </row>
    <row r="292" s="347" customFormat="1" ht="14.25" customHeight="1" spans="1:7">
      <c r="A292" s="362" t="s">
        <v>288</v>
      </c>
      <c r="B292" s="362" t="s">
        <v>2733</v>
      </c>
      <c r="C292" s="362">
        <v>5400</v>
      </c>
      <c r="D292" s="362">
        <v>5360</v>
      </c>
      <c r="E292" s="362">
        <v>6270</v>
      </c>
      <c r="F292" s="362">
        <v>1040</v>
      </c>
      <c r="G292" s="370">
        <v>3230</v>
      </c>
    </row>
    <row r="293" s="347" customFormat="1" ht="14.25" customHeight="1" spans="1:7">
      <c r="A293" s="362" t="s">
        <v>288</v>
      </c>
      <c r="B293" s="362" t="s">
        <v>2743</v>
      </c>
      <c r="C293" s="362">
        <v>5320</v>
      </c>
      <c r="D293" s="362">
        <v>5270</v>
      </c>
      <c r="E293" s="362">
        <v>6160</v>
      </c>
      <c r="F293" s="362">
        <v>990</v>
      </c>
      <c r="G293" s="370">
        <v>3170</v>
      </c>
    </row>
    <row r="294" s="347" customFormat="1" ht="14.25" customHeight="1" spans="1:7">
      <c r="A294" s="362" t="s">
        <v>288</v>
      </c>
      <c r="B294" s="362" t="s">
        <v>2753</v>
      </c>
      <c r="C294" s="362">
        <v>5260</v>
      </c>
      <c r="D294" s="362">
        <v>5210</v>
      </c>
      <c r="E294" s="362">
        <v>6100</v>
      </c>
      <c r="F294" s="362">
        <v>950</v>
      </c>
      <c r="G294" s="370">
        <v>3150</v>
      </c>
    </row>
    <row r="295" s="347" customFormat="1" ht="14.25" customHeight="1" spans="1:7">
      <c r="A295" s="362" t="s">
        <v>288</v>
      </c>
      <c r="B295" s="362" t="s">
        <v>2763</v>
      </c>
      <c r="C295" s="362">
        <v>5610</v>
      </c>
      <c r="D295" s="362">
        <v>5570</v>
      </c>
      <c r="E295" s="362">
        <v>6530</v>
      </c>
      <c r="F295" s="362">
        <v>960</v>
      </c>
      <c r="G295" s="370">
        <v>3360</v>
      </c>
    </row>
    <row r="296" s="347" customFormat="1" ht="14.25" customHeight="1" spans="1:7">
      <c r="A296" s="362" t="s">
        <v>288</v>
      </c>
      <c r="B296" s="362" t="s">
        <v>2773</v>
      </c>
      <c r="C296" s="362">
        <v>5540</v>
      </c>
      <c r="D296" s="362">
        <v>5490</v>
      </c>
      <c r="E296" s="362">
        <v>6430</v>
      </c>
      <c r="F296" s="362">
        <v>980</v>
      </c>
      <c r="G296" s="370">
        <v>3310</v>
      </c>
    </row>
    <row r="297" s="347" customFormat="1" ht="14.25" customHeight="1" spans="1:7">
      <c r="A297" s="362" t="s">
        <v>288</v>
      </c>
      <c r="B297" s="362" t="s">
        <v>2782</v>
      </c>
      <c r="C297" s="362">
        <v>5480</v>
      </c>
      <c r="D297" s="362">
        <v>5420</v>
      </c>
      <c r="E297" s="362">
        <v>6370</v>
      </c>
      <c r="F297" s="362">
        <v>990</v>
      </c>
      <c r="G297" s="370">
        <v>3270</v>
      </c>
    </row>
    <row r="298" s="347" customFormat="1" ht="14.25" customHeight="1" spans="1:7">
      <c r="A298" s="362" t="s">
        <v>288</v>
      </c>
      <c r="B298" s="362" t="s">
        <v>2790</v>
      </c>
      <c r="C298" s="362">
        <v>5090</v>
      </c>
      <c r="D298" s="362">
        <v>5050</v>
      </c>
      <c r="E298" s="362">
        <v>5910</v>
      </c>
      <c r="F298" s="362">
        <v>900</v>
      </c>
      <c r="G298" s="370">
        <v>3040</v>
      </c>
    </row>
    <row r="299" s="347" customFormat="1" ht="14.25" customHeight="1" spans="1:7">
      <c r="A299" s="362" t="s">
        <v>288</v>
      </c>
      <c r="B299" s="376" t="s">
        <v>2798</v>
      </c>
      <c r="C299" s="362">
        <v>5430</v>
      </c>
      <c r="D299" s="362">
        <v>5380</v>
      </c>
      <c r="E299" s="362">
        <v>6280</v>
      </c>
      <c r="F299" s="362">
        <v>1000</v>
      </c>
      <c r="G299" s="370">
        <v>3240</v>
      </c>
    </row>
    <row r="300" s="347" customFormat="1" ht="14.25" customHeight="1" spans="1:7">
      <c r="A300" s="362" t="s">
        <v>288</v>
      </c>
      <c r="B300" s="376" t="s">
        <v>2806</v>
      </c>
      <c r="C300" s="362">
        <v>4740</v>
      </c>
      <c r="D300" s="362">
        <v>4680</v>
      </c>
      <c r="E300" s="362">
        <v>5450</v>
      </c>
      <c r="F300" s="362">
        <v>900</v>
      </c>
      <c r="G300" s="370">
        <v>2830</v>
      </c>
    </row>
    <row r="301" s="347" customFormat="1" ht="14.25" customHeight="1" spans="1:7">
      <c r="A301" s="362" t="s">
        <v>288</v>
      </c>
      <c r="B301" s="376" t="s">
        <v>2814</v>
      </c>
      <c r="C301" s="362">
        <v>4870</v>
      </c>
      <c r="D301" s="362">
        <v>4810</v>
      </c>
      <c r="E301" s="362">
        <v>5560</v>
      </c>
      <c r="F301" s="362">
        <v>990</v>
      </c>
      <c r="G301" s="370">
        <v>2910</v>
      </c>
    </row>
    <row r="302" s="347" customFormat="1" ht="14.25" customHeight="1" spans="1:7">
      <c r="A302" s="362" t="s">
        <v>288</v>
      </c>
      <c r="B302" s="362" t="s">
        <v>2821</v>
      </c>
      <c r="C302" s="362">
        <v>5520</v>
      </c>
      <c r="D302" s="362">
        <v>5470</v>
      </c>
      <c r="E302" s="362">
        <v>6410</v>
      </c>
      <c r="F302" s="362">
        <v>950</v>
      </c>
      <c r="G302" s="370">
        <v>3300</v>
      </c>
    </row>
    <row r="303" s="347" customFormat="1" ht="14.25" customHeight="1" spans="1:7">
      <c r="A303" s="362" t="s">
        <v>288</v>
      </c>
      <c r="B303" s="362" t="s">
        <v>2828</v>
      </c>
      <c r="C303" s="362">
        <v>5630</v>
      </c>
      <c r="D303" s="362">
        <v>5590</v>
      </c>
      <c r="E303" s="362">
        <v>6550</v>
      </c>
      <c r="F303" s="362">
        <v>1010</v>
      </c>
      <c r="G303" s="370">
        <v>3370</v>
      </c>
    </row>
    <row r="304" s="347" customFormat="1" ht="14.25" customHeight="1" spans="1:7">
      <c r="A304" s="362" t="s">
        <v>288</v>
      </c>
      <c r="B304" s="362" t="s">
        <v>2835</v>
      </c>
      <c r="C304" s="362">
        <v>5680</v>
      </c>
      <c r="D304" s="362">
        <v>5620</v>
      </c>
      <c r="E304" s="362">
        <v>6620</v>
      </c>
      <c r="F304" s="362">
        <v>1050</v>
      </c>
      <c r="G304" s="370">
        <v>3390</v>
      </c>
    </row>
    <row r="305" s="347" customFormat="1" ht="14.25" customHeight="1" spans="1:7">
      <c r="A305" s="362" t="s">
        <v>288</v>
      </c>
      <c r="B305" s="362" t="s">
        <v>2842</v>
      </c>
      <c r="C305" s="362">
        <v>5590</v>
      </c>
      <c r="D305" s="362">
        <v>5530</v>
      </c>
      <c r="E305" s="362">
        <v>6460</v>
      </c>
      <c r="F305" s="362">
        <v>900</v>
      </c>
      <c r="G305" s="370">
        <v>3340</v>
      </c>
    </row>
    <row r="306" s="347" customFormat="1" ht="14.25" customHeight="1" spans="1:7">
      <c r="A306" s="362" t="s">
        <v>288</v>
      </c>
      <c r="B306" s="362" t="s">
        <v>2849</v>
      </c>
      <c r="C306" s="362">
        <v>5560</v>
      </c>
      <c r="D306" s="362">
        <v>5510</v>
      </c>
      <c r="E306" s="362">
        <v>6440</v>
      </c>
      <c r="F306" s="362">
        <v>900</v>
      </c>
      <c r="G306" s="370">
        <v>3320</v>
      </c>
    </row>
    <row r="307" s="347" customFormat="1" ht="14.25" customHeight="1" spans="1:7">
      <c r="A307" s="362" t="s">
        <v>288</v>
      </c>
      <c r="B307" s="362" t="s">
        <v>2856</v>
      </c>
      <c r="C307" s="362">
        <v>5650</v>
      </c>
      <c r="D307" s="362">
        <v>5600</v>
      </c>
      <c r="E307" s="362">
        <v>6590</v>
      </c>
      <c r="F307" s="362">
        <v>930</v>
      </c>
      <c r="G307" s="370">
        <v>3380</v>
      </c>
    </row>
    <row r="308" s="347" customFormat="1" ht="14.25" customHeight="1" spans="1:7">
      <c r="A308" s="362" t="s">
        <v>288</v>
      </c>
      <c r="B308" s="362" t="s">
        <v>2863</v>
      </c>
      <c r="C308" s="362">
        <v>5620</v>
      </c>
      <c r="D308" s="362">
        <v>5580</v>
      </c>
      <c r="E308" s="362">
        <v>6540</v>
      </c>
      <c r="F308" s="362">
        <v>910</v>
      </c>
      <c r="G308" s="370">
        <v>3370</v>
      </c>
    </row>
    <row r="309" s="347" customFormat="1" ht="14.25" customHeight="1" spans="1:7">
      <c r="A309" s="362" t="s">
        <v>288</v>
      </c>
      <c r="B309" s="362" t="s">
        <v>2868</v>
      </c>
      <c r="C309" s="362">
        <v>5060</v>
      </c>
      <c r="D309" s="362">
        <v>5020</v>
      </c>
      <c r="E309" s="362">
        <v>6370</v>
      </c>
      <c r="F309" s="362">
        <v>800</v>
      </c>
      <c r="G309" s="370">
        <v>3020</v>
      </c>
    </row>
    <row r="310" s="347" customFormat="1" ht="14.25" customHeight="1" spans="1:7">
      <c r="A310" s="362" t="s">
        <v>288</v>
      </c>
      <c r="B310" s="362" t="s">
        <v>2873</v>
      </c>
      <c r="C310" s="362">
        <v>5150</v>
      </c>
      <c r="D310" s="362">
        <v>5110</v>
      </c>
      <c r="E310" s="362">
        <v>6500</v>
      </c>
      <c r="F310" s="362">
        <v>880</v>
      </c>
      <c r="G310" s="370">
        <v>3080</v>
      </c>
    </row>
    <row r="311" s="347" customFormat="1" ht="14.25" customHeight="1" spans="1:7">
      <c r="A311" s="362" t="s">
        <v>288</v>
      </c>
      <c r="B311" s="362" t="s">
        <v>2878</v>
      </c>
      <c r="C311" s="362">
        <v>4750</v>
      </c>
      <c r="D311" s="362">
        <v>4710</v>
      </c>
      <c r="E311" s="362">
        <v>5510</v>
      </c>
      <c r="F311" s="362">
        <v>880</v>
      </c>
      <c r="G311" s="370">
        <v>2840</v>
      </c>
    </row>
    <row r="312" s="347" customFormat="1" ht="14.25" customHeight="1" spans="1:7">
      <c r="A312" s="362" t="s">
        <v>288</v>
      </c>
      <c r="B312" s="362" t="s">
        <v>2883</v>
      </c>
      <c r="C312" s="362">
        <v>4690</v>
      </c>
      <c r="D312" s="362">
        <v>4640</v>
      </c>
      <c r="E312" s="362">
        <v>5420</v>
      </c>
      <c r="F312" s="362">
        <v>800</v>
      </c>
      <c r="G312" s="370">
        <v>2800</v>
      </c>
    </row>
    <row r="313" s="347" customFormat="1" ht="14.25" customHeight="1" spans="1:7">
      <c r="A313" s="362" t="s">
        <v>288</v>
      </c>
      <c r="B313" s="362" t="s">
        <v>2888</v>
      </c>
      <c r="C313" s="362">
        <v>4810</v>
      </c>
      <c r="D313" s="362">
        <v>4760</v>
      </c>
      <c r="E313" s="362">
        <v>5550</v>
      </c>
      <c r="F313" s="362">
        <v>920</v>
      </c>
      <c r="G313" s="370">
        <v>2870</v>
      </c>
    </row>
    <row r="314" s="347" customFormat="1" ht="14.25" customHeight="1" spans="1:7">
      <c r="A314" s="362" t="s">
        <v>288</v>
      </c>
      <c r="B314" s="362" t="s">
        <v>2893</v>
      </c>
      <c r="C314" s="362"/>
      <c r="D314" s="362"/>
      <c r="E314" s="362"/>
      <c r="F314" s="362">
        <v>1020</v>
      </c>
      <c r="G314" s="370"/>
    </row>
    <row r="315" s="347" customFormat="1" ht="14.25" customHeight="1" spans="1:7">
      <c r="A315" s="362" t="s">
        <v>288</v>
      </c>
      <c r="B315" s="362" t="s">
        <v>2898</v>
      </c>
      <c r="C315" s="362"/>
      <c r="D315" s="362"/>
      <c r="E315" s="362"/>
      <c r="F315" s="362">
        <v>1050</v>
      </c>
      <c r="G315" s="370"/>
    </row>
    <row r="316" s="347" customFormat="1" ht="14.25" customHeight="1" spans="1:7">
      <c r="A316" s="362" t="s">
        <v>288</v>
      </c>
      <c r="B316" s="362" t="s">
        <v>2903</v>
      </c>
      <c r="C316" s="362"/>
      <c r="D316" s="362"/>
      <c r="E316" s="362"/>
      <c r="F316" s="362">
        <v>900</v>
      </c>
      <c r="G316" s="370"/>
    </row>
    <row r="317" s="347" customFormat="1" ht="14.25" customHeight="1" spans="1:7">
      <c r="A317" s="362" t="s">
        <v>288</v>
      </c>
      <c r="B317" s="362" t="s">
        <v>2907</v>
      </c>
      <c r="C317" s="362"/>
      <c r="D317" s="362"/>
      <c r="E317" s="362"/>
      <c r="F317" s="362">
        <v>920</v>
      </c>
      <c r="G317" s="370"/>
    </row>
    <row r="318" s="347" customFormat="1" ht="14.25" customHeight="1" spans="1:7">
      <c r="A318" s="362" t="s">
        <v>288</v>
      </c>
      <c r="B318" s="362" t="s">
        <v>2911</v>
      </c>
      <c r="C318" s="362"/>
      <c r="D318" s="362"/>
      <c r="E318" s="362"/>
      <c r="F318" s="362">
        <v>1080</v>
      </c>
      <c r="G318" s="370"/>
    </row>
    <row r="319" s="347" customFormat="1" ht="14.25" customHeight="1" spans="1:7">
      <c r="A319" s="362" t="s">
        <v>288</v>
      </c>
      <c r="B319" s="362" t="s">
        <v>2915</v>
      </c>
      <c r="C319" s="362"/>
      <c r="D319" s="362"/>
      <c r="E319" s="362"/>
      <c r="F319" s="362">
        <v>1020</v>
      </c>
      <c r="G319" s="370"/>
    </row>
    <row r="320" s="347" customFormat="1" ht="14.25" customHeight="1" spans="1:7">
      <c r="A320" s="362" t="s">
        <v>288</v>
      </c>
      <c r="B320" s="362" t="s">
        <v>2918</v>
      </c>
      <c r="C320" s="362"/>
      <c r="D320" s="362"/>
      <c r="E320" s="362"/>
      <c r="F320" s="362">
        <v>1050</v>
      </c>
      <c r="G320" s="370"/>
    </row>
    <row r="321" s="347" customFormat="1" ht="14.25" customHeight="1" spans="1:7">
      <c r="A321" s="362" t="s">
        <v>288</v>
      </c>
      <c r="B321" s="362" t="s">
        <v>2920</v>
      </c>
      <c r="C321" s="362"/>
      <c r="D321" s="362"/>
      <c r="E321" s="362"/>
      <c r="F321" s="362">
        <v>960</v>
      </c>
      <c r="G321" s="370"/>
    </row>
    <row r="322" s="347" customFormat="1" ht="14.25" customHeight="1" spans="1:7">
      <c r="A322" s="362" t="s">
        <v>288</v>
      </c>
      <c r="B322" s="362" t="s">
        <v>2922</v>
      </c>
      <c r="C322" s="362"/>
      <c r="D322" s="362"/>
      <c r="E322" s="362"/>
      <c r="F322" s="362">
        <v>960</v>
      </c>
      <c r="G322" s="370"/>
    </row>
    <row r="323" s="347" customFormat="1" ht="14.25" customHeight="1" spans="1:7">
      <c r="A323" s="362" t="s">
        <v>288</v>
      </c>
      <c r="B323" s="362" t="s">
        <v>2924</v>
      </c>
      <c r="C323" s="362"/>
      <c r="D323" s="362"/>
      <c r="E323" s="362"/>
      <c r="F323" s="362">
        <v>880</v>
      </c>
      <c r="G323" s="370"/>
    </row>
    <row r="324" s="347" customFormat="1" ht="14.25" customHeight="1" spans="1:7">
      <c r="A324" s="362" t="s">
        <v>288</v>
      </c>
      <c r="B324" s="362" t="s">
        <v>2926</v>
      </c>
      <c r="C324" s="362"/>
      <c r="D324" s="362"/>
      <c r="E324" s="362"/>
      <c r="F324" s="362">
        <v>930</v>
      </c>
      <c r="G324" s="370"/>
    </row>
    <row r="325" s="347" customFormat="1" ht="14.25" customHeight="1" spans="1:7">
      <c r="A325" s="362" t="s">
        <v>288</v>
      </c>
      <c r="B325" s="363" t="s">
        <v>2928</v>
      </c>
      <c r="C325" s="362"/>
      <c r="D325" s="362"/>
      <c r="E325" s="362"/>
      <c r="F325" s="362">
        <v>900</v>
      </c>
      <c r="G325" s="370"/>
    </row>
    <row r="326" s="347" customFormat="1" ht="14.25" customHeight="1" spans="1:7">
      <c r="A326" s="371" t="s">
        <v>288</v>
      </c>
      <c r="B326" s="366" t="s">
        <v>2930</v>
      </c>
      <c r="C326" s="366"/>
      <c r="D326" s="366"/>
      <c r="E326" s="366"/>
      <c r="F326" s="366">
        <v>790</v>
      </c>
      <c r="G326" s="372"/>
    </row>
    <row r="327" s="347" customFormat="1" ht="14.25" customHeight="1" spans="1:7">
      <c r="A327" s="360" t="s">
        <v>292</v>
      </c>
      <c r="B327" s="361" t="s">
        <v>2570</v>
      </c>
      <c r="C327" s="362">
        <v>3750</v>
      </c>
      <c r="D327" s="362">
        <v>3710</v>
      </c>
      <c r="E327" s="362">
        <v>4080</v>
      </c>
      <c r="F327" s="362">
        <v>860</v>
      </c>
      <c r="G327" s="362">
        <v>2210</v>
      </c>
    </row>
    <row r="328" s="347" customFormat="1" ht="14.25" customHeight="1" spans="1:7">
      <c r="A328" s="362" t="s">
        <v>292</v>
      </c>
      <c r="B328" s="362" t="s">
        <v>2583</v>
      </c>
      <c r="C328" s="362">
        <v>3330</v>
      </c>
      <c r="D328" s="362">
        <v>3290</v>
      </c>
      <c r="E328" s="362">
        <v>3610</v>
      </c>
      <c r="F328" s="362">
        <v>850</v>
      </c>
      <c r="G328" s="362">
        <v>1960</v>
      </c>
    </row>
    <row r="329" s="347" customFormat="1" ht="14.25" customHeight="1" spans="1:7">
      <c r="A329" s="362" t="s">
        <v>292</v>
      </c>
      <c r="B329" s="362" t="s">
        <v>2597</v>
      </c>
      <c r="C329" s="362">
        <v>2730</v>
      </c>
      <c r="D329" s="362">
        <v>2690</v>
      </c>
      <c r="E329" s="362">
        <v>3100</v>
      </c>
      <c r="F329" s="362">
        <v>660</v>
      </c>
      <c r="G329" s="362">
        <v>1610</v>
      </c>
    </row>
    <row r="330" s="347" customFormat="1" ht="14.25" customHeight="1" spans="1:7">
      <c r="A330" s="362" t="s">
        <v>292</v>
      </c>
      <c r="B330" s="362" t="s">
        <v>2609</v>
      </c>
      <c r="C330" s="362">
        <v>3270</v>
      </c>
      <c r="D330" s="362">
        <v>3240</v>
      </c>
      <c r="E330" s="362">
        <v>3560</v>
      </c>
      <c r="F330" s="362">
        <v>680</v>
      </c>
      <c r="G330" s="362">
        <v>1940</v>
      </c>
    </row>
    <row r="331" s="347" customFormat="1" ht="14.25" customHeight="1" spans="1:7">
      <c r="A331" s="362" t="s">
        <v>292</v>
      </c>
      <c r="B331" s="362" t="s">
        <v>2621</v>
      </c>
      <c r="C331" s="362">
        <v>3770</v>
      </c>
      <c r="D331" s="362">
        <v>3740</v>
      </c>
      <c r="E331" s="362">
        <v>4110</v>
      </c>
      <c r="F331" s="362">
        <v>730</v>
      </c>
      <c r="G331" s="362">
        <v>2230</v>
      </c>
    </row>
    <row r="332" s="347" customFormat="1" ht="14.25" customHeight="1" spans="1:7">
      <c r="A332" s="362" t="s">
        <v>292</v>
      </c>
      <c r="B332" s="362" t="s">
        <v>2632</v>
      </c>
      <c r="C332" s="362">
        <v>3520</v>
      </c>
      <c r="D332" s="362">
        <v>3480</v>
      </c>
      <c r="E332" s="362">
        <v>3830</v>
      </c>
      <c r="F332" s="362">
        <v>720</v>
      </c>
      <c r="G332" s="362">
        <v>2090</v>
      </c>
    </row>
    <row r="333" s="347" customFormat="1" ht="14.25" customHeight="1" spans="1:7">
      <c r="A333" s="362" t="s">
        <v>292</v>
      </c>
      <c r="B333" s="362" t="s">
        <v>2643</v>
      </c>
      <c r="C333" s="362">
        <v>3840</v>
      </c>
      <c r="D333" s="362">
        <v>3800</v>
      </c>
      <c r="E333" s="362">
        <v>4200</v>
      </c>
      <c r="F333" s="362">
        <v>760</v>
      </c>
      <c r="G333" s="362">
        <v>2270</v>
      </c>
    </row>
    <row r="334" s="347" customFormat="1" ht="14.25" customHeight="1" spans="1:7">
      <c r="A334" s="362" t="s">
        <v>292</v>
      </c>
      <c r="B334" s="362" t="s">
        <v>2654</v>
      </c>
      <c r="C334" s="362">
        <v>3960</v>
      </c>
      <c r="D334" s="362">
        <v>3910</v>
      </c>
      <c r="E334" s="362">
        <v>4340</v>
      </c>
      <c r="F334" s="362">
        <v>780</v>
      </c>
      <c r="G334" s="362">
        <v>2340</v>
      </c>
    </row>
    <row r="335" s="347" customFormat="1" ht="14.25" customHeight="1" spans="1:7">
      <c r="A335" s="362" t="s">
        <v>292</v>
      </c>
      <c r="B335" s="362" t="s">
        <v>2664</v>
      </c>
      <c r="C335" s="362">
        <v>3710</v>
      </c>
      <c r="D335" s="362">
        <v>3670</v>
      </c>
      <c r="E335" s="362">
        <v>4030</v>
      </c>
      <c r="F335" s="362">
        <v>750</v>
      </c>
      <c r="G335" s="362">
        <v>2200</v>
      </c>
    </row>
    <row r="336" s="347" customFormat="1" ht="14.25" customHeight="1" spans="1:7">
      <c r="A336" s="362" t="s">
        <v>292</v>
      </c>
      <c r="B336" s="362" t="s">
        <v>2674</v>
      </c>
      <c r="C336" s="362">
        <v>3570</v>
      </c>
      <c r="D336" s="362">
        <v>3530</v>
      </c>
      <c r="E336" s="362">
        <v>3880</v>
      </c>
      <c r="F336" s="362">
        <v>770</v>
      </c>
      <c r="G336" s="362">
        <v>2110</v>
      </c>
    </row>
    <row r="337" s="347" customFormat="1" ht="14.25" customHeight="1" spans="1:7">
      <c r="A337" s="362" t="s">
        <v>292</v>
      </c>
      <c r="B337" s="362" t="s">
        <v>2684</v>
      </c>
      <c r="C337" s="362">
        <v>3780</v>
      </c>
      <c r="D337" s="362">
        <v>3750</v>
      </c>
      <c r="E337" s="362">
        <v>4130</v>
      </c>
      <c r="F337" s="362">
        <v>750</v>
      </c>
      <c r="G337" s="362">
        <v>2240</v>
      </c>
    </row>
    <row r="338" s="347" customFormat="1" ht="14.25" customHeight="1" spans="1:7">
      <c r="A338" s="362" t="s">
        <v>292</v>
      </c>
      <c r="B338" s="362" t="s">
        <v>2694</v>
      </c>
      <c r="C338" s="362">
        <v>3600</v>
      </c>
      <c r="D338" s="362">
        <v>3570</v>
      </c>
      <c r="E338" s="362">
        <v>3920</v>
      </c>
      <c r="F338" s="362">
        <v>790</v>
      </c>
      <c r="G338" s="362">
        <v>2140</v>
      </c>
    </row>
    <row r="339" s="347" customFormat="1" ht="14.25" customHeight="1" spans="1:7">
      <c r="A339" s="362" t="s">
        <v>292</v>
      </c>
      <c r="B339" s="362" t="s">
        <v>2704</v>
      </c>
      <c r="C339" s="362">
        <v>3540</v>
      </c>
      <c r="D339" s="362">
        <v>3500</v>
      </c>
      <c r="E339" s="362">
        <v>3850</v>
      </c>
      <c r="F339" s="362">
        <v>780</v>
      </c>
      <c r="G339" s="362">
        <v>2100</v>
      </c>
    </row>
    <row r="340" s="347" customFormat="1" ht="14.25" customHeight="1" spans="1:7">
      <c r="A340" s="362" t="s">
        <v>292</v>
      </c>
      <c r="B340" s="362" t="s">
        <v>2714</v>
      </c>
      <c r="C340" s="362">
        <v>3850</v>
      </c>
      <c r="D340" s="362">
        <v>3810</v>
      </c>
      <c r="E340" s="362">
        <v>4210</v>
      </c>
      <c r="F340" s="362">
        <v>750</v>
      </c>
      <c r="G340" s="362">
        <v>2280</v>
      </c>
    </row>
    <row r="341" s="347" customFormat="1" ht="14.25" customHeight="1" spans="1:7">
      <c r="A341" s="362" t="s">
        <v>292</v>
      </c>
      <c r="B341" s="362" t="s">
        <v>2724</v>
      </c>
      <c r="C341" s="362">
        <v>3780</v>
      </c>
      <c r="D341" s="362">
        <v>3750</v>
      </c>
      <c r="E341" s="362">
        <v>4140</v>
      </c>
      <c r="F341" s="362">
        <v>720</v>
      </c>
      <c r="G341" s="362">
        <v>2240</v>
      </c>
    </row>
    <row r="342" s="347" customFormat="1" ht="14.25" customHeight="1" spans="1:7">
      <c r="A342" s="362" t="s">
        <v>292</v>
      </c>
      <c r="B342" s="362" t="s">
        <v>2734</v>
      </c>
      <c r="C342" s="362">
        <v>3670</v>
      </c>
      <c r="D342" s="362">
        <v>3620</v>
      </c>
      <c r="E342" s="362">
        <v>3990</v>
      </c>
      <c r="F342" s="362">
        <v>760</v>
      </c>
      <c r="G342" s="362">
        <v>2170</v>
      </c>
    </row>
    <row r="343" s="347" customFormat="1" ht="14.25" customHeight="1" spans="1:7">
      <c r="A343" s="362" t="s">
        <v>292</v>
      </c>
      <c r="B343" s="362" t="s">
        <v>2744</v>
      </c>
      <c r="C343" s="362">
        <v>3760</v>
      </c>
      <c r="D343" s="362">
        <v>3720</v>
      </c>
      <c r="E343" s="362">
        <v>4090</v>
      </c>
      <c r="F343" s="362">
        <v>780</v>
      </c>
      <c r="G343" s="362">
        <v>2220</v>
      </c>
    </row>
    <row r="344" s="347" customFormat="1" ht="14.25" customHeight="1" spans="1:7">
      <c r="A344" s="362" t="s">
        <v>292</v>
      </c>
      <c r="B344" s="362" t="s">
        <v>2754</v>
      </c>
      <c r="C344" s="362">
        <v>3680</v>
      </c>
      <c r="D344" s="362">
        <v>3640</v>
      </c>
      <c r="E344" s="362">
        <v>4010</v>
      </c>
      <c r="F344" s="362">
        <v>750</v>
      </c>
      <c r="G344" s="362">
        <v>2180</v>
      </c>
    </row>
    <row r="345" spans="1:10">
      <c r="A345" s="362" t="s">
        <v>292</v>
      </c>
      <c r="B345" s="362" t="s">
        <v>2764</v>
      </c>
      <c r="C345" s="362">
        <v>3190</v>
      </c>
      <c r="D345" s="362">
        <v>3140</v>
      </c>
      <c r="E345" s="362">
        <v>3450</v>
      </c>
      <c r="F345" s="362">
        <v>720</v>
      </c>
      <c r="G345" s="362">
        <v>1880</v>
      </c>
      <c r="J345" s="347"/>
    </row>
    <row r="346" spans="1:10">
      <c r="A346" s="362" t="s">
        <v>292</v>
      </c>
      <c r="B346" s="362" t="s">
        <v>2774</v>
      </c>
      <c r="C346" s="362">
        <v>3630</v>
      </c>
      <c r="D346" s="362">
        <v>3590</v>
      </c>
      <c r="E346" s="362">
        <v>3940</v>
      </c>
      <c r="F346" s="362">
        <v>730</v>
      </c>
      <c r="G346" s="362">
        <v>2150</v>
      </c>
      <c r="J346" s="347"/>
    </row>
    <row r="347" spans="1:10">
      <c r="A347" s="362" t="s">
        <v>292</v>
      </c>
      <c r="B347" s="362" t="s">
        <v>2783</v>
      </c>
      <c r="C347" s="362">
        <v>3860</v>
      </c>
      <c r="D347" s="362">
        <v>3820</v>
      </c>
      <c r="E347" s="362">
        <v>4220</v>
      </c>
      <c r="F347" s="362">
        <v>750</v>
      </c>
      <c r="G347" s="362">
        <v>2280</v>
      </c>
      <c r="J347" s="347"/>
    </row>
    <row r="348" spans="1:10">
      <c r="A348" s="362" t="s">
        <v>292</v>
      </c>
      <c r="B348" s="362" t="s">
        <v>2791</v>
      </c>
      <c r="C348" s="362">
        <v>4000</v>
      </c>
      <c r="D348" s="362">
        <v>3950</v>
      </c>
      <c r="E348" s="362">
        <v>4430</v>
      </c>
      <c r="F348" s="362">
        <v>760</v>
      </c>
      <c r="G348" s="362">
        <v>2360</v>
      </c>
      <c r="J348" s="347"/>
    </row>
    <row r="349" spans="1:10">
      <c r="A349" s="362" t="s">
        <v>292</v>
      </c>
      <c r="B349" s="362" t="s">
        <v>2799</v>
      </c>
      <c r="C349" s="362">
        <v>3820</v>
      </c>
      <c r="D349" s="362">
        <v>3780</v>
      </c>
      <c r="E349" s="362">
        <v>4170</v>
      </c>
      <c r="F349" s="362">
        <v>710</v>
      </c>
      <c r="G349" s="362">
        <v>2260</v>
      </c>
      <c r="J349" s="347"/>
    </row>
    <row r="350" spans="1:10">
      <c r="A350" s="362" t="s">
        <v>292</v>
      </c>
      <c r="B350" s="362" t="s">
        <v>2807</v>
      </c>
      <c r="C350" s="362">
        <v>3760</v>
      </c>
      <c r="D350" s="362">
        <v>3730</v>
      </c>
      <c r="E350" s="362">
        <v>4100</v>
      </c>
      <c r="F350" s="362">
        <v>800</v>
      </c>
      <c r="G350" s="362">
        <v>2230</v>
      </c>
      <c r="J350" s="347"/>
    </row>
    <row r="351" spans="1:10">
      <c r="A351" s="362" t="s">
        <v>292</v>
      </c>
      <c r="B351" s="362" t="s">
        <v>2815</v>
      </c>
      <c r="C351" s="362">
        <v>3610</v>
      </c>
      <c r="D351" s="362">
        <v>3580</v>
      </c>
      <c r="E351" s="362">
        <v>3930</v>
      </c>
      <c r="F351" s="362">
        <v>700</v>
      </c>
      <c r="G351" s="362">
        <v>2140</v>
      </c>
      <c r="J351" s="347"/>
    </row>
    <row r="352" spans="1:7">
      <c r="A352" s="362" t="s">
        <v>292</v>
      </c>
      <c r="B352" s="362" t="s">
        <v>2822</v>
      </c>
      <c r="C352" s="362">
        <v>3670</v>
      </c>
      <c r="D352" s="362">
        <v>3630</v>
      </c>
      <c r="E352" s="362">
        <v>4000</v>
      </c>
      <c r="F352" s="362">
        <v>750</v>
      </c>
      <c r="G352" s="362">
        <v>2180</v>
      </c>
    </row>
    <row r="353" s="348" customFormat="1" spans="1:7">
      <c r="A353" s="362" t="s">
        <v>292</v>
      </c>
      <c r="B353" s="362" t="s">
        <v>2829</v>
      </c>
      <c r="C353" s="362">
        <v>3190</v>
      </c>
      <c r="D353" s="362">
        <v>3150</v>
      </c>
      <c r="E353" s="362">
        <v>3640</v>
      </c>
      <c r="F353" s="362">
        <v>630</v>
      </c>
      <c r="G353" s="362">
        <v>1890</v>
      </c>
    </row>
    <row r="354" s="348" customFormat="1" spans="1:7">
      <c r="A354" s="362" t="s">
        <v>292</v>
      </c>
      <c r="B354" s="362" t="s">
        <v>2836</v>
      </c>
      <c r="C354" s="362">
        <v>3450</v>
      </c>
      <c r="D354" s="362">
        <v>3420</v>
      </c>
      <c r="E354" s="362">
        <v>3960</v>
      </c>
      <c r="F354" s="362">
        <v>660</v>
      </c>
      <c r="G354" s="362">
        <v>2050</v>
      </c>
    </row>
    <row r="355" s="348" customFormat="1" spans="1:7">
      <c r="A355" s="362" t="s">
        <v>292</v>
      </c>
      <c r="B355" s="362" t="s">
        <v>2843</v>
      </c>
      <c r="C355" s="362">
        <v>3650</v>
      </c>
      <c r="D355" s="362">
        <v>3610</v>
      </c>
      <c r="E355" s="362">
        <v>4200</v>
      </c>
      <c r="F355" s="362">
        <v>640</v>
      </c>
      <c r="G355" s="362">
        <v>2160</v>
      </c>
    </row>
    <row r="356" s="348" customFormat="1" spans="1:7">
      <c r="A356" s="362" t="s">
        <v>292</v>
      </c>
      <c r="B356" s="362" t="s">
        <v>2850</v>
      </c>
      <c r="C356" s="362">
        <v>3260</v>
      </c>
      <c r="D356" s="362">
        <v>3230</v>
      </c>
      <c r="E356" s="362">
        <v>3740</v>
      </c>
      <c r="F356" s="362">
        <v>600</v>
      </c>
      <c r="G356" s="362">
        <v>1930</v>
      </c>
    </row>
    <row r="357" s="348" customFormat="1" ht="12.75" spans="1:7">
      <c r="A357" s="364" t="s">
        <v>292</v>
      </c>
      <c r="B357" s="368" t="s">
        <v>2857</v>
      </c>
      <c r="C357" s="368">
        <v>3690</v>
      </c>
      <c r="D357" s="368">
        <v>3650</v>
      </c>
      <c r="E357" s="368">
        <v>4020</v>
      </c>
      <c r="F357" s="368">
        <v>700</v>
      </c>
      <c r="G357" s="368">
        <v>2190</v>
      </c>
    </row>
    <row r="358" s="348" customFormat="1" spans="1:7">
      <c r="A358" s="360" t="s">
        <v>296</v>
      </c>
      <c r="B358" s="361" t="s">
        <v>2571</v>
      </c>
      <c r="C358" s="361">
        <v>2080</v>
      </c>
      <c r="D358" s="361">
        <v>2040</v>
      </c>
      <c r="E358" s="361">
        <v>2010</v>
      </c>
      <c r="F358" s="361">
        <v>530</v>
      </c>
      <c r="G358" s="369">
        <v>1230</v>
      </c>
    </row>
    <row r="359" s="348" customFormat="1" spans="1:7">
      <c r="A359" s="362" t="s">
        <v>296</v>
      </c>
      <c r="B359" s="362" t="s">
        <v>2584</v>
      </c>
      <c r="C359" s="362">
        <v>1850</v>
      </c>
      <c r="D359" s="362">
        <v>1820</v>
      </c>
      <c r="E359" s="362">
        <v>1780</v>
      </c>
      <c r="F359" s="362">
        <v>520</v>
      </c>
      <c r="G359" s="370">
        <v>1100</v>
      </c>
    </row>
    <row r="360" s="348" customFormat="1" spans="1:7">
      <c r="A360" s="362" t="s">
        <v>296</v>
      </c>
      <c r="B360" s="362" t="s">
        <v>2598</v>
      </c>
      <c r="C360" s="362">
        <v>2020</v>
      </c>
      <c r="D360" s="362">
        <v>1990</v>
      </c>
      <c r="E360" s="362">
        <v>1950</v>
      </c>
      <c r="F360" s="362">
        <v>500</v>
      </c>
      <c r="G360" s="370">
        <v>1200</v>
      </c>
    </row>
    <row r="361" s="348" customFormat="1" spans="1:7">
      <c r="A361" s="362" t="s">
        <v>296</v>
      </c>
      <c r="B361" s="362" t="s">
        <v>2610</v>
      </c>
      <c r="C361" s="362">
        <v>2260</v>
      </c>
      <c r="D361" s="362">
        <v>2220</v>
      </c>
      <c r="E361" s="362">
        <v>2180</v>
      </c>
      <c r="F361" s="362">
        <v>580</v>
      </c>
      <c r="G361" s="370">
        <v>1340</v>
      </c>
    </row>
    <row r="362" s="348" customFormat="1" spans="1:7">
      <c r="A362" s="362" t="s">
        <v>296</v>
      </c>
      <c r="B362" s="362" t="s">
        <v>2622</v>
      </c>
      <c r="C362" s="362">
        <v>2650</v>
      </c>
      <c r="D362" s="362">
        <v>2610</v>
      </c>
      <c r="E362" s="362">
        <v>2570</v>
      </c>
      <c r="F362" s="362">
        <v>630</v>
      </c>
      <c r="G362" s="370">
        <v>1570</v>
      </c>
    </row>
    <row r="363" s="348" customFormat="1" spans="1:7">
      <c r="A363" s="362" t="s">
        <v>296</v>
      </c>
      <c r="B363" s="362" t="s">
        <v>2633</v>
      </c>
      <c r="C363" s="362">
        <v>2390</v>
      </c>
      <c r="D363" s="362">
        <v>2360</v>
      </c>
      <c r="E363" s="362">
        <v>2320</v>
      </c>
      <c r="F363" s="362">
        <v>600</v>
      </c>
      <c r="G363" s="370">
        <v>1420</v>
      </c>
    </row>
    <row r="364" s="348" customFormat="1" spans="1:7">
      <c r="A364" s="362" t="s">
        <v>296</v>
      </c>
      <c r="B364" s="362" t="s">
        <v>2644</v>
      </c>
      <c r="C364" s="362">
        <v>2050</v>
      </c>
      <c r="D364" s="362">
        <v>2030</v>
      </c>
      <c r="E364" s="362">
        <v>1990</v>
      </c>
      <c r="F364" s="362">
        <v>550</v>
      </c>
      <c r="G364" s="370">
        <v>1220</v>
      </c>
    </row>
    <row r="365" s="348" customFormat="1" spans="1:7">
      <c r="A365" s="362" t="s">
        <v>296</v>
      </c>
      <c r="B365" s="362" t="s">
        <v>2655</v>
      </c>
      <c r="C365" s="362">
        <v>2140</v>
      </c>
      <c r="D365" s="362">
        <v>2100</v>
      </c>
      <c r="E365" s="362">
        <v>2060</v>
      </c>
      <c r="F365" s="362">
        <v>540</v>
      </c>
      <c r="G365" s="370">
        <v>1270</v>
      </c>
    </row>
    <row r="366" s="348" customFormat="1" spans="1:7">
      <c r="A366" s="362" t="s">
        <v>296</v>
      </c>
      <c r="B366" s="362" t="s">
        <v>2665</v>
      </c>
      <c r="C366" s="362">
        <v>2410</v>
      </c>
      <c r="D366" s="362">
        <v>2370</v>
      </c>
      <c r="E366" s="362">
        <v>2330</v>
      </c>
      <c r="F366" s="362">
        <v>570</v>
      </c>
      <c r="G366" s="370">
        <v>1440</v>
      </c>
    </row>
    <row r="367" s="348" customFormat="1" spans="1:7">
      <c r="A367" s="362" t="s">
        <v>296</v>
      </c>
      <c r="B367" s="362" t="s">
        <v>2675</v>
      </c>
      <c r="C367" s="362">
        <v>2300</v>
      </c>
      <c r="D367" s="362">
        <v>2260</v>
      </c>
      <c r="E367" s="362">
        <v>2220</v>
      </c>
      <c r="F367" s="362">
        <v>560</v>
      </c>
      <c r="G367" s="370">
        <v>1370</v>
      </c>
    </row>
    <row r="368" s="348" customFormat="1" spans="1:7">
      <c r="A368" s="362" t="s">
        <v>296</v>
      </c>
      <c r="B368" s="362" t="s">
        <v>2685</v>
      </c>
      <c r="C368" s="362">
        <v>2430</v>
      </c>
      <c r="D368" s="362">
        <v>2390</v>
      </c>
      <c r="E368" s="362">
        <v>2350</v>
      </c>
      <c r="F368" s="362">
        <v>570</v>
      </c>
      <c r="G368" s="370">
        <v>1450</v>
      </c>
    </row>
    <row r="369" s="348" customFormat="1" spans="1:7">
      <c r="A369" s="362" t="s">
        <v>296</v>
      </c>
      <c r="B369" s="362" t="s">
        <v>2695</v>
      </c>
      <c r="C369" s="362">
        <v>2320</v>
      </c>
      <c r="D369" s="362">
        <v>2290</v>
      </c>
      <c r="E369" s="362">
        <v>2250</v>
      </c>
      <c r="F369" s="362">
        <v>550</v>
      </c>
      <c r="G369" s="370">
        <v>1380</v>
      </c>
    </row>
    <row r="370" s="348" customFormat="1" spans="1:7">
      <c r="A370" s="362" t="s">
        <v>296</v>
      </c>
      <c r="B370" s="362" t="s">
        <v>2705</v>
      </c>
      <c r="C370" s="362">
        <v>2190</v>
      </c>
      <c r="D370" s="362">
        <v>2170</v>
      </c>
      <c r="E370" s="362">
        <v>2130</v>
      </c>
      <c r="F370" s="362">
        <v>530</v>
      </c>
      <c r="G370" s="370">
        <v>1310</v>
      </c>
    </row>
    <row r="371" s="348" customFormat="1" spans="1:7">
      <c r="A371" s="362" t="s">
        <v>296</v>
      </c>
      <c r="B371" s="362" t="s">
        <v>2715</v>
      </c>
      <c r="C371" s="362">
        <v>2460</v>
      </c>
      <c r="D371" s="362">
        <v>2420</v>
      </c>
      <c r="E371" s="362">
        <v>2370</v>
      </c>
      <c r="F371" s="362">
        <v>560</v>
      </c>
      <c r="G371" s="370">
        <v>1470</v>
      </c>
    </row>
    <row r="372" s="348" customFormat="1" spans="1:7">
      <c r="A372" s="362" t="s">
        <v>296</v>
      </c>
      <c r="B372" s="362" t="s">
        <v>2725</v>
      </c>
      <c r="C372" s="362">
        <v>2250</v>
      </c>
      <c r="D372" s="362">
        <v>2210</v>
      </c>
      <c r="E372" s="362">
        <v>2180</v>
      </c>
      <c r="F372" s="362">
        <v>550</v>
      </c>
      <c r="G372" s="370">
        <v>1340</v>
      </c>
    </row>
    <row r="373" s="348" customFormat="1" spans="1:7">
      <c r="A373" s="362" t="s">
        <v>296</v>
      </c>
      <c r="B373" s="362" t="s">
        <v>2735</v>
      </c>
      <c r="C373" s="362">
        <v>2210</v>
      </c>
      <c r="D373" s="362">
        <v>2190</v>
      </c>
      <c r="E373" s="362">
        <v>2150</v>
      </c>
      <c r="F373" s="362">
        <v>530</v>
      </c>
      <c r="G373" s="370">
        <v>1320</v>
      </c>
    </row>
    <row r="374" s="348" customFormat="1" spans="1:7">
      <c r="A374" s="362" t="s">
        <v>296</v>
      </c>
      <c r="B374" s="362" t="s">
        <v>2745</v>
      </c>
      <c r="C374" s="362">
        <v>2320</v>
      </c>
      <c r="D374" s="362">
        <v>2280</v>
      </c>
      <c r="E374" s="362">
        <v>2230</v>
      </c>
      <c r="F374" s="362">
        <v>580</v>
      </c>
      <c r="G374" s="370">
        <v>1380</v>
      </c>
    </row>
    <row r="375" s="348" customFormat="1" spans="1:7">
      <c r="A375" s="362" t="s">
        <v>296</v>
      </c>
      <c r="B375" s="362" t="s">
        <v>2755</v>
      </c>
      <c r="C375" s="362">
        <v>2090</v>
      </c>
      <c r="D375" s="362">
        <v>2050</v>
      </c>
      <c r="E375" s="362">
        <v>2020</v>
      </c>
      <c r="F375" s="362">
        <v>520</v>
      </c>
      <c r="G375" s="370">
        <v>1240</v>
      </c>
    </row>
    <row r="376" s="348" customFormat="1" spans="1:7">
      <c r="A376" s="362" t="s">
        <v>296</v>
      </c>
      <c r="B376" s="362" t="s">
        <v>2765</v>
      </c>
      <c r="C376" s="362">
        <v>2010</v>
      </c>
      <c r="D376" s="362">
        <v>1980</v>
      </c>
      <c r="E376" s="362">
        <v>1940</v>
      </c>
      <c r="F376" s="362">
        <v>540</v>
      </c>
      <c r="G376" s="370">
        <v>1190</v>
      </c>
    </row>
    <row r="377" s="348" customFormat="1" ht="12.75" spans="1:7">
      <c r="A377" s="364" t="s">
        <v>296</v>
      </c>
      <c r="B377" s="368" t="s">
        <v>2775</v>
      </c>
      <c r="C377" s="368">
        <v>1930</v>
      </c>
      <c r="D377" s="368">
        <v>1890</v>
      </c>
      <c r="E377" s="368">
        <v>1860</v>
      </c>
      <c r="F377" s="368">
        <v>530</v>
      </c>
      <c r="G377" s="377">
        <v>1150</v>
      </c>
    </row>
    <row r="378" s="348" customFormat="1" spans="1:7">
      <c r="A378" s="378" t="s">
        <v>300</v>
      </c>
      <c r="B378" s="361" t="s">
        <v>2572</v>
      </c>
      <c r="C378" s="361">
        <v>1520</v>
      </c>
      <c r="D378" s="361">
        <v>1490</v>
      </c>
      <c r="E378" s="361">
        <v>1460</v>
      </c>
      <c r="F378" s="361">
        <v>460</v>
      </c>
      <c r="G378" s="369">
        <v>940</v>
      </c>
    </row>
    <row r="379" s="348" customFormat="1" spans="1:7">
      <c r="A379" s="379" t="s">
        <v>300</v>
      </c>
      <c r="B379" s="362" t="s">
        <v>2585</v>
      </c>
      <c r="C379" s="362">
        <v>1500</v>
      </c>
      <c r="D379" s="362">
        <v>1470</v>
      </c>
      <c r="E379" s="362">
        <v>1430</v>
      </c>
      <c r="F379" s="362">
        <v>460</v>
      </c>
      <c r="G379" s="370">
        <v>920</v>
      </c>
    </row>
    <row r="380" s="348" customFormat="1" spans="1:7">
      <c r="A380" s="379" t="s">
        <v>300</v>
      </c>
      <c r="B380" s="362" t="s">
        <v>2599</v>
      </c>
      <c r="C380" s="362">
        <v>1620</v>
      </c>
      <c r="D380" s="362">
        <v>1590</v>
      </c>
      <c r="E380" s="362">
        <v>1560</v>
      </c>
      <c r="F380" s="362">
        <v>480</v>
      </c>
      <c r="G380" s="370">
        <v>1000</v>
      </c>
    </row>
    <row r="381" s="348" customFormat="1" spans="1:7">
      <c r="A381" s="379" t="s">
        <v>300</v>
      </c>
      <c r="B381" s="362" t="s">
        <v>2611</v>
      </c>
      <c r="C381" s="362">
        <v>1460</v>
      </c>
      <c r="D381" s="362">
        <v>1430</v>
      </c>
      <c r="E381" s="362">
        <v>1390</v>
      </c>
      <c r="F381" s="362">
        <v>450</v>
      </c>
      <c r="G381" s="370">
        <v>900</v>
      </c>
    </row>
    <row r="382" s="348" customFormat="1" spans="1:7">
      <c r="A382" s="379" t="s">
        <v>300</v>
      </c>
      <c r="B382" s="362" t="s">
        <v>2623</v>
      </c>
      <c r="C382" s="362">
        <v>1310</v>
      </c>
      <c r="D382" s="362">
        <v>1280</v>
      </c>
      <c r="E382" s="362">
        <v>1250</v>
      </c>
      <c r="F382" s="362">
        <v>440</v>
      </c>
      <c r="G382" s="370">
        <v>800</v>
      </c>
    </row>
    <row r="383" s="348" customFormat="1" spans="1:7">
      <c r="A383" s="379" t="s">
        <v>300</v>
      </c>
      <c r="B383" s="362" t="s">
        <v>2634</v>
      </c>
      <c r="C383" s="362">
        <v>1260</v>
      </c>
      <c r="D383" s="362">
        <v>1230</v>
      </c>
      <c r="E383" s="362">
        <v>1200</v>
      </c>
      <c r="F383" s="362">
        <v>420</v>
      </c>
      <c r="G383" s="370">
        <v>770</v>
      </c>
    </row>
    <row r="384" s="348" customFormat="1" ht="12.75" spans="1:7">
      <c r="A384" s="380" t="s">
        <v>300</v>
      </c>
      <c r="B384" s="366" t="s">
        <v>2645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2944</v>
      </c>
      <c r="B1" s="312"/>
    </row>
    <row r="2" ht="14.75" spans="1:2">
      <c r="A2" s="312"/>
      <c r="B2" s="312"/>
    </row>
    <row r="3" ht="14.75" spans="1:7">
      <c r="A3" s="312"/>
      <c r="B3" s="312"/>
      <c r="C3" s="313" t="s">
        <v>549</v>
      </c>
      <c r="D3" s="313" t="s">
        <v>1956</v>
      </c>
      <c r="E3" s="313" t="s">
        <v>412</v>
      </c>
      <c r="F3" s="313" t="s">
        <v>408</v>
      </c>
      <c r="G3" s="313" t="s">
        <v>280</v>
      </c>
    </row>
    <row r="4" ht="14.75" spans="1:7">
      <c r="A4" s="314" t="s">
        <v>2573</v>
      </c>
      <c r="B4" s="315" t="s">
        <v>2586</v>
      </c>
      <c r="C4" s="313"/>
      <c r="D4" s="313"/>
      <c r="E4" s="313"/>
      <c r="F4" s="313"/>
      <c r="G4" s="313"/>
    </row>
    <row r="5" spans="1:7">
      <c r="A5" s="316" t="s">
        <v>230</v>
      </c>
      <c r="B5" s="317" t="s">
        <v>2561</v>
      </c>
      <c r="C5" s="318">
        <v>0.098</v>
      </c>
      <c r="D5" s="318">
        <v>0.087</v>
      </c>
      <c r="E5" s="318">
        <v>0.087</v>
      </c>
      <c r="F5" s="318">
        <v>0.098</v>
      </c>
      <c r="G5" s="319">
        <v>0.095</v>
      </c>
    </row>
    <row r="6" spans="1:7">
      <c r="A6" s="320" t="s">
        <v>230</v>
      </c>
      <c r="B6" s="321" t="s">
        <v>2574</v>
      </c>
      <c r="C6" s="322">
        <v>0.098</v>
      </c>
      <c r="D6" s="322">
        <v>0.098</v>
      </c>
      <c r="E6" s="322">
        <v>0.098</v>
      </c>
      <c r="F6" s="322">
        <v>0.1</v>
      </c>
      <c r="G6" s="323">
        <v>0.099</v>
      </c>
    </row>
    <row r="7" spans="1:7">
      <c r="A7" s="320" t="s">
        <v>230</v>
      </c>
      <c r="B7" s="321" t="s">
        <v>2588</v>
      </c>
      <c r="C7" s="322">
        <v>0.097</v>
      </c>
      <c r="D7" s="322">
        <v>0.097</v>
      </c>
      <c r="E7" s="322">
        <v>0.096</v>
      </c>
      <c r="F7" s="322">
        <v>0.1</v>
      </c>
      <c r="G7" s="323">
        <v>0.098</v>
      </c>
    </row>
    <row r="8" spans="1:7">
      <c r="A8" s="320" t="s">
        <v>230</v>
      </c>
      <c r="B8" s="321" t="s">
        <v>2600</v>
      </c>
      <c r="C8" s="322">
        <v>0.081</v>
      </c>
      <c r="D8" s="322">
        <v>0.082</v>
      </c>
      <c r="E8" s="322">
        <v>0.07</v>
      </c>
      <c r="F8" s="322">
        <v>0.096</v>
      </c>
      <c r="G8" s="323">
        <v>0.089</v>
      </c>
    </row>
    <row r="9" ht="14.75" spans="1:7">
      <c r="A9" s="324" t="s">
        <v>230</v>
      </c>
      <c r="B9" s="325" t="s">
        <v>2612</v>
      </c>
      <c r="C9" s="326">
        <v>0.1</v>
      </c>
      <c r="D9" s="326">
        <v>0.1</v>
      </c>
      <c r="E9" s="326">
        <v>0.1</v>
      </c>
      <c r="F9" s="327"/>
      <c r="G9" s="328">
        <v>0.1</v>
      </c>
    </row>
    <row r="10" spans="1:7">
      <c r="A10" s="316" t="s">
        <v>241</v>
      </c>
      <c r="B10" s="317" t="s">
        <v>2562</v>
      </c>
      <c r="C10" s="318">
        <v>0.067</v>
      </c>
      <c r="D10" s="318">
        <v>0.079</v>
      </c>
      <c r="E10" s="318">
        <v>0.079</v>
      </c>
      <c r="F10" s="318">
        <v>0.1</v>
      </c>
      <c r="G10" s="319">
        <v>0.091</v>
      </c>
    </row>
    <row r="11" spans="1:7">
      <c r="A11" s="320" t="s">
        <v>241</v>
      </c>
      <c r="B11" s="321" t="s">
        <v>2575</v>
      </c>
      <c r="C11" s="322">
        <v>0.05</v>
      </c>
      <c r="D11" s="322">
        <v>0.053</v>
      </c>
      <c r="E11" s="322">
        <v>0.063</v>
      </c>
      <c r="F11" s="322">
        <v>0.1</v>
      </c>
      <c r="G11" s="323">
        <v>0.072</v>
      </c>
    </row>
    <row r="12" spans="1:7">
      <c r="A12" s="320" t="s">
        <v>241</v>
      </c>
      <c r="B12" s="321" t="s">
        <v>2589</v>
      </c>
      <c r="C12" s="322">
        <v>0.053</v>
      </c>
      <c r="D12" s="322">
        <v>0.09</v>
      </c>
      <c r="E12" s="322">
        <v>0.072</v>
      </c>
      <c r="F12" s="322">
        <v>0.1</v>
      </c>
      <c r="G12" s="323">
        <v>0.097</v>
      </c>
    </row>
    <row r="13" spans="1:7">
      <c r="A13" s="320" t="s">
        <v>241</v>
      </c>
      <c r="B13" s="321" t="s">
        <v>2601</v>
      </c>
      <c r="C13" s="322">
        <v>0.097</v>
      </c>
      <c r="D13" s="322">
        <v>0.092</v>
      </c>
      <c r="E13" s="322">
        <v>0.095</v>
      </c>
      <c r="F13" s="322">
        <v>0.1</v>
      </c>
      <c r="G13" s="323">
        <v>0.097</v>
      </c>
    </row>
    <row r="14" spans="1:7">
      <c r="A14" s="320" t="s">
        <v>241</v>
      </c>
      <c r="B14" s="321" t="s">
        <v>2613</v>
      </c>
      <c r="C14" s="322">
        <v>0.097</v>
      </c>
      <c r="D14" s="322">
        <v>0.097</v>
      </c>
      <c r="E14" s="322">
        <v>0.097</v>
      </c>
      <c r="F14" s="322">
        <v>0.1</v>
      </c>
      <c r="G14" s="323">
        <v>0.098</v>
      </c>
    </row>
    <row r="15" spans="1:7">
      <c r="A15" s="320" t="s">
        <v>241</v>
      </c>
      <c r="B15" s="321" t="s">
        <v>2624</v>
      </c>
      <c r="C15" s="322">
        <v>0.098</v>
      </c>
      <c r="D15" s="322">
        <v>0.091</v>
      </c>
      <c r="E15" s="322">
        <v>0.06</v>
      </c>
      <c r="F15" s="322">
        <v>0.1</v>
      </c>
      <c r="G15" s="323">
        <v>0.097</v>
      </c>
    </row>
    <row r="16" spans="1:7">
      <c r="A16" s="320" t="s">
        <v>241</v>
      </c>
      <c r="B16" s="321" t="s">
        <v>2635</v>
      </c>
      <c r="C16" s="322">
        <v>0.098</v>
      </c>
      <c r="D16" s="322">
        <v>0.097</v>
      </c>
      <c r="E16" s="322">
        <v>0.095</v>
      </c>
      <c r="F16" s="322">
        <v>0.1</v>
      </c>
      <c r="G16" s="323">
        <v>0.099</v>
      </c>
    </row>
    <row r="17" spans="1:7">
      <c r="A17" s="320" t="s">
        <v>241</v>
      </c>
      <c r="B17" s="321" t="s">
        <v>2646</v>
      </c>
      <c r="C17" s="322">
        <v>0.089</v>
      </c>
      <c r="D17" s="322">
        <v>0.092</v>
      </c>
      <c r="E17" s="322">
        <v>0.061</v>
      </c>
      <c r="F17" s="322">
        <v>0.1</v>
      </c>
      <c r="G17" s="323">
        <v>0.097</v>
      </c>
    </row>
    <row r="18" spans="1:7">
      <c r="A18" s="320" t="s">
        <v>241</v>
      </c>
      <c r="B18" s="321" t="s">
        <v>2656</v>
      </c>
      <c r="C18" s="322">
        <v>0.098</v>
      </c>
      <c r="D18" s="322">
        <v>0.098</v>
      </c>
      <c r="E18" s="322">
        <v>0.098</v>
      </c>
      <c r="F18" s="329"/>
      <c r="G18" s="323">
        <v>0.099</v>
      </c>
    </row>
    <row r="19" spans="1:7">
      <c r="A19" s="320" t="s">
        <v>241</v>
      </c>
      <c r="B19" s="321" t="s">
        <v>2666</v>
      </c>
      <c r="C19" s="322">
        <v>0.099</v>
      </c>
      <c r="D19" s="322">
        <v>0.074</v>
      </c>
      <c r="E19" s="322">
        <v>0.081</v>
      </c>
      <c r="F19" s="329"/>
      <c r="G19" s="323">
        <v>0.093</v>
      </c>
    </row>
    <row r="20" spans="1:7">
      <c r="A20" s="320" t="s">
        <v>241</v>
      </c>
      <c r="B20" s="321" t="s">
        <v>2676</v>
      </c>
      <c r="C20" s="322">
        <v>0.1</v>
      </c>
      <c r="D20" s="322">
        <v>0.089</v>
      </c>
      <c r="E20" s="322">
        <v>0.089</v>
      </c>
      <c r="F20" s="329"/>
      <c r="G20" s="323">
        <v>0.095</v>
      </c>
    </row>
    <row r="21" spans="1:7">
      <c r="A21" s="320" t="s">
        <v>241</v>
      </c>
      <c r="B21" s="321" t="s">
        <v>2686</v>
      </c>
      <c r="C21" s="322">
        <v>0.1</v>
      </c>
      <c r="D21" s="322">
        <v>0.091</v>
      </c>
      <c r="E21" s="322">
        <v>0.082</v>
      </c>
      <c r="F21" s="329"/>
      <c r="G21" s="323">
        <v>0.097</v>
      </c>
    </row>
    <row r="22" spans="1:7">
      <c r="A22" s="320" t="s">
        <v>241</v>
      </c>
      <c r="B22" s="321" t="s">
        <v>2696</v>
      </c>
      <c r="C22" s="322">
        <v>0.095</v>
      </c>
      <c r="D22" s="322">
        <v>0.099</v>
      </c>
      <c r="E22" s="322">
        <v>0.098</v>
      </c>
      <c r="F22" s="329"/>
      <c r="G22" s="323">
        <v>0.1</v>
      </c>
    </row>
    <row r="23" spans="1:7">
      <c r="A23" s="320" t="s">
        <v>241</v>
      </c>
      <c r="B23" s="321" t="s">
        <v>2706</v>
      </c>
      <c r="C23" s="322">
        <v>0.099</v>
      </c>
      <c r="D23" s="322">
        <v>0.1</v>
      </c>
      <c r="E23" s="322">
        <v>0.1</v>
      </c>
      <c r="F23" s="329"/>
      <c r="G23" s="323">
        <v>0.1</v>
      </c>
    </row>
    <row r="24" spans="1:7">
      <c r="A24" s="320" t="s">
        <v>241</v>
      </c>
      <c r="B24" s="321" t="s">
        <v>2716</v>
      </c>
      <c r="C24" s="322">
        <v>0.095</v>
      </c>
      <c r="D24" s="322">
        <v>0.1</v>
      </c>
      <c r="E24" s="322">
        <v>0.098</v>
      </c>
      <c r="F24" s="329"/>
      <c r="G24" s="323">
        <v>0.1</v>
      </c>
    </row>
    <row r="25" spans="1:7">
      <c r="A25" s="320" t="s">
        <v>241</v>
      </c>
      <c r="B25" s="321" t="s">
        <v>2726</v>
      </c>
      <c r="C25" s="322">
        <v>0.05</v>
      </c>
      <c r="D25" s="322">
        <v>0.096</v>
      </c>
      <c r="E25" s="322">
        <v>0.096</v>
      </c>
      <c r="F25" s="329"/>
      <c r="G25" s="323">
        <v>0.096</v>
      </c>
    </row>
    <row r="26" spans="1:7">
      <c r="A26" s="320" t="s">
        <v>241</v>
      </c>
      <c r="B26" s="321" t="s">
        <v>2736</v>
      </c>
      <c r="C26" s="322">
        <v>0.063</v>
      </c>
      <c r="D26" s="322">
        <v>0.099</v>
      </c>
      <c r="E26" s="322">
        <v>0.098</v>
      </c>
      <c r="F26" s="329"/>
      <c r="G26" s="323">
        <v>0.1</v>
      </c>
    </row>
    <row r="27" spans="1:7">
      <c r="A27" s="320" t="s">
        <v>241</v>
      </c>
      <c r="B27" s="321" t="s">
        <v>2746</v>
      </c>
      <c r="C27" s="322">
        <v>0.052</v>
      </c>
      <c r="D27" s="322">
        <v>0.095</v>
      </c>
      <c r="E27" s="322">
        <v>0.064</v>
      </c>
      <c r="F27" s="329"/>
      <c r="G27" s="323">
        <v>0.097</v>
      </c>
    </row>
    <row r="28" spans="1:7">
      <c r="A28" s="320" t="s">
        <v>241</v>
      </c>
      <c r="B28" s="321" t="s">
        <v>2756</v>
      </c>
      <c r="C28" s="329"/>
      <c r="D28" s="322">
        <v>0.063</v>
      </c>
      <c r="E28" s="322">
        <v>0.052</v>
      </c>
      <c r="F28" s="329"/>
      <c r="G28" s="323">
        <v>0.063</v>
      </c>
    </row>
    <row r="29" ht="14.75" spans="1:7">
      <c r="A29" s="324" t="s">
        <v>241</v>
      </c>
      <c r="B29" s="325" t="s">
        <v>2766</v>
      </c>
      <c r="C29" s="330"/>
      <c r="D29" s="326">
        <v>0.052</v>
      </c>
      <c r="E29" s="326">
        <v>0.07</v>
      </c>
      <c r="F29" s="330"/>
      <c r="G29" s="328">
        <v>0.071</v>
      </c>
    </row>
    <row r="30" spans="1:7">
      <c r="A30" s="331" t="s">
        <v>251</v>
      </c>
      <c r="B30" s="317" t="s">
        <v>2563</v>
      </c>
      <c r="C30" s="318">
        <v>0.066</v>
      </c>
      <c r="D30" s="318">
        <v>0.066</v>
      </c>
      <c r="E30" s="318">
        <v>0.057</v>
      </c>
      <c r="F30" s="318">
        <v>0.1</v>
      </c>
      <c r="G30" s="319">
        <v>0.068</v>
      </c>
    </row>
    <row r="31" spans="1:7">
      <c r="A31" s="332" t="s">
        <v>251</v>
      </c>
      <c r="B31" s="321" t="s">
        <v>2576</v>
      </c>
      <c r="C31" s="322">
        <v>0.055</v>
      </c>
      <c r="D31" s="322">
        <v>0.082</v>
      </c>
      <c r="E31" s="322">
        <v>0.064</v>
      </c>
      <c r="F31" s="322">
        <v>0.1</v>
      </c>
      <c r="G31" s="323">
        <v>0.095</v>
      </c>
    </row>
    <row r="32" spans="1:7">
      <c r="A32" s="332" t="s">
        <v>251</v>
      </c>
      <c r="B32" s="321" t="s">
        <v>2590</v>
      </c>
      <c r="C32" s="322">
        <v>0.082</v>
      </c>
      <c r="D32" s="322">
        <v>0.087</v>
      </c>
      <c r="E32" s="322">
        <v>0.095</v>
      </c>
      <c r="F32" s="322">
        <v>0.1</v>
      </c>
      <c r="G32" s="323">
        <v>0.096</v>
      </c>
    </row>
    <row r="33" spans="1:7">
      <c r="A33" s="332" t="s">
        <v>251</v>
      </c>
      <c r="B33" s="321" t="s">
        <v>2602</v>
      </c>
      <c r="C33" s="322">
        <v>0.099</v>
      </c>
      <c r="D33" s="322">
        <v>0.092</v>
      </c>
      <c r="E33" s="322">
        <v>0.087</v>
      </c>
      <c r="F33" s="322">
        <v>0.1</v>
      </c>
      <c r="G33" s="323">
        <v>0.097</v>
      </c>
    </row>
    <row r="34" spans="1:7">
      <c r="A34" s="332" t="s">
        <v>251</v>
      </c>
      <c r="B34" s="321" t="s">
        <v>2614</v>
      </c>
      <c r="C34" s="322">
        <v>0.084</v>
      </c>
      <c r="D34" s="322">
        <v>0.097</v>
      </c>
      <c r="E34" s="322">
        <v>0.071</v>
      </c>
      <c r="F34" s="322">
        <v>0.1</v>
      </c>
      <c r="G34" s="323">
        <v>0.098</v>
      </c>
    </row>
    <row r="35" spans="1:7">
      <c r="A35" s="332" t="s">
        <v>251</v>
      </c>
      <c r="B35" s="321" t="s">
        <v>2625</v>
      </c>
      <c r="C35" s="322">
        <v>0.083</v>
      </c>
      <c r="D35" s="322">
        <v>0.097</v>
      </c>
      <c r="E35" s="322">
        <v>0.061</v>
      </c>
      <c r="F35" s="322">
        <v>0.1</v>
      </c>
      <c r="G35" s="323">
        <v>0.099</v>
      </c>
    </row>
    <row r="36" spans="1:7">
      <c r="A36" s="332" t="s">
        <v>251</v>
      </c>
      <c r="B36" s="321" t="s">
        <v>2636</v>
      </c>
      <c r="C36" s="322">
        <v>0.097</v>
      </c>
      <c r="D36" s="322">
        <v>0.097</v>
      </c>
      <c r="E36" s="322">
        <v>0.078</v>
      </c>
      <c r="F36" s="322">
        <v>0.1</v>
      </c>
      <c r="G36" s="323">
        <v>0.099</v>
      </c>
    </row>
    <row r="37" spans="1:7">
      <c r="A37" s="332" t="s">
        <v>251</v>
      </c>
      <c r="B37" s="321" t="s">
        <v>2647</v>
      </c>
      <c r="C37" s="322">
        <v>0.097</v>
      </c>
      <c r="D37" s="322">
        <v>0.095</v>
      </c>
      <c r="E37" s="322">
        <v>0.078</v>
      </c>
      <c r="F37" s="322">
        <v>0.1</v>
      </c>
      <c r="G37" s="323">
        <v>0.097</v>
      </c>
    </row>
    <row r="38" spans="1:7">
      <c r="A38" s="332" t="s">
        <v>251</v>
      </c>
      <c r="B38" s="321" t="s">
        <v>2657</v>
      </c>
      <c r="C38" s="322">
        <v>0.097</v>
      </c>
      <c r="D38" s="322">
        <v>0.077</v>
      </c>
      <c r="E38" s="322">
        <v>0.07</v>
      </c>
      <c r="F38" s="322">
        <v>0.1</v>
      </c>
      <c r="G38" s="323">
        <v>0.077</v>
      </c>
    </row>
    <row r="39" spans="1:7">
      <c r="A39" s="332" t="s">
        <v>251</v>
      </c>
      <c r="B39" s="321" t="s">
        <v>2667</v>
      </c>
      <c r="C39" s="322">
        <v>0.095</v>
      </c>
      <c r="D39" s="322">
        <v>0.077</v>
      </c>
      <c r="E39" s="322">
        <v>0.066</v>
      </c>
      <c r="F39" s="322">
        <v>0.1</v>
      </c>
      <c r="G39" s="323">
        <v>0.086</v>
      </c>
    </row>
    <row r="40" spans="1:7">
      <c r="A40" s="332" t="s">
        <v>251</v>
      </c>
      <c r="B40" s="321" t="s">
        <v>2677</v>
      </c>
      <c r="C40" s="322">
        <v>0.077</v>
      </c>
      <c r="D40" s="322">
        <v>0.078</v>
      </c>
      <c r="E40" s="322">
        <v>0.082</v>
      </c>
      <c r="F40" s="333"/>
      <c r="G40" s="323">
        <v>0.078</v>
      </c>
    </row>
    <row r="41" spans="1:7">
      <c r="A41" s="332" t="s">
        <v>251</v>
      </c>
      <c r="B41" s="321" t="s">
        <v>2687</v>
      </c>
      <c r="C41" s="322">
        <v>0.078</v>
      </c>
      <c r="D41" s="322">
        <v>0.078</v>
      </c>
      <c r="E41" s="322">
        <v>0.082</v>
      </c>
      <c r="F41" s="333"/>
      <c r="G41" s="323">
        <v>0.086</v>
      </c>
    </row>
    <row r="42" spans="1:7">
      <c r="A42" s="332" t="s">
        <v>251</v>
      </c>
      <c r="B42" s="321" t="s">
        <v>2697</v>
      </c>
      <c r="C42" s="322">
        <v>0.078</v>
      </c>
      <c r="D42" s="322">
        <v>0.096</v>
      </c>
      <c r="E42" s="322">
        <v>0.072</v>
      </c>
      <c r="F42" s="333"/>
      <c r="G42" s="323">
        <v>0.098</v>
      </c>
    </row>
    <row r="43" spans="1:7">
      <c r="A43" s="332" t="s">
        <v>251</v>
      </c>
      <c r="B43" s="321" t="s">
        <v>2707</v>
      </c>
      <c r="C43" s="322">
        <v>0.078</v>
      </c>
      <c r="D43" s="322">
        <v>0.099</v>
      </c>
      <c r="E43" s="322">
        <v>0.096</v>
      </c>
      <c r="F43" s="333"/>
      <c r="G43" s="323">
        <v>0.1</v>
      </c>
    </row>
    <row r="44" spans="1:7">
      <c r="A44" s="332" t="s">
        <v>251</v>
      </c>
      <c r="B44" s="321" t="s">
        <v>2717</v>
      </c>
      <c r="C44" s="322">
        <v>0.096</v>
      </c>
      <c r="D44" s="322">
        <v>0.1</v>
      </c>
      <c r="E44" s="322">
        <v>0.098</v>
      </c>
      <c r="F44" s="333"/>
      <c r="G44" s="323">
        <v>0.1</v>
      </c>
    </row>
    <row r="45" spans="1:7">
      <c r="A45" s="332" t="s">
        <v>251</v>
      </c>
      <c r="B45" s="321" t="s">
        <v>2727</v>
      </c>
      <c r="C45" s="322">
        <v>0.099</v>
      </c>
      <c r="D45" s="322">
        <v>0.098</v>
      </c>
      <c r="E45" s="322">
        <v>0.095</v>
      </c>
      <c r="F45" s="333"/>
      <c r="G45" s="323">
        <v>0.098</v>
      </c>
    </row>
    <row r="46" spans="1:7">
      <c r="A46" s="332" t="s">
        <v>251</v>
      </c>
      <c r="B46" s="321" t="s">
        <v>2737</v>
      </c>
      <c r="C46" s="322">
        <v>0.1</v>
      </c>
      <c r="D46" s="322">
        <v>0.099</v>
      </c>
      <c r="E46" s="322">
        <v>0.096</v>
      </c>
      <c r="F46" s="333"/>
      <c r="G46" s="323">
        <v>0.1</v>
      </c>
    </row>
    <row r="47" spans="1:7">
      <c r="A47" s="332" t="s">
        <v>251</v>
      </c>
      <c r="B47" s="321" t="s">
        <v>2747</v>
      </c>
      <c r="C47" s="322">
        <v>0.098</v>
      </c>
      <c r="D47" s="322">
        <v>0.087</v>
      </c>
      <c r="E47" s="322">
        <v>0.059</v>
      </c>
      <c r="F47" s="333"/>
      <c r="G47" s="323">
        <v>0.096</v>
      </c>
    </row>
    <row r="48" spans="1:7">
      <c r="A48" s="332" t="s">
        <v>251</v>
      </c>
      <c r="B48" s="321" t="s">
        <v>2757</v>
      </c>
      <c r="C48" s="322">
        <v>0.099</v>
      </c>
      <c r="D48" s="322">
        <v>0.098</v>
      </c>
      <c r="E48" s="322">
        <v>0.095</v>
      </c>
      <c r="F48" s="333"/>
      <c r="G48" s="323">
        <v>0.098</v>
      </c>
    </row>
    <row r="49" spans="1:7">
      <c r="A49" s="332" t="s">
        <v>251</v>
      </c>
      <c r="B49" s="321" t="s">
        <v>2767</v>
      </c>
      <c r="C49" s="322">
        <v>0.088</v>
      </c>
      <c r="D49" s="322">
        <v>0.099</v>
      </c>
      <c r="E49" s="322">
        <v>0.07</v>
      </c>
      <c r="F49" s="333"/>
      <c r="G49" s="323">
        <v>0.1</v>
      </c>
    </row>
    <row r="50" spans="1:7">
      <c r="A50" s="332" t="s">
        <v>251</v>
      </c>
      <c r="B50" s="321" t="s">
        <v>2776</v>
      </c>
      <c r="C50" s="322">
        <v>0.098</v>
      </c>
      <c r="D50" s="322">
        <v>0.073</v>
      </c>
      <c r="E50" s="322">
        <v>0.071</v>
      </c>
      <c r="F50" s="333"/>
      <c r="G50" s="323">
        <v>0.073</v>
      </c>
    </row>
    <row r="51" spans="1:7">
      <c r="A51" s="332" t="s">
        <v>251</v>
      </c>
      <c r="B51" s="321" t="s">
        <v>2784</v>
      </c>
      <c r="C51" s="322">
        <v>0.099</v>
      </c>
      <c r="D51" s="322">
        <v>0.085</v>
      </c>
      <c r="E51" s="322">
        <v>0.063</v>
      </c>
      <c r="F51" s="333"/>
      <c r="G51" s="323">
        <v>0.096</v>
      </c>
    </row>
    <row r="52" spans="1:7">
      <c r="A52" s="332" t="s">
        <v>251</v>
      </c>
      <c r="B52" s="321" t="s">
        <v>2792</v>
      </c>
      <c r="C52" s="322">
        <v>0.074</v>
      </c>
      <c r="D52" s="322">
        <v>0.096</v>
      </c>
      <c r="E52" s="322">
        <v>0.05</v>
      </c>
      <c r="F52" s="333"/>
      <c r="G52" s="323">
        <v>0.098</v>
      </c>
    </row>
    <row r="53" spans="1:7">
      <c r="A53" s="332" t="s">
        <v>251</v>
      </c>
      <c r="B53" s="321" t="s">
        <v>2800</v>
      </c>
      <c r="C53" s="322">
        <v>0.086</v>
      </c>
      <c r="D53" s="333"/>
      <c r="E53" s="322">
        <v>0.092</v>
      </c>
      <c r="F53" s="333"/>
      <c r="G53" s="334"/>
    </row>
    <row r="54" ht="14.75" spans="1:7">
      <c r="A54" s="335" t="s">
        <v>251</v>
      </c>
      <c r="B54" s="325" t="s">
        <v>2808</v>
      </c>
      <c r="C54" s="326">
        <v>0.096</v>
      </c>
      <c r="D54" s="327"/>
      <c r="E54" s="336"/>
      <c r="F54" s="327"/>
      <c r="G54" s="337"/>
    </row>
    <row r="55" spans="1:7">
      <c r="A55" s="331" t="s">
        <v>259</v>
      </c>
      <c r="B55" s="317" t="s">
        <v>2564</v>
      </c>
      <c r="C55" s="318">
        <v>0.096</v>
      </c>
      <c r="D55" s="318">
        <v>0.084</v>
      </c>
      <c r="E55" s="318">
        <v>0.092</v>
      </c>
      <c r="F55" s="318">
        <v>0.1</v>
      </c>
      <c r="G55" s="319">
        <v>0.095</v>
      </c>
    </row>
    <row r="56" spans="1:7">
      <c r="A56" s="332" t="s">
        <v>259</v>
      </c>
      <c r="B56" s="321" t="s">
        <v>2577</v>
      </c>
      <c r="C56" s="322">
        <v>0.084</v>
      </c>
      <c r="D56" s="322">
        <v>0.092</v>
      </c>
      <c r="E56" s="322">
        <v>0.095</v>
      </c>
      <c r="F56" s="322">
        <v>0.092</v>
      </c>
      <c r="G56" s="323">
        <v>0.096</v>
      </c>
    </row>
    <row r="57" spans="1:7">
      <c r="A57" s="332" t="s">
        <v>259</v>
      </c>
      <c r="B57" s="321" t="s">
        <v>2591</v>
      </c>
      <c r="C57" s="322">
        <v>0.099</v>
      </c>
      <c r="D57" s="322">
        <v>0.096</v>
      </c>
      <c r="E57" s="322">
        <v>0.092</v>
      </c>
      <c r="F57" s="322">
        <v>0.1</v>
      </c>
      <c r="G57" s="323">
        <v>0.098</v>
      </c>
    </row>
    <row r="58" spans="1:7">
      <c r="A58" s="332" t="s">
        <v>259</v>
      </c>
      <c r="B58" s="321" t="s">
        <v>2603</v>
      </c>
      <c r="C58" s="322">
        <v>0.098</v>
      </c>
      <c r="D58" s="322">
        <v>0.095</v>
      </c>
      <c r="E58" s="322">
        <v>0.057</v>
      </c>
      <c r="F58" s="322">
        <v>0.1</v>
      </c>
      <c r="G58" s="323">
        <v>0.096</v>
      </c>
    </row>
    <row r="59" spans="1:7">
      <c r="A59" s="332" t="s">
        <v>259</v>
      </c>
      <c r="B59" s="321" t="s">
        <v>2615</v>
      </c>
      <c r="C59" s="322">
        <v>0.095</v>
      </c>
      <c r="D59" s="322">
        <v>0.1</v>
      </c>
      <c r="E59" s="322">
        <v>0.075</v>
      </c>
      <c r="F59" s="322">
        <v>0.1</v>
      </c>
      <c r="G59" s="323">
        <v>0.1</v>
      </c>
    </row>
    <row r="60" spans="1:7">
      <c r="A60" s="332" t="s">
        <v>259</v>
      </c>
      <c r="B60" s="321" t="s">
        <v>2626</v>
      </c>
      <c r="C60" s="322">
        <v>0.1</v>
      </c>
      <c r="D60" s="322">
        <v>0.097</v>
      </c>
      <c r="E60" s="322">
        <v>0.1</v>
      </c>
      <c r="F60" s="322">
        <v>0.1</v>
      </c>
      <c r="G60" s="323">
        <v>0.097</v>
      </c>
    </row>
    <row r="61" spans="1:7">
      <c r="A61" s="332" t="s">
        <v>259</v>
      </c>
      <c r="B61" s="321" t="s">
        <v>2637</v>
      </c>
      <c r="C61" s="322">
        <v>0.097</v>
      </c>
      <c r="D61" s="322">
        <v>0.1</v>
      </c>
      <c r="E61" s="322">
        <v>0.093</v>
      </c>
      <c r="F61" s="322">
        <v>0.1</v>
      </c>
      <c r="G61" s="323">
        <v>0.1</v>
      </c>
    </row>
    <row r="62" spans="1:7">
      <c r="A62" s="332" t="s">
        <v>259</v>
      </c>
      <c r="B62" s="321" t="s">
        <v>2648</v>
      </c>
      <c r="C62" s="322">
        <v>0.1</v>
      </c>
      <c r="D62" s="322">
        <v>0.097</v>
      </c>
      <c r="E62" s="322">
        <v>0.089</v>
      </c>
      <c r="F62" s="322">
        <v>0.1</v>
      </c>
      <c r="G62" s="323">
        <v>0.098</v>
      </c>
    </row>
    <row r="63" spans="1:7">
      <c r="A63" s="332" t="s">
        <v>259</v>
      </c>
      <c r="B63" s="321" t="s">
        <v>2658</v>
      </c>
      <c r="C63" s="322">
        <v>0.097</v>
      </c>
      <c r="D63" s="322">
        <v>0.097</v>
      </c>
      <c r="E63" s="322">
        <v>0.099</v>
      </c>
      <c r="F63" s="322">
        <v>0.1</v>
      </c>
      <c r="G63" s="323">
        <v>0.097</v>
      </c>
    </row>
    <row r="64" spans="1:7">
      <c r="A64" s="332" t="s">
        <v>259</v>
      </c>
      <c r="B64" s="321" t="s">
        <v>2668</v>
      </c>
      <c r="C64" s="322">
        <v>0.097</v>
      </c>
      <c r="D64" s="322">
        <v>0.074</v>
      </c>
      <c r="E64" s="322">
        <v>0.078</v>
      </c>
      <c r="F64" s="322">
        <v>0.1</v>
      </c>
      <c r="G64" s="323">
        <v>0.089</v>
      </c>
    </row>
    <row r="65" spans="1:7">
      <c r="A65" s="332" t="s">
        <v>259</v>
      </c>
      <c r="B65" s="321" t="s">
        <v>2678</v>
      </c>
      <c r="C65" s="322">
        <v>0.073</v>
      </c>
      <c r="D65" s="322">
        <v>0.098</v>
      </c>
      <c r="E65" s="322">
        <v>0.095</v>
      </c>
      <c r="F65" s="322">
        <v>0.1</v>
      </c>
      <c r="G65" s="323">
        <v>0.099</v>
      </c>
    </row>
    <row r="66" spans="1:7">
      <c r="A66" s="332" t="s">
        <v>259</v>
      </c>
      <c r="B66" s="321" t="s">
        <v>2688</v>
      </c>
      <c r="C66" s="322">
        <v>0.098</v>
      </c>
      <c r="D66" s="322">
        <v>0.095</v>
      </c>
      <c r="E66" s="322">
        <v>0.05</v>
      </c>
      <c r="F66" s="322">
        <v>0.1</v>
      </c>
      <c r="G66" s="323">
        <v>0.097</v>
      </c>
    </row>
    <row r="67" spans="1:7">
      <c r="A67" s="332" t="s">
        <v>259</v>
      </c>
      <c r="B67" s="321" t="s">
        <v>2698</v>
      </c>
      <c r="C67" s="322">
        <v>0.095</v>
      </c>
      <c r="D67" s="322">
        <v>0.097</v>
      </c>
      <c r="E67" s="322">
        <v>0.097</v>
      </c>
      <c r="F67" s="322">
        <v>0.1</v>
      </c>
      <c r="G67" s="323">
        <v>0.099</v>
      </c>
    </row>
    <row r="68" spans="1:7">
      <c r="A68" s="332" t="s">
        <v>259</v>
      </c>
      <c r="B68" s="321" t="s">
        <v>2708</v>
      </c>
      <c r="C68" s="322">
        <v>0.097</v>
      </c>
      <c r="D68" s="322">
        <v>0.068</v>
      </c>
      <c r="E68" s="322">
        <v>0.066</v>
      </c>
      <c r="F68" s="322">
        <v>0.1</v>
      </c>
      <c r="G68" s="323">
        <v>0.084</v>
      </c>
    </row>
    <row r="69" spans="1:7">
      <c r="A69" s="332" t="s">
        <v>259</v>
      </c>
      <c r="B69" s="321" t="s">
        <v>2718</v>
      </c>
      <c r="C69" s="322">
        <v>0.068</v>
      </c>
      <c r="D69" s="322">
        <v>0.098</v>
      </c>
      <c r="E69" s="322">
        <v>0.095</v>
      </c>
      <c r="F69" s="322">
        <v>0.1</v>
      </c>
      <c r="G69" s="323">
        <v>0.1</v>
      </c>
    </row>
    <row r="70" spans="1:7">
      <c r="A70" s="332" t="s">
        <v>259</v>
      </c>
      <c r="B70" s="321" t="s">
        <v>2728</v>
      </c>
      <c r="C70" s="322">
        <v>0.098</v>
      </c>
      <c r="D70" s="322">
        <v>0.089</v>
      </c>
      <c r="E70" s="322">
        <v>0.059</v>
      </c>
      <c r="F70" s="322">
        <v>0.1</v>
      </c>
      <c r="G70" s="323">
        <v>0.096</v>
      </c>
    </row>
    <row r="71" spans="1:7">
      <c r="A71" s="332" t="s">
        <v>259</v>
      </c>
      <c r="B71" s="321" t="s">
        <v>2738</v>
      </c>
      <c r="C71" s="322">
        <v>0.089</v>
      </c>
      <c r="D71" s="322">
        <v>0.099</v>
      </c>
      <c r="E71" s="322">
        <v>0.096</v>
      </c>
      <c r="F71" s="322">
        <v>0.1</v>
      </c>
      <c r="G71" s="323">
        <v>0.1</v>
      </c>
    </row>
    <row r="72" spans="1:7">
      <c r="A72" s="332" t="s">
        <v>259</v>
      </c>
      <c r="B72" s="321" t="s">
        <v>2748</v>
      </c>
      <c r="C72" s="322">
        <v>0.099</v>
      </c>
      <c r="D72" s="322">
        <v>0.1</v>
      </c>
      <c r="E72" s="322">
        <v>0.07</v>
      </c>
      <c r="F72" s="333"/>
      <c r="G72" s="323">
        <v>0.1</v>
      </c>
    </row>
    <row r="73" spans="1:7">
      <c r="A73" s="332" t="s">
        <v>259</v>
      </c>
      <c r="B73" s="321" t="s">
        <v>2758</v>
      </c>
      <c r="C73" s="322">
        <v>0.1</v>
      </c>
      <c r="D73" s="322">
        <v>0.1</v>
      </c>
      <c r="E73" s="322">
        <v>0.096</v>
      </c>
      <c r="F73" s="333"/>
      <c r="G73" s="323">
        <v>0.1</v>
      </c>
    </row>
    <row r="74" spans="1:7">
      <c r="A74" s="332" t="s">
        <v>259</v>
      </c>
      <c r="B74" s="321" t="s">
        <v>2768</v>
      </c>
      <c r="C74" s="322">
        <v>0.1</v>
      </c>
      <c r="D74" s="322">
        <v>0.1</v>
      </c>
      <c r="E74" s="322">
        <v>0.098</v>
      </c>
      <c r="F74" s="333"/>
      <c r="G74" s="323">
        <v>0.1</v>
      </c>
    </row>
    <row r="75" spans="1:7">
      <c r="A75" s="332" t="s">
        <v>259</v>
      </c>
      <c r="B75" s="321" t="s">
        <v>2777</v>
      </c>
      <c r="C75" s="322">
        <v>0.1</v>
      </c>
      <c r="D75" s="322">
        <v>0.099</v>
      </c>
      <c r="E75" s="322">
        <v>0.098</v>
      </c>
      <c r="F75" s="333"/>
      <c r="G75" s="323">
        <v>0.1</v>
      </c>
    </row>
    <row r="76" spans="1:7">
      <c r="A76" s="332" t="s">
        <v>259</v>
      </c>
      <c r="B76" s="321" t="s">
        <v>2785</v>
      </c>
      <c r="C76" s="322">
        <v>0.099</v>
      </c>
      <c r="D76" s="322">
        <v>0.1</v>
      </c>
      <c r="E76" s="322">
        <v>0.097</v>
      </c>
      <c r="F76" s="333"/>
      <c r="G76" s="323">
        <v>0.1</v>
      </c>
    </row>
    <row r="77" spans="1:7">
      <c r="A77" s="332" t="s">
        <v>259</v>
      </c>
      <c r="B77" s="321" t="s">
        <v>2793</v>
      </c>
      <c r="C77" s="322">
        <v>0.1</v>
      </c>
      <c r="D77" s="322">
        <v>0.1</v>
      </c>
      <c r="E77" s="322">
        <v>0.096</v>
      </c>
      <c r="F77" s="333"/>
      <c r="G77" s="323">
        <v>0.1</v>
      </c>
    </row>
    <row r="78" spans="1:7">
      <c r="A78" s="332" t="s">
        <v>259</v>
      </c>
      <c r="B78" s="321" t="s">
        <v>2801</v>
      </c>
      <c r="C78" s="322">
        <v>0.1</v>
      </c>
      <c r="D78" s="322">
        <v>0.085</v>
      </c>
      <c r="E78" s="322">
        <v>0.096</v>
      </c>
      <c r="F78" s="333"/>
      <c r="G78" s="323">
        <v>0.096</v>
      </c>
    </row>
    <row r="79" spans="1:7">
      <c r="A79" s="332" t="s">
        <v>259</v>
      </c>
      <c r="B79" s="321" t="s">
        <v>2809</v>
      </c>
      <c r="C79" s="322">
        <v>0.05</v>
      </c>
      <c r="D79" s="322">
        <v>0.096</v>
      </c>
      <c r="E79" s="322">
        <v>0.095</v>
      </c>
      <c r="F79" s="333"/>
      <c r="G79" s="323">
        <v>0.098</v>
      </c>
    </row>
    <row r="80" spans="1:7">
      <c r="A80" s="332" t="s">
        <v>259</v>
      </c>
      <c r="B80" s="321" t="s">
        <v>2816</v>
      </c>
      <c r="C80" s="322">
        <v>0.086</v>
      </c>
      <c r="D80" s="338"/>
      <c r="E80" s="322">
        <v>0.1</v>
      </c>
      <c r="F80" s="333"/>
      <c r="G80" s="334"/>
    </row>
    <row r="81" spans="1:7">
      <c r="A81" s="332" t="s">
        <v>259</v>
      </c>
      <c r="B81" s="321" t="s">
        <v>2823</v>
      </c>
      <c r="C81" s="322">
        <v>0.096</v>
      </c>
      <c r="D81" s="333"/>
      <c r="E81" s="322">
        <v>0.098</v>
      </c>
      <c r="F81" s="333"/>
      <c r="G81" s="334"/>
    </row>
    <row r="82" spans="1:7">
      <c r="A82" s="332" t="s">
        <v>259</v>
      </c>
      <c r="B82" s="321" t="s">
        <v>2830</v>
      </c>
      <c r="C82" s="338"/>
      <c r="D82" s="333"/>
      <c r="E82" s="322">
        <v>0.077</v>
      </c>
      <c r="F82" s="333"/>
      <c r="G82" s="334"/>
    </row>
    <row r="83" spans="1:7">
      <c r="A83" s="332" t="s">
        <v>259</v>
      </c>
      <c r="B83" s="321" t="s">
        <v>2837</v>
      </c>
      <c r="C83" s="333"/>
      <c r="D83" s="333"/>
      <c r="E83" s="333"/>
      <c r="F83" s="322">
        <v>0.1</v>
      </c>
      <c r="G83" s="339"/>
    </row>
    <row r="84" spans="1:7">
      <c r="A84" s="332" t="s">
        <v>259</v>
      </c>
      <c r="B84" s="321" t="s">
        <v>2844</v>
      </c>
      <c r="C84" s="333"/>
      <c r="D84" s="333"/>
      <c r="E84" s="333"/>
      <c r="F84" s="322">
        <v>0.1</v>
      </c>
      <c r="G84" s="339"/>
    </row>
    <row r="85" spans="1:7">
      <c r="A85" s="332" t="s">
        <v>259</v>
      </c>
      <c r="B85" s="321" t="s">
        <v>2851</v>
      </c>
      <c r="C85" s="333"/>
      <c r="D85" s="333"/>
      <c r="E85" s="333"/>
      <c r="F85" s="322">
        <v>0.1</v>
      </c>
      <c r="G85" s="339"/>
    </row>
    <row r="86" ht="14.75" spans="1:7">
      <c r="A86" s="335" t="s">
        <v>259</v>
      </c>
      <c r="B86" s="325" t="s">
        <v>2858</v>
      </c>
      <c r="C86" s="326">
        <v>0.098</v>
      </c>
      <c r="D86" s="326">
        <v>0.098</v>
      </c>
      <c r="E86" s="326">
        <v>0.096</v>
      </c>
      <c r="F86" s="336"/>
      <c r="G86" s="328">
        <v>0.1</v>
      </c>
    </row>
    <row r="87" spans="1:7">
      <c r="A87" s="331" t="s">
        <v>267</v>
      </c>
      <c r="B87" s="317" t="s">
        <v>2565</v>
      </c>
      <c r="C87" s="318">
        <v>0.1</v>
      </c>
      <c r="D87" s="318">
        <v>0.1</v>
      </c>
      <c r="E87" s="318">
        <v>0.098</v>
      </c>
      <c r="F87" s="318">
        <v>0.1</v>
      </c>
      <c r="G87" s="319">
        <v>0.1</v>
      </c>
    </row>
    <row r="88" spans="1:7">
      <c r="A88" s="332" t="s">
        <v>267</v>
      </c>
      <c r="B88" s="321" t="s">
        <v>2578</v>
      </c>
      <c r="C88" s="322">
        <v>0.091</v>
      </c>
      <c r="D88" s="322">
        <v>0.092</v>
      </c>
      <c r="E88" s="322">
        <v>0.1</v>
      </c>
      <c r="F88" s="322">
        <v>0.1</v>
      </c>
      <c r="G88" s="323">
        <v>0.096</v>
      </c>
    </row>
    <row r="89" spans="1:7">
      <c r="A89" s="332" t="s">
        <v>267</v>
      </c>
      <c r="B89" s="321" t="s">
        <v>2592</v>
      </c>
      <c r="C89" s="322">
        <v>0.1</v>
      </c>
      <c r="D89" s="322">
        <v>0.1</v>
      </c>
      <c r="E89" s="322">
        <v>0.067</v>
      </c>
      <c r="F89" s="322">
        <v>0.093</v>
      </c>
      <c r="G89" s="323">
        <v>0.1</v>
      </c>
    </row>
    <row r="90" spans="1:7">
      <c r="A90" s="332" t="s">
        <v>267</v>
      </c>
      <c r="B90" s="321" t="s">
        <v>2604</v>
      </c>
      <c r="C90" s="322">
        <v>0.096</v>
      </c>
      <c r="D90" s="322">
        <v>0.096</v>
      </c>
      <c r="E90" s="322">
        <v>0.1</v>
      </c>
      <c r="F90" s="322">
        <v>0.1</v>
      </c>
      <c r="G90" s="323">
        <v>0.098</v>
      </c>
    </row>
    <row r="91" spans="1:7">
      <c r="A91" s="332" t="s">
        <v>267</v>
      </c>
      <c r="B91" s="321" t="s">
        <v>2616</v>
      </c>
      <c r="C91" s="322">
        <v>0.077</v>
      </c>
      <c r="D91" s="322">
        <v>0.077</v>
      </c>
      <c r="E91" s="322">
        <v>0.096</v>
      </c>
      <c r="F91" s="322">
        <v>0.1</v>
      </c>
      <c r="G91" s="323">
        <v>0.077</v>
      </c>
    </row>
    <row r="92" spans="1:7">
      <c r="A92" s="332" t="s">
        <v>267</v>
      </c>
      <c r="B92" s="321" t="s">
        <v>2627</v>
      </c>
      <c r="C92" s="322">
        <v>0.1</v>
      </c>
      <c r="D92" s="322">
        <v>0.1</v>
      </c>
      <c r="E92" s="322">
        <v>0.092</v>
      </c>
      <c r="F92" s="322">
        <v>0.1</v>
      </c>
      <c r="G92" s="323">
        <v>0.1</v>
      </c>
    </row>
    <row r="93" spans="1:7">
      <c r="A93" s="332" t="s">
        <v>267</v>
      </c>
      <c r="B93" s="321" t="s">
        <v>2638</v>
      </c>
      <c r="C93" s="322">
        <v>0.098</v>
      </c>
      <c r="D93" s="322">
        <v>0.098</v>
      </c>
      <c r="E93" s="322">
        <v>0.096</v>
      </c>
      <c r="F93" s="322">
        <v>0.1</v>
      </c>
      <c r="G93" s="323">
        <v>0.099</v>
      </c>
    </row>
    <row r="94" spans="1:7">
      <c r="A94" s="332" t="s">
        <v>267</v>
      </c>
      <c r="B94" s="321" t="s">
        <v>2649</v>
      </c>
      <c r="C94" s="322">
        <v>0.088</v>
      </c>
      <c r="D94" s="322">
        <v>0.088</v>
      </c>
      <c r="E94" s="322">
        <v>0.096</v>
      </c>
      <c r="F94" s="322">
        <v>0.1</v>
      </c>
      <c r="G94" s="323">
        <v>0.088</v>
      </c>
    </row>
    <row r="95" spans="1:7">
      <c r="A95" s="332" t="s">
        <v>267</v>
      </c>
      <c r="B95" s="321" t="s">
        <v>2659</v>
      </c>
      <c r="C95" s="322">
        <v>0.096</v>
      </c>
      <c r="D95" s="322">
        <v>0.096</v>
      </c>
      <c r="E95" s="322">
        <v>0.1</v>
      </c>
      <c r="F95" s="322">
        <v>0.1</v>
      </c>
      <c r="G95" s="323">
        <v>0.098</v>
      </c>
    </row>
    <row r="96" spans="1:7">
      <c r="A96" s="332" t="s">
        <v>267</v>
      </c>
      <c r="B96" s="321" t="s">
        <v>2669</v>
      </c>
      <c r="C96" s="322">
        <v>0.097</v>
      </c>
      <c r="D96" s="322">
        <v>0.097</v>
      </c>
      <c r="E96" s="322">
        <v>0.1</v>
      </c>
      <c r="F96" s="322">
        <v>0.1</v>
      </c>
      <c r="G96" s="323">
        <v>0.098</v>
      </c>
    </row>
    <row r="97" spans="1:7">
      <c r="A97" s="332" t="s">
        <v>267</v>
      </c>
      <c r="B97" s="321" t="s">
        <v>2679</v>
      </c>
      <c r="C97" s="322">
        <v>0.096</v>
      </c>
      <c r="D97" s="322">
        <v>0.096</v>
      </c>
      <c r="E97" s="322">
        <v>0.099</v>
      </c>
      <c r="F97" s="322">
        <v>0.1</v>
      </c>
      <c r="G97" s="323">
        <v>0.098</v>
      </c>
    </row>
    <row r="98" spans="1:7">
      <c r="A98" s="332" t="s">
        <v>267</v>
      </c>
      <c r="B98" s="321" t="s">
        <v>2689</v>
      </c>
      <c r="C98" s="322">
        <v>0.098</v>
      </c>
      <c r="D98" s="322">
        <v>0.098</v>
      </c>
      <c r="E98" s="322">
        <v>0.1</v>
      </c>
      <c r="F98" s="322">
        <v>0.1</v>
      </c>
      <c r="G98" s="323">
        <v>0.099</v>
      </c>
    </row>
    <row r="99" spans="1:7">
      <c r="A99" s="332" t="s">
        <v>267</v>
      </c>
      <c r="B99" s="321" t="s">
        <v>2699</v>
      </c>
      <c r="C99" s="322">
        <v>0.096</v>
      </c>
      <c r="D99" s="322">
        <v>0.096</v>
      </c>
      <c r="E99" s="322">
        <v>0.1</v>
      </c>
      <c r="F99" s="322">
        <v>0.1</v>
      </c>
      <c r="G99" s="323">
        <v>0.097</v>
      </c>
    </row>
    <row r="100" spans="1:7">
      <c r="A100" s="332" t="s">
        <v>267</v>
      </c>
      <c r="B100" s="321" t="s">
        <v>2709</v>
      </c>
      <c r="C100" s="322">
        <v>0.1</v>
      </c>
      <c r="D100" s="322">
        <v>0.1</v>
      </c>
      <c r="E100" s="322">
        <v>0.097</v>
      </c>
      <c r="F100" s="322">
        <v>0.098</v>
      </c>
      <c r="G100" s="323">
        <v>0.1</v>
      </c>
    </row>
    <row r="101" spans="1:7">
      <c r="A101" s="332" t="s">
        <v>267</v>
      </c>
      <c r="B101" s="321" t="s">
        <v>2719</v>
      </c>
      <c r="C101" s="322">
        <v>0.1</v>
      </c>
      <c r="D101" s="322">
        <v>0.1</v>
      </c>
      <c r="E101" s="322">
        <v>0.095</v>
      </c>
      <c r="F101" s="322">
        <v>0.1</v>
      </c>
      <c r="G101" s="323">
        <v>0.1</v>
      </c>
    </row>
    <row r="102" spans="1:7">
      <c r="A102" s="332" t="s">
        <v>267</v>
      </c>
      <c r="B102" s="321" t="s">
        <v>2729</v>
      </c>
      <c r="C102" s="322">
        <v>0.1</v>
      </c>
      <c r="D102" s="322">
        <v>0.1</v>
      </c>
      <c r="E102" s="322">
        <v>0.099</v>
      </c>
      <c r="F102" s="322">
        <v>0.097</v>
      </c>
      <c r="G102" s="323">
        <v>0.1</v>
      </c>
    </row>
    <row r="103" spans="1:7">
      <c r="A103" s="332" t="s">
        <v>267</v>
      </c>
      <c r="B103" s="321" t="s">
        <v>2739</v>
      </c>
      <c r="C103" s="322">
        <v>0.1</v>
      </c>
      <c r="D103" s="322">
        <v>0.1</v>
      </c>
      <c r="E103" s="322">
        <v>0.098</v>
      </c>
      <c r="F103" s="322">
        <v>0.1</v>
      </c>
      <c r="G103" s="323">
        <v>0.1</v>
      </c>
    </row>
    <row r="104" spans="1:7">
      <c r="A104" s="332" t="s">
        <v>267</v>
      </c>
      <c r="B104" s="321" t="s">
        <v>2749</v>
      </c>
      <c r="C104" s="322">
        <v>0.1</v>
      </c>
      <c r="D104" s="322">
        <v>0.1</v>
      </c>
      <c r="E104" s="322">
        <v>0.098</v>
      </c>
      <c r="F104" s="322">
        <v>0.1</v>
      </c>
      <c r="G104" s="323">
        <v>0.1</v>
      </c>
    </row>
    <row r="105" spans="1:7">
      <c r="A105" s="332" t="s">
        <v>267</v>
      </c>
      <c r="B105" s="321" t="s">
        <v>2759</v>
      </c>
      <c r="C105" s="322">
        <v>0.098</v>
      </c>
      <c r="D105" s="322">
        <v>0.098</v>
      </c>
      <c r="E105" s="322">
        <v>0.098</v>
      </c>
      <c r="F105" s="322">
        <v>0.1</v>
      </c>
      <c r="G105" s="323">
        <v>0.099</v>
      </c>
    </row>
    <row r="106" spans="1:7">
      <c r="A106" s="332" t="s">
        <v>267</v>
      </c>
      <c r="B106" s="321" t="s">
        <v>2769</v>
      </c>
      <c r="C106" s="322">
        <v>0.097</v>
      </c>
      <c r="D106" s="322">
        <v>0.097</v>
      </c>
      <c r="E106" s="322">
        <v>0.097</v>
      </c>
      <c r="F106" s="322">
        <v>0.1</v>
      </c>
      <c r="G106" s="323">
        <v>0.099</v>
      </c>
    </row>
    <row r="107" spans="1:7">
      <c r="A107" s="332" t="s">
        <v>267</v>
      </c>
      <c r="B107" s="321" t="s">
        <v>2778</v>
      </c>
      <c r="C107" s="322">
        <v>0.1</v>
      </c>
      <c r="D107" s="322">
        <v>0.1</v>
      </c>
      <c r="E107" s="322">
        <v>0.086</v>
      </c>
      <c r="F107" s="322">
        <v>0.09</v>
      </c>
      <c r="G107" s="323">
        <v>0.1</v>
      </c>
    </row>
    <row r="108" spans="1:7">
      <c r="A108" s="332" t="s">
        <v>267</v>
      </c>
      <c r="B108" s="321" t="s">
        <v>2786</v>
      </c>
      <c r="C108" s="322">
        <v>0.1</v>
      </c>
      <c r="D108" s="322">
        <v>0.1</v>
      </c>
      <c r="E108" s="322">
        <v>0.096</v>
      </c>
      <c r="F108" s="333"/>
      <c r="G108" s="323">
        <v>0.1</v>
      </c>
    </row>
    <row r="109" spans="1:7">
      <c r="A109" s="332" t="s">
        <v>267</v>
      </c>
      <c r="B109" s="321" t="s">
        <v>2794</v>
      </c>
      <c r="C109" s="322">
        <v>0.1</v>
      </c>
      <c r="D109" s="322">
        <v>0.1</v>
      </c>
      <c r="E109" s="322">
        <v>0.1</v>
      </c>
      <c r="F109" s="333"/>
      <c r="G109" s="323">
        <v>0.1</v>
      </c>
    </row>
    <row r="110" spans="1:7">
      <c r="A110" s="332" t="s">
        <v>267</v>
      </c>
      <c r="B110" s="321" t="s">
        <v>2802</v>
      </c>
      <c r="C110" s="322">
        <v>0.1</v>
      </c>
      <c r="D110" s="322">
        <v>0.1</v>
      </c>
      <c r="E110" s="322">
        <v>0.1</v>
      </c>
      <c r="F110" s="333"/>
      <c r="G110" s="323">
        <v>0.1</v>
      </c>
    </row>
    <row r="111" spans="1:7">
      <c r="A111" s="332" t="s">
        <v>267</v>
      </c>
      <c r="B111" s="321" t="s">
        <v>2810</v>
      </c>
      <c r="C111" s="322">
        <v>0.1</v>
      </c>
      <c r="D111" s="322">
        <v>0.1</v>
      </c>
      <c r="E111" s="322">
        <v>0.095</v>
      </c>
      <c r="F111" s="333"/>
      <c r="G111" s="323">
        <v>0.1</v>
      </c>
    </row>
    <row r="112" spans="1:7">
      <c r="A112" s="332" t="s">
        <v>267</v>
      </c>
      <c r="B112" s="321" t="s">
        <v>2817</v>
      </c>
      <c r="C112" s="322">
        <v>0.097</v>
      </c>
      <c r="D112" s="322">
        <v>0.097</v>
      </c>
      <c r="E112" s="322">
        <v>0.05</v>
      </c>
      <c r="F112" s="333"/>
      <c r="G112" s="323">
        <v>0.098</v>
      </c>
    </row>
    <row r="113" spans="1:7">
      <c r="A113" s="332" t="s">
        <v>267</v>
      </c>
      <c r="B113" s="321" t="s">
        <v>2824</v>
      </c>
      <c r="C113" s="322">
        <v>0.1</v>
      </c>
      <c r="D113" s="322">
        <v>0.1</v>
      </c>
      <c r="E113" s="333"/>
      <c r="F113" s="333"/>
      <c r="G113" s="323">
        <v>0.1</v>
      </c>
    </row>
    <row r="114" spans="1:7">
      <c r="A114" s="332" t="s">
        <v>267</v>
      </c>
      <c r="B114" s="321" t="s">
        <v>2831</v>
      </c>
      <c r="C114" s="322">
        <v>0.097</v>
      </c>
      <c r="D114" s="322">
        <v>0.097</v>
      </c>
      <c r="E114" s="333"/>
      <c r="F114" s="333"/>
      <c r="G114" s="323">
        <v>0.099</v>
      </c>
    </row>
    <row r="115" spans="1:7">
      <c r="A115" s="332" t="s">
        <v>267</v>
      </c>
      <c r="B115" s="321" t="s">
        <v>2838</v>
      </c>
      <c r="C115" s="322">
        <v>0.1</v>
      </c>
      <c r="D115" s="322">
        <v>0.1</v>
      </c>
      <c r="E115" s="333"/>
      <c r="F115" s="333"/>
      <c r="G115" s="323">
        <v>0.1</v>
      </c>
    </row>
    <row r="116" spans="1:7">
      <c r="A116" s="332" t="s">
        <v>267</v>
      </c>
      <c r="B116" s="321" t="s">
        <v>2845</v>
      </c>
      <c r="C116" s="322">
        <v>0.1</v>
      </c>
      <c r="D116" s="322">
        <v>0.1</v>
      </c>
      <c r="E116" s="333"/>
      <c r="F116" s="333"/>
      <c r="G116" s="323">
        <v>0.1</v>
      </c>
    </row>
    <row r="117" spans="1:7">
      <c r="A117" s="332" t="s">
        <v>267</v>
      </c>
      <c r="B117" s="321" t="s">
        <v>2852</v>
      </c>
      <c r="C117" s="322">
        <v>0.097</v>
      </c>
      <c r="D117" s="322">
        <v>0.097</v>
      </c>
      <c r="E117" s="333"/>
      <c r="F117" s="333"/>
      <c r="G117" s="323">
        <v>0.097</v>
      </c>
    </row>
    <row r="118" spans="1:7">
      <c r="A118" s="332" t="s">
        <v>267</v>
      </c>
      <c r="B118" s="321" t="s">
        <v>2859</v>
      </c>
      <c r="C118" s="322">
        <v>0.1</v>
      </c>
      <c r="D118" s="322">
        <v>0.1</v>
      </c>
      <c r="E118" s="333"/>
      <c r="F118" s="333"/>
      <c r="G118" s="323">
        <v>0.1</v>
      </c>
    </row>
    <row r="119" spans="1:7">
      <c r="A119" s="332" t="s">
        <v>267</v>
      </c>
      <c r="B119" s="321" t="s">
        <v>2864</v>
      </c>
      <c r="C119" s="322">
        <v>0.051</v>
      </c>
      <c r="D119" s="322">
        <v>0.052</v>
      </c>
      <c r="E119" s="333"/>
      <c r="F119" s="338"/>
      <c r="G119" s="323">
        <v>0.06</v>
      </c>
    </row>
    <row r="120" spans="1:7">
      <c r="A120" s="332" t="s">
        <v>267</v>
      </c>
      <c r="B120" s="321" t="s">
        <v>2869</v>
      </c>
      <c r="C120" s="333"/>
      <c r="D120" s="333"/>
      <c r="E120" s="333"/>
      <c r="F120" s="322">
        <v>0.1</v>
      </c>
      <c r="G120" s="339"/>
    </row>
    <row r="121" spans="1:7">
      <c r="A121" s="332" t="s">
        <v>267</v>
      </c>
      <c r="B121" s="321" t="s">
        <v>2874</v>
      </c>
      <c r="C121" s="333"/>
      <c r="D121" s="333"/>
      <c r="E121" s="333"/>
      <c r="F121" s="322">
        <v>0.1</v>
      </c>
      <c r="G121" s="339"/>
    </row>
    <row r="122" spans="1:7">
      <c r="A122" s="332" t="s">
        <v>267</v>
      </c>
      <c r="B122" s="321" t="s">
        <v>2879</v>
      </c>
      <c r="C122" s="322">
        <v>0.1</v>
      </c>
      <c r="D122" s="322">
        <v>0.1</v>
      </c>
      <c r="E122" s="322">
        <v>0.098</v>
      </c>
      <c r="F122" s="322">
        <v>0.1</v>
      </c>
      <c r="G122" s="323">
        <v>0.1</v>
      </c>
    </row>
    <row r="123" spans="1:7">
      <c r="A123" s="332" t="s">
        <v>267</v>
      </c>
      <c r="B123" s="321" t="s">
        <v>2884</v>
      </c>
      <c r="C123" s="322">
        <v>0.1</v>
      </c>
      <c r="D123" s="322">
        <v>0.1</v>
      </c>
      <c r="E123" s="322">
        <v>0.098</v>
      </c>
      <c r="F123" s="322">
        <v>0.1</v>
      </c>
      <c r="G123" s="323">
        <v>0.1</v>
      </c>
    </row>
    <row r="124" spans="1:7">
      <c r="A124" s="332" t="s">
        <v>267</v>
      </c>
      <c r="B124" s="321" t="s">
        <v>2889</v>
      </c>
      <c r="C124" s="322">
        <v>0.1</v>
      </c>
      <c r="D124" s="322">
        <v>0.1</v>
      </c>
      <c r="E124" s="322">
        <v>0.098</v>
      </c>
      <c r="F124" s="338"/>
      <c r="G124" s="323">
        <v>0.1</v>
      </c>
    </row>
    <row r="125" spans="1:7">
      <c r="A125" s="332" t="s">
        <v>267</v>
      </c>
      <c r="B125" s="321" t="s">
        <v>2894</v>
      </c>
      <c r="C125" s="322">
        <v>0.098</v>
      </c>
      <c r="D125" s="322">
        <v>0.098</v>
      </c>
      <c r="E125" s="322">
        <v>0.096</v>
      </c>
      <c r="F125" s="338"/>
      <c r="G125" s="323">
        <v>0.1</v>
      </c>
    </row>
    <row r="126" ht="14.75" spans="1:7">
      <c r="A126" s="335" t="s">
        <v>267</v>
      </c>
      <c r="B126" s="325" t="s">
        <v>2899</v>
      </c>
      <c r="C126" s="326">
        <v>0.1</v>
      </c>
      <c r="D126" s="326">
        <v>0.1</v>
      </c>
      <c r="E126" s="326">
        <v>0.098</v>
      </c>
      <c r="F126" s="326">
        <v>0.1</v>
      </c>
      <c r="G126" s="328">
        <v>0.1</v>
      </c>
    </row>
    <row r="127" spans="1:7">
      <c r="A127" s="331" t="s">
        <v>273</v>
      </c>
      <c r="B127" s="317" t="s">
        <v>2566</v>
      </c>
      <c r="C127" s="318">
        <v>0.121</v>
      </c>
      <c r="D127" s="318">
        <v>0.121</v>
      </c>
      <c r="E127" s="318">
        <v>0.107</v>
      </c>
      <c r="F127" s="318">
        <v>0.13</v>
      </c>
      <c r="G127" s="319">
        <v>0.122</v>
      </c>
    </row>
    <row r="128" spans="1:7">
      <c r="A128" s="332" t="s">
        <v>273</v>
      </c>
      <c r="B128" s="321" t="s">
        <v>2579</v>
      </c>
      <c r="C128" s="322">
        <v>0.116</v>
      </c>
      <c r="D128" s="322">
        <v>0.117</v>
      </c>
      <c r="E128" s="322">
        <v>0.104</v>
      </c>
      <c r="F128" s="322">
        <v>0.13</v>
      </c>
      <c r="G128" s="323">
        <v>0.117</v>
      </c>
    </row>
    <row r="129" spans="1:7">
      <c r="A129" s="332" t="s">
        <v>273</v>
      </c>
      <c r="B129" s="321" t="s">
        <v>2593</v>
      </c>
      <c r="C129" s="322">
        <v>0.107</v>
      </c>
      <c r="D129" s="322">
        <v>0.108</v>
      </c>
      <c r="E129" s="322">
        <v>0.1</v>
      </c>
      <c r="F129" s="322">
        <v>0.13</v>
      </c>
      <c r="G129" s="323">
        <v>0.117</v>
      </c>
    </row>
    <row r="130" spans="1:7">
      <c r="A130" s="332" t="s">
        <v>273</v>
      </c>
      <c r="B130" s="321" t="s">
        <v>2605</v>
      </c>
      <c r="C130" s="322">
        <v>0.13</v>
      </c>
      <c r="D130" s="322">
        <v>0.13</v>
      </c>
      <c r="E130" s="322">
        <v>0.126</v>
      </c>
      <c r="F130" s="322">
        <v>0.13</v>
      </c>
      <c r="G130" s="323">
        <v>0.13</v>
      </c>
    </row>
    <row r="131" spans="1:7">
      <c r="A131" s="332" t="s">
        <v>273</v>
      </c>
      <c r="B131" s="321" t="s">
        <v>2617</v>
      </c>
      <c r="C131" s="322">
        <v>0.13</v>
      </c>
      <c r="D131" s="322">
        <v>0.13</v>
      </c>
      <c r="E131" s="322">
        <v>0.13</v>
      </c>
      <c r="F131" s="322">
        <v>0.13</v>
      </c>
      <c r="G131" s="323">
        <v>0.13</v>
      </c>
    </row>
    <row r="132" spans="1:7">
      <c r="A132" s="332" t="s">
        <v>273</v>
      </c>
      <c r="B132" s="321" t="s">
        <v>2628</v>
      </c>
      <c r="C132" s="322">
        <v>0.13</v>
      </c>
      <c r="D132" s="322">
        <v>0.13</v>
      </c>
      <c r="E132" s="322">
        <v>0.126</v>
      </c>
      <c r="F132" s="322">
        <v>0.13</v>
      </c>
      <c r="G132" s="323">
        <v>0.13</v>
      </c>
    </row>
    <row r="133" spans="1:7">
      <c r="A133" s="332" t="s">
        <v>273</v>
      </c>
      <c r="B133" s="321" t="s">
        <v>2639</v>
      </c>
      <c r="C133" s="322">
        <v>0.111</v>
      </c>
      <c r="D133" s="322">
        <v>0.111</v>
      </c>
      <c r="E133" s="322">
        <v>0.102</v>
      </c>
      <c r="F133" s="322">
        <v>0.13</v>
      </c>
      <c r="G133" s="323">
        <v>0.121</v>
      </c>
    </row>
    <row r="134" spans="1:7">
      <c r="A134" s="332" t="s">
        <v>273</v>
      </c>
      <c r="B134" s="321" t="s">
        <v>2650</v>
      </c>
      <c r="C134" s="322">
        <v>0.121</v>
      </c>
      <c r="D134" s="322">
        <v>0.121</v>
      </c>
      <c r="E134" s="322">
        <v>0.1</v>
      </c>
      <c r="F134" s="322">
        <v>0.13</v>
      </c>
      <c r="G134" s="323">
        <v>0.123</v>
      </c>
    </row>
    <row r="135" spans="1:7">
      <c r="A135" s="332" t="s">
        <v>273</v>
      </c>
      <c r="B135" s="321" t="s">
        <v>2660</v>
      </c>
      <c r="C135" s="322">
        <v>0.105</v>
      </c>
      <c r="D135" s="322">
        <v>0.106</v>
      </c>
      <c r="E135" s="322">
        <v>0.1</v>
      </c>
      <c r="F135" s="322">
        <v>0.13</v>
      </c>
      <c r="G135" s="323">
        <v>0.115</v>
      </c>
    </row>
    <row r="136" spans="1:7">
      <c r="A136" s="332" t="s">
        <v>273</v>
      </c>
      <c r="B136" s="321" t="s">
        <v>2670</v>
      </c>
      <c r="C136" s="322">
        <v>0.127</v>
      </c>
      <c r="D136" s="322">
        <v>0.127</v>
      </c>
      <c r="E136" s="322">
        <v>0.121</v>
      </c>
      <c r="F136" s="322">
        <v>0.123</v>
      </c>
      <c r="G136" s="323">
        <v>0.129</v>
      </c>
    </row>
    <row r="137" spans="1:7">
      <c r="A137" s="332" t="s">
        <v>273</v>
      </c>
      <c r="B137" s="321" t="s">
        <v>2680</v>
      </c>
      <c r="C137" s="322">
        <v>0.13</v>
      </c>
      <c r="D137" s="322">
        <v>0.13</v>
      </c>
      <c r="E137" s="322">
        <v>0.129</v>
      </c>
      <c r="F137" s="322">
        <v>0.13</v>
      </c>
      <c r="G137" s="323">
        <v>0.13</v>
      </c>
    </row>
    <row r="138" spans="1:7">
      <c r="A138" s="332" t="s">
        <v>273</v>
      </c>
      <c r="B138" s="321" t="s">
        <v>2690</v>
      </c>
      <c r="C138" s="322">
        <v>0.13</v>
      </c>
      <c r="D138" s="322">
        <v>0.13</v>
      </c>
      <c r="E138" s="322">
        <v>0.125</v>
      </c>
      <c r="F138" s="322">
        <v>0.13</v>
      </c>
      <c r="G138" s="323">
        <v>0.13</v>
      </c>
    </row>
    <row r="139" spans="1:7">
      <c r="A139" s="332" t="s">
        <v>273</v>
      </c>
      <c r="B139" s="321" t="s">
        <v>2700</v>
      </c>
      <c r="C139" s="322">
        <v>0.13</v>
      </c>
      <c r="D139" s="322">
        <v>0.13</v>
      </c>
      <c r="E139" s="322">
        <v>0.126</v>
      </c>
      <c r="F139" s="322">
        <v>0.13</v>
      </c>
      <c r="G139" s="323">
        <v>0.13</v>
      </c>
    </row>
    <row r="140" spans="1:7">
      <c r="A140" s="332" t="s">
        <v>273</v>
      </c>
      <c r="B140" s="321" t="s">
        <v>2710</v>
      </c>
      <c r="C140" s="322">
        <v>0.1</v>
      </c>
      <c r="D140" s="322">
        <v>0.1</v>
      </c>
      <c r="E140" s="322">
        <v>0.1</v>
      </c>
      <c r="F140" s="322">
        <v>0.123</v>
      </c>
      <c r="G140" s="323">
        <v>0.107</v>
      </c>
    </row>
    <row r="141" spans="1:7">
      <c r="A141" s="332" t="s">
        <v>273</v>
      </c>
      <c r="B141" s="321" t="s">
        <v>2720</v>
      </c>
      <c r="C141" s="322">
        <v>0.127</v>
      </c>
      <c r="D141" s="322">
        <v>0.127</v>
      </c>
      <c r="E141" s="322">
        <v>0.122</v>
      </c>
      <c r="F141" s="322">
        <v>0.1</v>
      </c>
      <c r="G141" s="323">
        <v>0.129</v>
      </c>
    </row>
    <row r="142" spans="1:7">
      <c r="A142" s="332" t="s">
        <v>273</v>
      </c>
      <c r="B142" s="321" t="s">
        <v>2730</v>
      </c>
      <c r="C142" s="322">
        <v>0.121</v>
      </c>
      <c r="D142" s="322">
        <v>0.122</v>
      </c>
      <c r="E142" s="322">
        <v>0.1</v>
      </c>
      <c r="F142" s="322">
        <v>0.123</v>
      </c>
      <c r="G142" s="323">
        <v>0.123</v>
      </c>
    </row>
    <row r="143" spans="1:7">
      <c r="A143" s="332" t="s">
        <v>273</v>
      </c>
      <c r="B143" s="321" t="s">
        <v>2740</v>
      </c>
      <c r="C143" s="322">
        <v>0.1</v>
      </c>
      <c r="D143" s="322">
        <v>0.1</v>
      </c>
      <c r="E143" s="322">
        <v>0.1</v>
      </c>
      <c r="F143" s="322">
        <v>0.13</v>
      </c>
      <c r="G143" s="323">
        <v>0.1</v>
      </c>
    </row>
    <row r="144" spans="1:7">
      <c r="A144" s="332" t="s">
        <v>273</v>
      </c>
      <c r="B144" s="321" t="s">
        <v>2750</v>
      </c>
      <c r="C144" s="322">
        <v>0.106</v>
      </c>
      <c r="D144" s="322">
        <v>0.105</v>
      </c>
      <c r="E144" s="322">
        <v>0.1</v>
      </c>
      <c r="F144" s="322">
        <v>0.13</v>
      </c>
      <c r="G144" s="323">
        <v>0.118</v>
      </c>
    </row>
    <row r="145" spans="1:7">
      <c r="A145" s="332" t="s">
        <v>273</v>
      </c>
      <c r="B145" s="321" t="s">
        <v>2760</v>
      </c>
      <c r="C145" s="322">
        <v>0.123</v>
      </c>
      <c r="D145" s="322">
        <v>0.123</v>
      </c>
      <c r="E145" s="322">
        <v>0.117</v>
      </c>
      <c r="F145" s="322">
        <v>0.13</v>
      </c>
      <c r="G145" s="323">
        <v>0.126</v>
      </c>
    </row>
    <row r="146" spans="1:7">
      <c r="A146" s="332" t="s">
        <v>273</v>
      </c>
      <c r="B146" s="321" t="s">
        <v>2770</v>
      </c>
      <c r="C146" s="322">
        <v>0.127</v>
      </c>
      <c r="D146" s="322">
        <v>0.127</v>
      </c>
      <c r="E146" s="322">
        <v>0.12</v>
      </c>
      <c r="F146" s="333"/>
      <c r="G146" s="323">
        <v>0.129</v>
      </c>
    </row>
    <row r="147" spans="1:7">
      <c r="A147" s="332" t="s">
        <v>273</v>
      </c>
      <c r="B147" s="321" t="s">
        <v>2779</v>
      </c>
      <c r="C147" s="322">
        <v>0.13</v>
      </c>
      <c r="D147" s="322">
        <v>0.13</v>
      </c>
      <c r="E147" s="322">
        <v>0.126</v>
      </c>
      <c r="F147" s="333"/>
      <c r="G147" s="323">
        <v>0.13</v>
      </c>
    </row>
    <row r="148" spans="1:7">
      <c r="A148" s="332" t="s">
        <v>273</v>
      </c>
      <c r="B148" s="321" t="s">
        <v>2787</v>
      </c>
      <c r="C148" s="322">
        <v>0.13</v>
      </c>
      <c r="D148" s="322">
        <v>0.13</v>
      </c>
      <c r="E148" s="322">
        <v>0.13</v>
      </c>
      <c r="F148" s="333"/>
      <c r="G148" s="323">
        <v>0.13</v>
      </c>
    </row>
    <row r="149" spans="1:7">
      <c r="A149" s="332" t="s">
        <v>273</v>
      </c>
      <c r="B149" s="321" t="s">
        <v>2795</v>
      </c>
      <c r="C149" s="322">
        <v>0.13</v>
      </c>
      <c r="D149" s="322">
        <v>0.13</v>
      </c>
      <c r="E149" s="322">
        <v>0.13</v>
      </c>
      <c r="F149" s="322">
        <v>0.13</v>
      </c>
      <c r="G149" s="323">
        <v>0.13</v>
      </c>
    </row>
    <row r="150" spans="1:7">
      <c r="A150" s="332" t="s">
        <v>273</v>
      </c>
      <c r="B150" s="321" t="s">
        <v>2803</v>
      </c>
      <c r="C150" s="322">
        <v>0.13</v>
      </c>
      <c r="D150" s="322">
        <v>0.13</v>
      </c>
      <c r="E150" s="322">
        <v>0.127</v>
      </c>
      <c r="F150" s="322">
        <v>0.13</v>
      </c>
      <c r="G150" s="323">
        <v>0.13</v>
      </c>
    </row>
    <row r="151" spans="1:7">
      <c r="A151" s="332" t="s">
        <v>273</v>
      </c>
      <c r="B151" s="321" t="s">
        <v>2811</v>
      </c>
      <c r="C151" s="322">
        <v>0.13</v>
      </c>
      <c r="D151" s="322">
        <v>0.13</v>
      </c>
      <c r="E151" s="322">
        <v>0.13</v>
      </c>
      <c r="F151" s="322">
        <v>0.13</v>
      </c>
      <c r="G151" s="323">
        <v>0.13</v>
      </c>
    </row>
    <row r="152" spans="1:7">
      <c r="A152" s="332" t="s">
        <v>273</v>
      </c>
      <c r="B152" s="321" t="s">
        <v>2818</v>
      </c>
      <c r="C152" s="322">
        <v>0.13</v>
      </c>
      <c r="D152" s="322">
        <v>0.13</v>
      </c>
      <c r="E152" s="322">
        <v>0.13</v>
      </c>
      <c r="F152" s="322">
        <v>0.13</v>
      </c>
      <c r="G152" s="323">
        <v>0.13</v>
      </c>
    </row>
    <row r="153" spans="1:7">
      <c r="A153" s="332" t="s">
        <v>273</v>
      </c>
      <c r="B153" s="321" t="s">
        <v>2825</v>
      </c>
      <c r="C153" s="322">
        <v>0.13</v>
      </c>
      <c r="D153" s="322">
        <v>0.13</v>
      </c>
      <c r="E153" s="322">
        <v>0.13</v>
      </c>
      <c r="F153" s="322">
        <v>0.13</v>
      </c>
      <c r="G153" s="323">
        <v>0.13</v>
      </c>
    </row>
    <row r="154" spans="1:7">
      <c r="A154" s="332" t="s">
        <v>273</v>
      </c>
      <c r="B154" s="321" t="s">
        <v>2832</v>
      </c>
      <c r="C154" s="322">
        <v>0.121</v>
      </c>
      <c r="D154" s="322">
        <v>0.121</v>
      </c>
      <c r="E154" s="322">
        <v>0.105</v>
      </c>
      <c r="F154" s="322">
        <v>0.121</v>
      </c>
      <c r="G154" s="323">
        <v>0.123</v>
      </c>
    </row>
    <row r="155" spans="1:7">
      <c r="A155" s="332" t="s">
        <v>273</v>
      </c>
      <c r="B155" s="321" t="s">
        <v>2839</v>
      </c>
      <c r="C155" s="322">
        <v>0.1</v>
      </c>
      <c r="D155" s="322">
        <v>0.1</v>
      </c>
      <c r="E155" s="322">
        <v>0.1</v>
      </c>
      <c r="F155" s="322">
        <v>0.1</v>
      </c>
      <c r="G155" s="323">
        <v>0.1</v>
      </c>
    </row>
    <row r="156" spans="1:7">
      <c r="A156" s="332" t="s">
        <v>273</v>
      </c>
      <c r="B156" s="321" t="s">
        <v>2846</v>
      </c>
      <c r="C156" s="322">
        <v>0.13</v>
      </c>
      <c r="D156" s="322">
        <v>0.13</v>
      </c>
      <c r="E156" s="322">
        <v>0.13</v>
      </c>
      <c r="F156" s="322">
        <v>0.13</v>
      </c>
      <c r="G156" s="323">
        <v>0.13</v>
      </c>
    </row>
    <row r="157" spans="1:7">
      <c r="A157" s="332" t="s">
        <v>273</v>
      </c>
      <c r="B157" s="321" t="s">
        <v>2853</v>
      </c>
      <c r="C157" s="322">
        <v>0.13</v>
      </c>
      <c r="D157" s="322">
        <v>0.13</v>
      </c>
      <c r="E157" s="322">
        <v>0.125</v>
      </c>
      <c r="F157" s="322">
        <v>0.13</v>
      </c>
      <c r="G157" s="323">
        <v>0.13</v>
      </c>
    </row>
    <row r="158" spans="1:7">
      <c r="A158" s="332" t="s">
        <v>273</v>
      </c>
      <c r="B158" s="321" t="s">
        <v>2860</v>
      </c>
      <c r="C158" s="322">
        <v>0.124</v>
      </c>
      <c r="D158" s="322">
        <v>0.124</v>
      </c>
      <c r="E158" s="322">
        <v>0.117</v>
      </c>
      <c r="F158" s="322">
        <v>0.121</v>
      </c>
      <c r="G158" s="323">
        <v>0.124</v>
      </c>
    </row>
    <row r="159" spans="1:7">
      <c r="A159" s="332" t="s">
        <v>273</v>
      </c>
      <c r="B159" s="321" t="s">
        <v>2865</v>
      </c>
      <c r="C159" s="322">
        <v>0.127</v>
      </c>
      <c r="D159" s="322">
        <v>0.127</v>
      </c>
      <c r="E159" s="322">
        <v>0.122</v>
      </c>
      <c r="F159" s="322">
        <v>0.13</v>
      </c>
      <c r="G159" s="323">
        <v>0.129</v>
      </c>
    </row>
    <row r="160" spans="1:7">
      <c r="A160" s="332" t="s">
        <v>273</v>
      </c>
      <c r="B160" s="321" t="s">
        <v>2870</v>
      </c>
      <c r="C160" s="322">
        <v>0.13</v>
      </c>
      <c r="D160" s="322">
        <v>0.13</v>
      </c>
      <c r="E160" s="322">
        <v>0.124</v>
      </c>
      <c r="F160" s="322">
        <v>0.126</v>
      </c>
      <c r="G160" s="323">
        <v>0.13</v>
      </c>
    </row>
    <row r="161" spans="1:7">
      <c r="A161" s="332" t="s">
        <v>273</v>
      </c>
      <c r="B161" s="321" t="s">
        <v>2875</v>
      </c>
      <c r="C161" s="322">
        <v>0.13</v>
      </c>
      <c r="D161" s="322">
        <v>0.13</v>
      </c>
      <c r="E161" s="322">
        <v>0.124</v>
      </c>
      <c r="F161" s="322">
        <v>0.127</v>
      </c>
      <c r="G161" s="323">
        <v>0.13</v>
      </c>
    </row>
    <row r="162" spans="1:7">
      <c r="A162" s="332" t="s">
        <v>273</v>
      </c>
      <c r="B162" s="321" t="s">
        <v>2880</v>
      </c>
      <c r="C162" s="322">
        <v>0.1</v>
      </c>
      <c r="D162" s="322">
        <v>0.1</v>
      </c>
      <c r="E162" s="322">
        <v>0.1</v>
      </c>
      <c r="F162" s="322">
        <v>0.121</v>
      </c>
      <c r="G162" s="323">
        <v>0.105</v>
      </c>
    </row>
    <row r="163" spans="1:7">
      <c r="A163" s="332" t="s">
        <v>273</v>
      </c>
      <c r="B163" s="321" t="s">
        <v>2885</v>
      </c>
      <c r="C163" s="322">
        <v>0.1</v>
      </c>
      <c r="D163" s="322">
        <v>0.1</v>
      </c>
      <c r="E163" s="322">
        <v>0.1</v>
      </c>
      <c r="F163" s="322">
        <v>0.1</v>
      </c>
      <c r="G163" s="323">
        <v>0.1</v>
      </c>
    </row>
    <row r="164" spans="1:7">
      <c r="A164" s="332" t="s">
        <v>273</v>
      </c>
      <c r="B164" s="321" t="s">
        <v>2890</v>
      </c>
      <c r="C164" s="338"/>
      <c r="D164" s="338"/>
      <c r="E164" s="338"/>
      <c r="F164" s="322">
        <v>0.1</v>
      </c>
      <c r="G164" s="334"/>
    </row>
    <row r="165" spans="1:7">
      <c r="A165" s="332" t="s">
        <v>273</v>
      </c>
      <c r="B165" s="321" t="s">
        <v>2895</v>
      </c>
      <c r="C165" s="322">
        <v>0.126</v>
      </c>
      <c r="D165" s="322">
        <v>0.126</v>
      </c>
      <c r="E165" s="322">
        <v>0.119</v>
      </c>
      <c r="F165" s="322">
        <v>0.13</v>
      </c>
      <c r="G165" s="323">
        <v>0.128</v>
      </c>
    </row>
    <row r="166" spans="1:7">
      <c r="A166" s="332" t="s">
        <v>273</v>
      </c>
      <c r="B166" s="321" t="s">
        <v>2900</v>
      </c>
      <c r="C166" s="322">
        <v>0.129</v>
      </c>
      <c r="D166" s="322">
        <v>0.129</v>
      </c>
      <c r="E166" s="322">
        <v>0.123</v>
      </c>
      <c r="F166" s="322">
        <v>0.128</v>
      </c>
      <c r="G166" s="323">
        <v>0.13</v>
      </c>
    </row>
    <row r="167" spans="1:7">
      <c r="A167" s="332" t="s">
        <v>273</v>
      </c>
      <c r="B167" s="321" t="s">
        <v>2904</v>
      </c>
      <c r="C167" s="322">
        <v>0.125</v>
      </c>
      <c r="D167" s="322">
        <v>0.125</v>
      </c>
      <c r="E167" s="322">
        <v>0.117</v>
      </c>
      <c r="F167" s="322">
        <v>0.13</v>
      </c>
      <c r="G167" s="323">
        <v>0.126</v>
      </c>
    </row>
    <row r="168" spans="1:7">
      <c r="A168" s="332" t="s">
        <v>273</v>
      </c>
      <c r="B168" s="321" t="s">
        <v>2908</v>
      </c>
      <c r="C168" s="322">
        <v>0.128</v>
      </c>
      <c r="D168" s="322">
        <v>0.128</v>
      </c>
      <c r="E168" s="322">
        <v>0.123</v>
      </c>
      <c r="F168" s="333"/>
      <c r="G168" s="323">
        <v>0.13</v>
      </c>
    </row>
    <row r="169" spans="1:7">
      <c r="A169" s="332" t="s">
        <v>273</v>
      </c>
      <c r="B169" s="321" t="s">
        <v>2912</v>
      </c>
      <c r="C169" s="338"/>
      <c r="D169" s="338"/>
      <c r="E169" s="338"/>
      <c r="F169" s="322">
        <v>0.05</v>
      </c>
      <c r="G169" s="334"/>
    </row>
    <row r="170" spans="1:7">
      <c r="A170" s="332" t="s">
        <v>273</v>
      </c>
      <c r="B170" s="321" t="s">
        <v>2916</v>
      </c>
      <c r="C170" s="338"/>
      <c r="D170" s="338"/>
      <c r="E170" s="338"/>
      <c r="F170" s="322">
        <v>0.05</v>
      </c>
      <c r="G170" s="334"/>
    </row>
    <row r="171" spans="1:7">
      <c r="A171" s="332" t="s">
        <v>273</v>
      </c>
      <c r="B171" s="321" t="s">
        <v>2919</v>
      </c>
      <c r="C171" s="338"/>
      <c r="D171" s="338"/>
      <c r="E171" s="338"/>
      <c r="F171" s="322">
        <v>0.05</v>
      </c>
      <c r="G171" s="339"/>
    </row>
    <row r="172" spans="1:7">
      <c r="A172" s="332" t="s">
        <v>273</v>
      </c>
      <c r="B172" s="321" t="s">
        <v>2921</v>
      </c>
      <c r="C172" s="338"/>
      <c r="D172" s="338"/>
      <c r="E172" s="338"/>
      <c r="F172" s="322">
        <v>0.05</v>
      </c>
      <c r="G172" s="339"/>
    </row>
    <row r="173" spans="1:7">
      <c r="A173" s="332" t="s">
        <v>273</v>
      </c>
      <c r="B173" s="321" t="s">
        <v>2923</v>
      </c>
      <c r="C173" s="338"/>
      <c r="D173" s="338"/>
      <c r="E173" s="338"/>
      <c r="F173" s="322">
        <v>0.05</v>
      </c>
      <c r="G173" s="334"/>
    </row>
    <row r="174" spans="1:7">
      <c r="A174" s="332" t="s">
        <v>273</v>
      </c>
      <c r="B174" s="321" t="s">
        <v>2925</v>
      </c>
      <c r="C174" s="338"/>
      <c r="D174" s="338"/>
      <c r="E174" s="338"/>
      <c r="F174" s="322">
        <v>0.05</v>
      </c>
      <c r="G174" s="334"/>
    </row>
    <row r="175" spans="1:7">
      <c r="A175" s="332" t="s">
        <v>273</v>
      </c>
      <c r="B175" s="321" t="s">
        <v>2927</v>
      </c>
      <c r="C175" s="338"/>
      <c r="D175" s="338"/>
      <c r="E175" s="338"/>
      <c r="F175" s="322">
        <v>0.05</v>
      </c>
      <c r="G175" s="334"/>
    </row>
    <row r="176" spans="1:7">
      <c r="A176" s="332" t="s">
        <v>273</v>
      </c>
      <c r="B176" s="321" t="s">
        <v>2929</v>
      </c>
      <c r="C176" s="338"/>
      <c r="D176" s="338"/>
      <c r="E176" s="338"/>
      <c r="F176" s="322">
        <v>0.05</v>
      </c>
      <c r="G176" s="334"/>
    </row>
    <row r="177" spans="1:7">
      <c r="A177" s="332" t="s">
        <v>273</v>
      </c>
      <c r="B177" s="321" t="s">
        <v>2931</v>
      </c>
      <c r="C177" s="333"/>
      <c r="D177" s="333"/>
      <c r="E177" s="333"/>
      <c r="F177" s="322">
        <v>0.05</v>
      </c>
      <c r="G177" s="339"/>
    </row>
    <row r="178" spans="1:7">
      <c r="A178" s="332" t="s">
        <v>273</v>
      </c>
      <c r="B178" s="321" t="s">
        <v>2932</v>
      </c>
      <c r="C178" s="333"/>
      <c r="D178" s="333"/>
      <c r="E178" s="333"/>
      <c r="F178" s="322">
        <v>0.05</v>
      </c>
      <c r="G178" s="339"/>
    </row>
    <row r="179" spans="1:7">
      <c r="A179" s="332" t="s">
        <v>273</v>
      </c>
      <c r="B179" s="321" t="s">
        <v>2933</v>
      </c>
      <c r="C179" s="333"/>
      <c r="D179" s="333"/>
      <c r="E179" s="333"/>
      <c r="F179" s="322">
        <v>0.05</v>
      </c>
      <c r="G179" s="339"/>
    </row>
    <row r="180" spans="1:7">
      <c r="A180" s="332" t="s">
        <v>273</v>
      </c>
      <c r="B180" s="321" t="s">
        <v>2934</v>
      </c>
      <c r="C180" s="333"/>
      <c r="D180" s="333"/>
      <c r="E180" s="333"/>
      <c r="F180" s="322">
        <v>0.05</v>
      </c>
      <c r="G180" s="339"/>
    </row>
    <row r="181" spans="1:7">
      <c r="A181" s="332" t="s">
        <v>273</v>
      </c>
      <c r="B181" s="321" t="s">
        <v>2935</v>
      </c>
      <c r="C181" s="333"/>
      <c r="D181" s="333"/>
      <c r="E181" s="333"/>
      <c r="F181" s="322">
        <v>0.05</v>
      </c>
      <c r="G181" s="339"/>
    </row>
    <row r="182" spans="1:7">
      <c r="A182" s="332" t="s">
        <v>273</v>
      </c>
      <c r="B182" s="321" t="s">
        <v>2936</v>
      </c>
      <c r="C182" s="333"/>
      <c r="D182" s="333"/>
      <c r="E182" s="333"/>
      <c r="F182" s="322">
        <v>0.05</v>
      </c>
      <c r="G182" s="339"/>
    </row>
    <row r="183" spans="1:7">
      <c r="A183" s="332" t="s">
        <v>273</v>
      </c>
      <c r="B183" s="321" t="s">
        <v>2937</v>
      </c>
      <c r="C183" s="333"/>
      <c r="D183" s="333"/>
      <c r="E183" s="333"/>
      <c r="F183" s="322">
        <v>0.05</v>
      </c>
      <c r="G183" s="339"/>
    </row>
    <row r="184" spans="1:7">
      <c r="A184" s="332" t="s">
        <v>273</v>
      </c>
      <c r="B184" s="321" t="s">
        <v>2938</v>
      </c>
      <c r="C184" s="333"/>
      <c r="D184" s="333"/>
      <c r="E184" s="333"/>
      <c r="F184" s="322">
        <v>0.05</v>
      </c>
      <c r="G184" s="339"/>
    </row>
    <row r="185" spans="1:7">
      <c r="A185" s="332" t="s">
        <v>273</v>
      </c>
      <c r="B185" s="321" t="s">
        <v>2939</v>
      </c>
      <c r="C185" s="333"/>
      <c r="D185" s="333"/>
      <c r="E185" s="333"/>
      <c r="F185" s="322">
        <v>0.05</v>
      </c>
      <c r="G185" s="339"/>
    </row>
    <row r="186" spans="1:7">
      <c r="A186" s="332" t="s">
        <v>273</v>
      </c>
      <c r="B186" s="321" t="s">
        <v>2940</v>
      </c>
      <c r="C186" s="333"/>
      <c r="D186" s="333"/>
      <c r="E186" s="333"/>
      <c r="F186" s="322">
        <v>0.05</v>
      </c>
      <c r="G186" s="339"/>
    </row>
    <row r="187" spans="1:7">
      <c r="A187" s="332" t="s">
        <v>273</v>
      </c>
      <c r="B187" s="321" t="s">
        <v>2941</v>
      </c>
      <c r="C187" s="333"/>
      <c r="D187" s="333"/>
      <c r="E187" s="333"/>
      <c r="F187" s="322">
        <v>0.05</v>
      </c>
      <c r="G187" s="339"/>
    </row>
    <row r="188" spans="1:7">
      <c r="A188" s="332" t="s">
        <v>273</v>
      </c>
      <c r="B188" s="321" t="s">
        <v>2942</v>
      </c>
      <c r="C188" s="333"/>
      <c r="D188" s="333"/>
      <c r="E188" s="333"/>
      <c r="F188" s="322">
        <v>0.05</v>
      </c>
      <c r="G188" s="339"/>
    </row>
    <row r="189" ht="14.75" spans="1:7">
      <c r="A189" s="335" t="s">
        <v>273</v>
      </c>
      <c r="B189" s="325" t="s">
        <v>2943</v>
      </c>
      <c r="C189" s="327"/>
      <c r="D189" s="327"/>
      <c r="E189" s="327"/>
      <c r="F189" s="326">
        <v>0.05</v>
      </c>
      <c r="G189" s="340"/>
    </row>
    <row r="190" spans="1:7">
      <c r="A190" s="331" t="s">
        <v>278</v>
      </c>
      <c r="B190" s="317" t="s">
        <v>2567</v>
      </c>
      <c r="C190" s="318">
        <v>0.124</v>
      </c>
      <c r="D190" s="318">
        <v>0.124</v>
      </c>
      <c r="E190" s="318">
        <v>0.129</v>
      </c>
      <c r="F190" s="318">
        <v>0.13</v>
      </c>
      <c r="G190" s="319">
        <v>0.127</v>
      </c>
    </row>
    <row r="191" spans="1:7">
      <c r="A191" s="332" t="s">
        <v>278</v>
      </c>
      <c r="B191" s="321" t="s">
        <v>2580</v>
      </c>
      <c r="C191" s="322">
        <v>0.13</v>
      </c>
      <c r="D191" s="322">
        <v>0.13</v>
      </c>
      <c r="E191" s="322">
        <v>0.13</v>
      </c>
      <c r="F191" s="322">
        <v>0.13</v>
      </c>
      <c r="G191" s="323">
        <v>0.13</v>
      </c>
    </row>
    <row r="192" spans="1:7">
      <c r="A192" s="332" t="s">
        <v>278</v>
      </c>
      <c r="B192" s="321" t="s">
        <v>2594</v>
      </c>
      <c r="C192" s="322">
        <v>0.13</v>
      </c>
      <c r="D192" s="322">
        <v>0.13</v>
      </c>
      <c r="E192" s="322">
        <v>0.13</v>
      </c>
      <c r="F192" s="322">
        <v>0.13</v>
      </c>
      <c r="G192" s="323">
        <v>0.13</v>
      </c>
    </row>
    <row r="193" spans="1:7">
      <c r="A193" s="332" t="s">
        <v>278</v>
      </c>
      <c r="B193" s="321" t="s">
        <v>2606</v>
      </c>
      <c r="C193" s="322">
        <v>0.13</v>
      </c>
      <c r="D193" s="322">
        <v>0.13</v>
      </c>
      <c r="E193" s="322">
        <v>0.13</v>
      </c>
      <c r="F193" s="322">
        <v>0.13</v>
      </c>
      <c r="G193" s="323">
        <v>0.13</v>
      </c>
    </row>
    <row r="194" spans="1:7">
      <c r="A194" s="332" t="s">
        <v>278</v>
      </c>
      <c r="B194" s="321" t="s">
        <v>2618</v>
      </c>
      <c r="C194" s="322">
        <v>0.123</v>
      </c>
      <c r="D194" s="322">
        <v>0.123</v>
      </c>
      <c r="E194" s="322">
        <v>0.128</v>
      </c>
      <c r="F194" s="322">
        <v>0.13</v>
      </c>
      <c r="G194" s="323">
        <v>0.126</v>
      </c>
    </row>
    <row r="195" spans="1:7">
      <c r="A195" s="332" t="s">
        <v>278</v>
      </c>
      <c r="B195" s="321" t="s">
        <v>2629</v>
      </c>
      <c r="C195" s="322">
        <v>0.127</v>
      </c>
      <c r="D195" s="322">
        <v>0.127</v>
      </c>
      <c r="E195" s="322">
        <v>0.121</v>
      </c>
      <c r="F195" s="322">
        <v>0.129</v>
      </c>
      <c r="G195" s="323">
        <v>0.129</v>
      </c>
    </row>
    <row r="196" spans="1:7">
      <c r="A196" s="332" t="s">
        <v>278</v>
      </c>
      <c r="B196" s="321" t="s">
        <v>2640</v>
      </c>
      <c r="C196" s="322">
        <v>0.127</v>
      </c>
      <c r="D196" s="322">
        <v>0.128</v>
      </c>
      <c r="E196" s="322">
        <v>0.122</v>
      </c>
      <c r="F196" s="322">
        <v>0.13</v>
      </c>
      <c r="G196" s="323">
        <v>0.129</v>
      </c>
    </row>
    <row r="197" spans="1:7">
      <c r="A197" s="332" t="s">
        <v>278</v>
      </c>
      <c r="B197" s="321" t="s">
        <v>2651</v>
      </c>
      <c r="C197" s="322">
        <v>0.126</v>
      </c>
      <c r="D197" s="322">
        <v>0.126</v>
      </c>
      <c r="E197" s="322">
        <v>0.119</v>
      </c>
      <c r="F197" s="322">
        <v>0.13</v>
      </c>
      <c r="G197" s="323">
        <v>0.128</v>
      </c>
    </row>
    <row r="198" spans="1:7">
      <c r="A198" s="332" t="s">
        <v>278</v>
      </c>
      <c r="B198" s="321" t="s">
        <v>2661</v>
      </c>
      <c r="C198" s="322">
        <v>0.13</v>
      </c>
      <c r="D198" s="322">
        <v>0.13</v>
      </c>
      <c r="E198" s="322">
        <v>0.126</v>
      </c>
      <c r="F198" s="338"/>
      <c r="G198" s="323">
        <v>0.13</v>
      </c>
    </row>
    <row r="199" spans="1:7">
      <c r="A199" s="332" t="s">
        <v>278</v>
      </c>
      <c r="B199" s="321" t="s">
        <v>2671</v>
      </c>
      <c r="C199" s="322">
        <v>0.13</v>
      </c>
      <c r="D199" s="322">
        <v>0.13</v>
      </c>
      <c r="E199" s="322">
        <v>0.13</v>
      </c>
      <c r="F199" s="322">
        <v>0.13</v>
      </c>
      <c r="G199" s="323">
        <v>0.13</v>
      </c>
    </row>
    <row r="200" spans="1:7">
      <c r="A200" s="332" t="s">
        <v>278</v>
      </c>
      <c r="B200" s="321" t="s">
        <v>2681</v>
      </c>
      <c r="C200" s="338"/>
      <c r="D200" s="338"/>
      <c r="E200" s="338"/>
      <c r="F200" s="322">
        <v>0.13</v>
      </c>
      <c r="G200" s="334"/>
    </row>
    <row r="201" spans="1:7">
      <c r="A201" s="332" t="s">
        <v>278</v>
      </c>
      <c r="B201" s="321" t="s">
        <v>2691</v>
      </c>
      <c r="C201" s="322">
        <v>0.13</v>
      </c>
      <c r="D201" s="322">
        <v>0.13</v>
      </c>
      <c r="E201" s="322">
        <v>0.13</v>
      </c>
      <c r="F201" s="322">
        <v>0.129</v>
      </c>
      <c r="G201" s="323">
        <v>0.13</v>
      </c>
    </row>
    <row r="202" spans="1:7">
      <c r="A202" s="332" t="s">
        <v>278</v>
      </c>
      <c r="B202" s="321" t="s">
        <v>2701</v>
      </c>
      <c r="C202" s="322">
        <v>0.13</v>
      </c>
      <c r="D202" s="322">
        <v>0.13</v>
      </c>
      <c r="E202" s="322">
        <v>0.13</v>
      </c>
      <c r="F202" s="322">
        <v>0.13</v>
      </c>
      <c r="G202" s="323">
        <v>0.13</v>
      </c>
    </row>
    <row r="203" spans="1:7">
      <c r="A203" s="332" t="s">
        <v>278</v>
      </c>
      <c r="B203" s="321" t="s">
        <v>2711</v>
      </c>
      <c r="C203" s="322">
        <v>0.129</v>
      </c>
      <c r="D203" s="322">
        <v>0.129</v>
      </c>
      <c r="E203" s="322">
        <v>0.13</v>
      </c>
      <c r="F203" s="322">
        <v>0.13</v>
      </c>
      <c r="G203" s="323">
        <v>0.13</v>
      </c>
    </row>
    <row r="204" spans="1:7">
      <c r="A204" s="332" t="s">
        <v>278</v>
      </c>
      <c r="B204" s="321" t="s">
        <v>2721</v>
      </c>
      <c r="C204" s="322">
        <v>0.129</v>
      </c>
      <c r="D204" s="322">
        <v>0.129</v>
      </c>
      <c r="E204" s="322">
        <v>0.123</v>
      </c>
      <c r="F204" s="322">
        <v>0.13</v>
      </c>
      <c r="G204" s="323">
        <v>0.13</v>
      </c>
    </row>
    <row r="205" spans="1:7">
      <c r="A205" s="332" t="s">
        <v>278</v>
      </c>
      <c r="B205" s="321" t="s">
        <v>2731</v>
      </c>
      <c r="C205" s="322">
        <v>0.13</v>
      </c>
      <c r="D205" s="322">
        <v>0.13</v>
      </c>
      <c r="E205" s="322">
        <v>0.13</v>
      </c>
      <c r="F205" s="322">
        <v>0.13</v>
      </c>
      <c r="G205" s="323">
        <v>0.13</v>
      </c>
    </row>
    <row r="206" spans="1:7">
      <c r="A206" s="332" t="s">
        <v>278</v>
      </c>
      <c r="B206" s="321" t="s">
        <v>2741</v>
      </c>
      <c r="C206" s="322">
        <v>0.13</v>
      </c>
      <c r="D206" s="322">
        <v>0.13</v>
      </c>
      <c r="E206" s="322">
        <v>0.13</v>
      </c>
      <c r="F206" s="322">
        <v>0.128</v>
      </c>
      <c r="G206" s="323">
        <v>0.13</v>
      </c>
    </row>
    <row r="207" spans="1:7">
      <c r="A207" s="332" t="s">
        <v>278</v>
      </c>
      <c r="B207" s="321" t="s">
        <v>2751</v>
      </c>
      <c r="C207" s="322">
        <v>0.13</v>
      </c>
      <c r="D207" s="322">
        <v>0.13</v>
      </c>
      <c r="E207" s="322">
        <v>0.13</v>
      </c>
      <c r="F207" s="322">
        <v>0.13</v>
      </c>
      <c r="G207" s="323">
        <v>0.13</v>
      </c>
    </row>
    <row r="208" spans="1:7">
      <c r="A208" s="332" t="s">
        <v>278</v>
      </c>
      <c r="B208" s="321" t="s">
        <v>2761</v>
      </c>
      <c r="C208" s="322">
        <v>0.13</v>
      </c>
      <c r="D208" s="322">
        <v>0.13</v>
      </c>
      <c r="E208" s="322">
        <v>0.13</v>
      </c>
      <c r="F208" s="322">
        <v>0.13</v>
      </c>
      <c r="G208" s="323">
        <v>0.13</v>
      </c>
    </row>
    <row r="209" spans="1:7">
      <c r="A209" s="332" t="s">
        <v>278</v>
      </c>
      <c r="B209" s="321" t="s">
        <v>2771</v>
      </c>
      <c r="C209" s="322">
        <v>0.13</v>
      </c>
      <c r="D209" s="322">
        <v>0.13</v>
      </c>
      <c r="E209" s="322">
        <v>0.13</v>
      </c>
      <c r="F209" s="322">
        <v>0.13</v>
      </c>
      <c r="G209" s="323">
        <v>0.13</v>
      </c>
    </row>
    <row r="210" spans="1:7">
      <c r="A210" s="332" t="s">
        <v>278</v>
      </c>
      <c r="B210" s="321" t="s">
        <v>2780</v>
      </c>
      <c r="C210" s="322">
        <v>0.121</v>
      </c>
      <c r="D210" s="322">
        <v>0.121</v>
      </c>
      <c r="E210" s="322">
        <v>0.125</v>
      </c>
      <c r="F210" s="322">
        <v>0.13</v>
      </c>
      <c r="G210" s="323">
        <v>0.123</v>
      </c>
    </row>
    <row r="211" spans="1:7">
      <c r="A211" s="332" t="s">
        <v>278</v>
      </c>
      <c r="B211" s="321" t="s">
        <v>2788</v>
      </c>
      <c r="C211" s="322">
        <v>0.123</v>
      </c>
      <c r="D211" s="322">
        <v>0.123</v>
      </c>
      <c r="E211" s="322">
        <v>0.127</v>
      </c>
      <c r="F211" s="322">
        <v>0.115</v>
      </c>
      <c r="G211" s="323">
        <v>0.126</v>
      </c>
    </row>
    <row r="212" spans="1:7">
      <c r="A212" s="332" t="s">
        <v>278</v>
      </c>
      <c r="B212" s="321" t="s">
        <v>2796</v>
      </c>
      <c r="C212" s="322">
        <v>0.126</v>
      </c>
      <c r="D212" s="322">
        <v>0.126</v>
      </c>
      <c r="E212" s="322">
        <v>0.13</v>
      </c>
      <c r="F212" s="322">
        <v>0.13</v>
      </c>
      <c r="G212" s="323">
        <v>0.129</v>
      </c>
    </row>
    <row r="213" spans="1:7">
      <c r="A213" s="332" t="s">
        <v>278</v>
      </c>
      <c r="B213" s="321" t="s">
        <v>2804</v>
      </c>
      <c r="C213" s="322">
        <v>0.129</v>
      </c>
      <c r="D213" s="322">
        <v>0.13</v>
      </c>
      <c r="E213" s="322">
        <v>0.127</v>
      </c>
      <c r="F213" s="322">
        <v>0.13</v>
      </c>
      <c r="G213" s="323">
        <v>0.13</v>
      </c>
    </row>
    <row r="214" spans="1:7">
      <c r="A214" s="332" t="s">
        <v>278</v>
      </c>
      <c r="B214" s="321" t="s">
        <v>2812</v>
      </c>
      <c r="C214" s="322">
        <v>0.128</v>
      </c>
      <c r="D214" s="322">
        <v>0.128</v>
      </c>
      <c r="E214" s="322">
        <v>0.13</v>
      </c>
      <c r="F214" s="322">
        <v>0.13</v>
      </c>
      <c r="G214" s="323">
        <v>0.13</v>
      </c>
    </row>
    <row r="215" spans="1:7">
      <c r="A215" s="332" t="s">
        <v>278</v>
      </c>
      <c r="B215" s="321" t="s">
        <v>2819</v>
      </c>
      <c r="C215" s="322">
        <v>0.13</v>
      </c>
      <c r="D215" s="322">
        <v>0.13</v>
      </c>
      <c r="E215" s="322">
        <v>0.13</v>
      </c>
      <c r="F215" s="322">
        <v>0.129</v>
      </c>
      <c r="G215" s="323">
        <v>0.13</v>
      </c>
    </row>
    <row r="216" spans="1:7">
      <c r="A216" s="332" t="s">
        <v>278</v>
      </c>
      <c r="B216" s="321" t="s">
        <v>2826</v>
      </c>
      <c r="C216" s="322">
        <v>0.13</v>
      </c>
      <c r="D216" s="322">
        <v>0.13</v>
      </c>
      <c r="E216" s="322">
        <v>0.13</v>
      </c>
      <c r="F216" s="322">
        <v>0.13</v>
      </c>
      <c r="G216" s="323">
        <v>0.13</v>
      </c>
    </row>
    <row r="217" spans="1:7">
      <c r="A217" s="332" t="s">
        <v>278</v>
      </c>
      <c r="B217" s="321" t="s">
        <v>2833</v>
      </c>
      <c r="C217" s="322">
        <v>0.129</v>
      </c>
      <c r="D217" s="322">
        <v>0.129</v>
      </c>
      <c r="E217" s="322">
        <v>0.13</v>
      </c>
      <c r="F217" s="322">
        <v>0.13</v>
      </c>
      <c r="G217" s="323">
        <v>0.13</v>
      </c>
    </row>
    <row r="218" spans="1:7">
      <c r="A218" s="332" t="s">
        <v>278</v>
      </c>
      <c r="B218" s="321" t="s">
        <v>2840</v>
      </c>
      <c r="C218" s="333"/>
      <c r="D218" s="333"/>
      <c r="E218" s="333"/>
      <c r="F218" s="322">
        <v>0.05</v>
      </c>
      <c r="G218" s="339"/>
    </row>
    <row r="219" spans="1:7">
      <c r="A219" s="332" t="s">
        <v>278</v>
      </c>
      <c r="B219" s="321" t="s">
        <v>2847</v>
      </c>
      <c r="C219" s="333"/>
      <c r="D219" s="333"/>
      <c r="E219" s="333"/>
      <c r="F219" s="322">
        <v>0.05</v>
      </c>
      <c r="G219" s="339"/>
    </row>
    <row r="220" spans="1:7">
      <c r="A220" s="332" t="s">
        <v>278</v>
      </c>
      <c r="B220" s="321" t="s">
        <v>2854</v>
      </c>
      <c r="C220" s="333"/>
      <c r="D220" s="333"/>
      <c r="E220" s="333"/>
      <c r="F220" s="322">
        <v>0.05</v>
      </c>
      <c r="G220" s="339"/>
    </row>
    <row r="221" spans="1:7">
      <c r="A221" s="332" t="s">
        <v>278</v>
      </c>
      <c r="B221" s="321" t="s">
        <v>2861</v>
      </c>
      <c r="C221" s="333"/>
      <c r="D221" s="333"/>
      <c r="E221" s="333"/>
      <c r="F221" s="322">
        <v>0.05</v>
      </c>
      <c r="G221" s="339"/>
    </row>
    <row r="222" spans="1:7">
      <c r="A222" s="332" t="s">
        <v>278</v>
      </c>
      <c r="B222" s="321" t="s">
        <v>2866</v>
      </c>
      <c r="C222" s="333"/>
      <c r="D222" s="333"/>
      <c r="E222" s="333"/>
      <c r="F222" s="322">
        <v>0.05</v>
      </c>
      <c r="G222" s="339"/>
    </row>
    <row r="223" spans="1:7">
      <c r="A223" s="332" t="s">
        <v>278</v>
      </c>
      <c r="B223" s="321" t="s">
        <v>2871</v>
      </c>
      <c r="C223" s="333"/>
      <c r="D223" s="333"/>
      <c r="E223" s="333"/>
      <c r="F223" s="322">
        <v>0.05</v>
      </c>
      <c r="G223" s="339"/>
    </row>
    <row r="224" spans="1:7">
      <c r="A224" s="332" t="s">
        <v>278</v>
      </c>
      <c r="B224" s="321" t="s">
        <v>2876</v>
      </c>
      <c r="C224" s="333"/>
      <c r="D224" s="333"/>
      <c r="E224" s="333"/>
      <c r="F224" s="322">
        <v>0.05</v>
      </c>
      <c r="G224" s="339"/>
    </row>
    <row r="225" spans="1:7">
      <c r="A225" s="332" t="s">
        <v>278</v>
      </c>
      <c r="B225" s="321" t="s">
        <v>2881</v>
      </c>
      <c r="C225" s="333"/>
      <c r="D225" s="333"/>
      <c r="E225" s="333"/>
      <c r="F225" s="322">
        <v>0.05</v>
      </c>
      <c r="G225" s="339"/>
    </row>
    <row r="226" spans="1:7">
      <c r="A226" s="332" t="s">
        <v>278</v>
      </c>
      <c r="B226" s="321" t="s">
        <v>2886</v>
      </c>
      <c r="C226" s="333"/>
      <c r="D226" s="333"/>
      <c r="E226" s="333"/>
      <c r="F226" s="322">
        <v>0.05</v>
      </c>
      <c r="G226" s="339"/>
    </row>
    <row r="227" spans="1:7">
      <c r="A227" s="332" t="s">
        <v>278</v>
      </c>
      <c r="B227" s="321" t="s">
        <v>2945</v>
      </c>
      <c r="C227" s="333"/>
      <c r="D227" s="333"/>
      <c r="E227" s="333"/>
      <c r="F227" s="322">
        <v>0.05</v>
      </c>
      <c r="G227" s="339"/>
    </row>
    <row r="228" spans="1:7">
      <c r="A228" s="332" t="s">
        <v>278</v>
      </c>
      <c r="B228" s="321" t="s">
        <v>2946</v>
      </c>
      <c r="C228" s="333"/>
      <c r="D228" s="333"/>
      <c r="E228" s="333"/>
      <c r="F228" s="322">
        <v>0.05</v>
      </c>
      <c r="G228" s="339"/>
    </row>
    <row r="229" spans="1:7">
      <c r="A229" s="332" t="s">
        <v>278</v>
      </c>
      <c r="B229" s="321" t="s">
        <v>2947</v>
      </c>
      <c r="C229" s="333"/>
      <c r="D229" s="333"/>
      <c r="E229" s="333"/>
      <c r="F229" s="322">
        <v>0.05</v>
      </c>
      <c r="G229" s="339"/>
    </row>
    <row r="230" spans="1:7">
      <c r="A230" s="332" t="s">
        <v>278</v>
      </c>
      <c r="B230" s="321" t="s">
        <v>2905</v>
      </c>
      <c r="C230" s="333"/>
      <c r="D230" s="333"/>
      <c r="E230" s="333"/>
      <c r="F230" s="322">
        <v>0.05</v>
      </c>
      <c r="G230" s="339"/>
    </row>
    <row r="231" spans="1:7">
      <c r="A231" s="332" t="s">
        <v>278</v>
      </c>
      <c r="B231" s="321" t="s">
        <v>2909</v>
      </c>
      <c r="C231" s="333"/>
      <c r="D231" s="333"/>
      <c r="E231" s="333"/>
      <c r="F231" s="322">
        <v>0.05</v>
      </c>
      <c r="G231" s="339"/>
    </row>
    <row r="232" spans="1:7">
      <c r="A232" s="332" t="s">
        <v>278</v>
      </c>
      <c r="B232" s="321" t="s">
        <v>2948</v>
      </c>
      <c r="C232" s="333"/>
      <c r="D232" s="333"/>
      <c r="E232" s="333"/>
      <c r="F232" s="322">
        <v>0.05</v>
      </c>
      <c r="G232" s="339"/>
    </row>
    <row r="233" ht="14.75" spans="1:7">
      <c r="A233" s="335" t="s">
        <v>278</v>
      </c>
      <c r="B233" s="325" t="s">
        <v>2917</v>
      </c>
      <c r="C233" s="327"/>
      <c r="D233" s="327"/>
      <c r="E233" s="327"/>
      <c r="F233" s="326">
        <v>0.05</v>
      </c>
      <c r="G233" s="340"/>
    </row>
    <row r="234" spans="1:7">
      <c r="A234" s="331" t="s">
        <v>284</v>
      </c>
      <c r="B234" s="317" t="s">
        <v>2568</v>
      </c>
      <c r="C234" s="318">
        <v>0.13</v>
      </c>
      <c r="D234" s="318">
        <v>0.128</v>
      </c>
      <c r="E234" s="318">
        <v>0.142</v>
      </c>
      <c r="F234" s="318">
        <v>0.147</v>
      </c>
      <c r="G234" s="319">
        <v>0.14</v>
      </c>
    </row>
    <row r="235" spans="1:7">
      <c r="A235" s="332" t="s">
        <v>284</v>
      </c>
      <c r="B235" s="321" t="s">
        <v>2581</v>
      </c>
      <c r="C235" s="322">
        <v>0.136</v>
      </c>
      <c r="D235" s="322">
        <v>0.138</v>
      </c>
      <c r="E235" s="322">
        <v>0.145</v>
      </c>
      <c r="F235" s="322">
        <v>0.143</v>
      </c>
      <c r="G235" s="323">
        <v>0.141</v>
      </c>
    </row>
    <row r="236" spans="1:7">
      <c r="A236" s="332" t="s">
        <v>284</v>
      </c>
      <c r="B236" s="321" t="s">
        <v>2595</v>
      </c>
      <c r="C236" s="322">
        <v>0.15</v>
      </c>
      <c r="D236" s="322">
        <v>0.15</v>
      </c>
      <c r="E236" s="322">
        <v>0.15</v>
      </c>
      <c r="F236" s="322">
        <v>0.15</v>
      </c>
      <c r="G236" s="323">
        <v>0.15</v>
      </c>
    </row>
    <row r="237" spans="1:7">
      <c r="A237" s="332" t="s">
        <v>284</v>
      </c>
      <c r="B237" s="321" t="s">
        <v>2607</v>
      </c>
      <c r="C237" s="322">
        <v>0.15</v>
      </c>
      <c r="D237" s="322">
        <v>0.15</v>
      </c>
      <c r="E237" s="322">
        <v>0.15</v>
      </c>
      <c r="F237" s="322">
        <v>0.15</v>
      </c>
      <c r="G237" s="323">
        <v>0.15</v>
      </c>
    </row>
    <row r="238" spans="1:7">
      <c r="A238" s="332" t="s">
        <v>284</v>
      </c>
      <c r="B238" s="321" t="s">
        <v>2619</v>
      </c>
      <c r="C238" s="322">
        <v>0.149</v>
      </c>
      <c r="D238" s="322">
        <v>0.149</v>
      </c>
      <c r="E238" s="322">
        <v>0.15</v>
      </c>
      <c r="F238" s="322">
        <v>0.15</v>
      </c>
      <c r="G238" s="323">
        <v>0.15</v>
      </c>
    </row>
    <row r="239" spans="1:7">
      <c r="A239" s="332" t="s">
        <v>284</v>
      </c>
      <c r="B239" s="321" t="s">
        <v>2630</v>
      </c>
      <c r="C239" s="322">
        <v>0.15</v>
      </c>
      <c r="D239" s="322">
        <v>0.15</v>
      </c>
      <c r="E239" s="322">
        <v>0.15</v>
      </c>
      <c r="F239" s="322">
        <v>0.15</v>
      </c>
      <c r="G239" s="323">
        <v>0.15</v>
      </c>
    </row>
    <row r="240" spans="1:7">
      <c r="A240" s="332" t="s">
        <v>284</v>
      </c>
      <c r="B240" s="321" t="s">
        <v>2641</v>
      </c>
      <c r="C240" s="322">
        <v>0.15</v>
      </c>
      <c r="D240" s="322">
        <v>0.15</v>
      </c>
      <c r="E240" s="322">
        <v>0.15</v>
      </c>
      <c r="F240" s="322">
        <v>0.15</v>
      </c>
      <c r="G240" s="323">
        <v>0.15</v>
      </c>
    </row>
    <row r="241" spans="1:7">
      <c r="A241" s="332" t="s">
        <v>284</v>
      </c>
      <c r="B241" s="321" t="s">
        <v>2652</v>
      </c>
      <c r="C241" s="322">
        <v>0.141</v>
      </c>
      <c r="D241" s="322">
        <v>0.142</v>
      </c>
      <c r="E241" s="322">
        <v>0.149</v>
      </c>
      <c r="F241" s="322">
        <v>0.15</v>
      </c>
      <c r="G241" s="323">
        <v>0.144</v>
      </c>
    </row>
    <row r="242" spans="1:7">
      <c r="A242" s="332" t="s">
        <v>284</v>
      </c>
      <c r="B242" s="321" t="s">
        <v>2662</v>
      </c>
      <c r="C242" s="322">
        <v>0.141</v>
      </c>
      <c r="D242" s="322">
        <v>0.142</v>
      </c>
      <c r="E242" s="322">
        <v>0.148</v>
      </c>
      <c r="F242" s="322">
        <v>0.127</v>
      </c>
      <c r="G242" s="323">
        <v>0.144</v>
      </c>
    </row>
    <row r="243" spans="1:7">
      <c r="A243" s="332" t="s">
        <v>284</v>
      </c>
      <c r="B243" s="321" t="s">
        <v>2672</v>
      </c>
      <c r="C243" s="322">
        <v>0.147</v>
      </c>
      <c r="D243" s="322">
        <v>0.147</v>
      </c>
      <c r="E243" s="322">
        <v>0.15</v>
      </c>
      <c r="F243" s="322">
        <v>0.15</v>
      </c>
      <c r="G243" s="323">
        <v>0.149</v>
      </c>
    </row>
    <row r="244" spans="1:7">
      <c r="A244" s="332" t="s">
        <v>284</v>
      </c>
      <c r="B244" s="321" t="s">
        <v>2682</v>
      </c>
      <c r="C244" s="322">
        <v>0.15</v>
      </c>
      <c r="D244" s="322">
        <v>0.15</v>
      </c>
      <c r="E244" s="322">
        <v>0.15</v>
      </c>
      <c r="F244" s="322">
        <v>0.15</v>
      </c>
      <c r="G244" s="323">
        <v>0.15</v>
      </c>
    </row>
    <row r="245" spans="1:7">
      <c r="A245" s="332" t="s">
        <v>284</v>
      </c>
      <c r="B245" s="321" t="s">
        <v>2692</v>
      </c>
      <c r="C245" s="322">
        <v>0.142</v>
      </c>
      <c r="D245" s="322">
        <v>0.142</v>
      </c>
      <c r="E245" s="322">
        <v>0.15</v>
      </c>
      <c r="F245" s="322">
        <v>0.15</v>
      </c>
      <c r="G245" s="323">
        <v>0.145</v>
      </c>
    </row>
    <row r="246" spans="1:7">
      <c r="A246" s="332" t="s">
        <v>284</v>
      </c>
      <c r="B246" s="321" t="s">
        <v>2702</v>
      </c>
      <c r="C246" s="322">
        <v>0.142</v>
      </c>
      <c r="D246" s="322">
        <v>0.143</v>
      </c>
      <c r="E246" s="322">
        <v>0.15</v>
      </c>
      <c r="F246" s="322">
        <v>0.142</v>
      </c>
      <c r="G246" s="323">
        <v>0.144</v>
      </c>
    </row>
    <row r="247" spans="1:7">
      <c r="A247" s="332" t="s">
        <v>284</v>
      </c>
      <c r="B247" s="321" t="s">
        <v>2712</v>
      </c>
      <c r="C247" s="322">
        <v>0.149</v>
      </c>
      <c r="D247" s="322">
        <v>0.149</v>
      </c>
      <c r="E247" s="322">
        <v>0.15</v>
      </c>
      <c r="F247" s="322">
        <v>0.15</v>
      </c>
      <c r="G247" s="323">
        <v>0.15</v>
      </c>
    </row>
    <row r="248" spans="1:7">
      <c r="A248" s="332" t="s">
        <v>284</v>
      </c>
      <c r="B248" s="321" t="s">
        <v>2722</v>
      </c>
      <c r="C248" s="322">
        <v>0.144</v>
      </c>
      <c r="D248" s="322">
        <v>0.144</v>
      </c>
      <c r="E248" s="322">
        <v>0.149</v>
      </c>
      <c r="F248" s="322">
        <v>0.148</v>
      </c>
      <c r="G248" s="323">
        <v>0.146</v>
      </c>
    </row>
    <row r="249" spans="1:7">
      <c r="A249" s="332" t="s">
        <v>284</v>
      </c>
      <c r="B249" s="321" t="s">
        <v>2732</v>
      </c>
      <c r="C249" s="322">
        <v>0.14</v>
      </c>
      <c r="D249" s="322">
        <v>0.14</v>
      </c>
      <c r="E249" s="322">
        <v>0.147</v>
      </c>
      <c r="F249" s="322">
        <v>0.149</v>
      </c>
      <c r="G249" s="323">
        <v>0.142</v>
      </c>
    </row>
    <row r="250" spans="1:7">
      <c r="A250" s="332" t="s">
        <v>284</v>
      </c>
      <c r="B250" s="321" t="s">
        <v>2742</v>
      </c>
      <c r="C250" s="322">
        <v>0.144</v>
      </c>
      <c r="D250" s="322">
        <v>0.143</v>
      </c>
      <c r="E250" s="322">
        <v>0.149</v>
      </c>
      <c r="F250" s="322">
        <v>0.15</v>
      </c>
      <c r="G250" s="323">
        <v>0.146</v>
      </c>
    </row>
    <row r="251" spans="1:7">
      <c r="A251" s="332" t="s">
        <v>284</v>
      </c>
      <c r="B251" s="321" t="s">
        <v>2752</v>
      </c>
      <c r="C251" s="338"/>
      <c r="D251" s="333"/>
      <c r="E251" s="333"/>
      <c r="F251" s="322">
        <v>0.1</v>
      </c>
      <c r="G251" s="339"/>
    </row>
    <row r="252" spans="1:7">
      <c r="A252" s="332" t="s">
        <v>284</v>
      </c>
      <c r="B252" s="321" t="s">
        <v>2762</v>
      </c>
      <c r="C252" s="322">
        <v>0.144</v>
      </c>
      <c r="D252" s="322">
        <v>0.144</v>
      </c>
      <c r="E252" s="322">
        <v>0.15</v>
      </c>
      <c r="F252" s="322">
        <v>0.149</v>
      </c>
      <c r="G252" s="323">
        <v>0.146</v>
      </c>
    </row>
    <row r="253" spans="1:7">
      <c r="A253" s="332" t="s">
        <v>284</v>
      </c>
      <c r="B253" s="321" t="s">
        <v>2772</v>
      </c>
      <c r="C253" s="322">
        <v>0.142</v>
      </c>
      <c r="D253" s="322">
        <v>0.142</v>
      </c>
      <c r="E253" s="322">
        <v>0.146</v>
      </c>
      <c r="F253" s="322">
        <v>0.148</v>
      </c>
      <c r="G253" s="323">
        <v>0.145</v>
      </c>
    </row>
    <row r="254" spans="1:7">
      <c r="A254" s="332" t="s">
        <v>284</v>
      </c>
      <c r="B254" s="321" t="s">
        <v>2781</v>
      </c>
      <c r="C254" s="322">
        <v>0.15</v>
      </c>
      <c r="D254" s="322">
        <v>0.15</v>
      </c>
      <c r="E254" s="322">
        <v>0.15</v>
      </c>
      <c r="F254" s="322">
        <v>0.15</v>
      </c>
      <c r="G254" s="323">
        <v>0.15</v>
      </c>
    </row>
    <row r="255" spans="1:7">
      <c r="A255" s="332" t="s">
        <v>284</v>
      </c>
      <c r="B255" s="321" t="s">
        <v>2789</v>
      </c>
      <c r="C255" s="322">
        <v>0.143</v>
      </c>
      <c r="D255" s="322">
        <v>0.143</v>
      </c>
      <c r="E255" s="322">
        <v>0.15</v>
      </c>
      <c r="F255" s="322">
        <v>0.15</v>
      </c>
      <c r="G255" s="323">
        <v>0.145</v>
      </c>
    </row>
    <row r="256" spans="1:7">
      <c r="A256" s="332" t="s">
        <v>284</v>
      </c>
      <c r="B256" s="321" t="s">
        <v>2797</v>
      </c>
      <c r="C256" s="322">
        <v>0.15</v>
      </c>
      <c r="D256" s="322">
        <v>0.15</v>
      </c>
      <c r="E256" s="322">
        <v>0.15</v>
      </c>
      <c r="F256" s="322">
        <v>0.146</v>
      </c>
      <c r="G256" s="323">
        <v>0.15</v>
      </c>
    </row>
    <row r="257" spans="1:7">
      <c r="A257" s="332" t="s">
        <v>284</v>
      </c>
      <c r="B257" s="321" t="s">
        <v>2805</v>
      </c>
      <c r="C257" s="322">
        <v>0.142</v>
      </c>
      <c r="D257" s="322">
        <v>0.143</v>
      </c>
      <c r="E257" s="322">
        <v>0.148</v>
      </c>
      <c r="F257" s="322">
        <v>0.15</v>
      </c>
      <c r="G257" s="323">
        <v>0.145</v>
      </c>
    </row>
    <row r="258" spans="1:7">
      <c r="A258" s="332" t="s">
        <v>284</v>
      </c>
      <c r="B258" s="321" t="s">
        <v>2813</v>
      </c>
      <c r="C258" s="322">
        <v>0.143</v>
      </c>
      <c r="D258" s="322">
        <v>0.143</v>
      </c>
      <c r="E258" s="322">
        <v>0.15</v>
      </c>
      <c r="F258" s="322">
        <v>0.148</v>
      </c>
      <c r="G258" s="323">
        <v>0.146</v>
      </c>
    </row>
    <row r="259" spans="1:7">
      <c r="A259" s="332" t="s">
        <v>284</v>
      </c>
      <c r="B259" s="321" t="s">
        <v>2820</v>
      </c>
      <c r="C259" s="322">
        <v>0.144</v>
      </c>
      <c r="D259" s="322">
        <v>0.144</v>
      </c>
      <c r="E259" s="322">
        <v>0.149</v>
      </c>
      <c r="F259" s="322">
        <v>0.147</v>
      </c>
      <c r="G259" s="323">
        <v>0.146</v>
      </c>
    </row>
    <row r="260" spans="1:7">
      <c r="A260" s="332" t="s">
        <v>284</v>
      </c>
      <c r="B260" s="321" t="s">
        <v>2827</v>
      </c>
      <c r="C260" s="322">
        <v>0.109</v>
      </c>
      <c r="D260" s="322">
        <v>0.111</v>
      </c>
      <c r="E260" s="322">
        <v>0.131</v>
      </c>
      <c r="F260" s="322">
        <v>0.126</v>
      </c>
      <c r="G260" s="323">
        <v>0.119</v>
      </c>
    </row>
    <row r="261" spans="1:7">
      <c r="A261" s="332" t="s">
        <v>284</v>
      </c>
      <c r="B261" s="321" t="s">
        <v>2834</v>
      </c>
      <c r="C261" s="322">
        <v>0.1</v>
      </c>
      <c r="D261" s="322">
        <v>0.1</v>
      </c>
      <c r="E261" s="322">
        <v>0.118</v>
      </c>
      <c r="F261" s="322">
        <v>0.108</v>
      </c>
      <c r="G261" s="323">
        <v>0.107</v>
      </c>
    </row>
    <row r="262" spans="1:7">
      <c r="A262" s="332" t="s">
        <v>284</v>
      </c>
      <c r="B262" s="321" t="s">
        <v>2841</v>
      </c>
      <c r="C262" s="322">
        <v>0.1</v>
      </c>
      <c r="D262" s="322">
        <v>0.1</v>
      </c>
      <c r="E262" s="322">
        <v>0.1</v>
      </c>
      <c r="F262" s="322">
        <v>0.141</v>
      </c>
      <c r="G262" s="323">
        <v>0.1</v>
      </c>
    </row>
    <row r="263" spans="1:7">
      <c r="A263" s="332" t="s">
        <v>284</v>
      </c>
      <c r="B263" s="321" t="s">
        <v>2848</v>
      </c>
      <c r="C263" s="322">
        <v>0.148</v>
      </c>
      <c r="D263" s="322">
        <v>0.148</v>
      </c>
      <c r="E263" s="322">
        <v>0.15</v>
      </c>
      <c r="F263" s="322">
        <v>0.147</v>
      </c>
      <c r="G263" s="323">
        <v>0.15</v>
      </c>
    </row>
    <row r="264" spans="1:7">
      <c r="A264" s="332" t="s">
        <v>284</v>
      </c>
      <c r="B264" s="321" t="s">
        <v>2855</v>
      </c>
      <c r="C264" s="322">
        <v>0.143</v>
      </c>
      <c r="D264" s="322">
        <v>0.143</v>
      </c>
      <c r="E264" s="322">
        <v>0.15</v>
      </c>
      <c r="F264" s="322">
        <v>0.149</v>
      </c>
      <c r="G264" s="323">
        <v>0.146</v>
      </c>
    </row>
    <row r="265" spans="1:7">
      <c r="A265" s="332" t="s">
        <v>284</v>
      </c>
      <c r="B265" s="321" t="s">
        <v>2862</v>
      </c>
      <c r="C265" s="333"/>
      <c r="D265" s="333"/>
      <c r="E265" s="333"/>
      <c r="F265" s="322">
        <v>0.05</v>
      </c>
      <c r="G265" s="339"/>
    </row>
    <row r="266" spans="1:7">
      <c r="A266" s="332" t="s">
        <v>284</v>
      </c>
      <c r="B266" s="321" t="s">
        <v>2867</v>
      </c>
      <c r="C266" s="333"/>
      <c r="D266" s="333"/>
      <c r="E266" s="333"/>
      <c r="F266" s="322">
        <v>0.05</v>
      </c>
      <c r="G266" s="339"/>
    </row>
    <row r="267" spans="1:7">
      <c r="A267" s="332" t="s">
        <v>284</v>
      </c>
      <c r="B267" s="321" t="s">
        <v>2872</v>
      </c>
      <c r="C267" s="333"/>
      <c r="D267" s="333"/>
      <c r="E267" s="333"/>
      <c r="F267" s="322">
        <v>0.05</v>
      </c>
      <c r="G267" s="339"/>
    </row>
    <row r="268" spans="1:7">
      <c r="A268" s="332" t="s">
        <v>284</v>
      </c>
      <c r="B268" s="321" t="s">
        <v>2877</v>
      </c>
      <c r="C268" s="333"/>
      <c r="D268" s="333"/>
      <c r="E268" s="333"/>
      <c r="F268" s="322">
        <v>0.05</v>
      </c>
      <c r="G268" s="339"/>
    </row>
    <row r="269" spans="1:7">
      <c r="A269" s="332" t="s">
        <v>284</v>
      </c>
      <c r="B269" s="321" t="s">
        <v>2882</v>
      </c>
      <c r="C269" s="333"/>
      <c r="D269" s="333"/>
      <c r="E269" s="333"/>
      <c r="F269" s="322">
        <v>0.05</v>
      </c>
      <c r="G269" s="339"/>
    </row>
    <row r="270" spans="1:7">
      <c r="A270" s="332" t="s">
        <v>284</v>
      </c>
      <c r="B270" s="321" t="s">
        <v>2887</v>
      </c>
      <c r="C270" s="333"/>
      <c r="D270" s="333"/>
      <c r="E270" s="333"/>
      <c r="F270" s="322">
        <v>0.05</v>
      </c>
      <c r="G270" s="339"/>
    </row>
    <row r="271" spans="1:7">
      <c r="A271" s="332" t="s">
        <v>284</v>
      </c>
      <c r="B271" s="321" t="s">
        <v>2892</v>
      </c>
      <c r="C271" s="333"/>
      <c r="D271" s="333"/>
      <c r="E271" s="333"/>
      <c r="F271" s="322">
        <v>0.05</v>
      </c>
      <c r="G271" s="339"/>
    </row>
    <row r="272" spans="1:7">
      <c r="A272" s="332" t="s">
        <v>284</v>
      </c>
      <c r="B272" s="321" t="s">
        <v>2897</v>
      </c>
      <c r="C272" s="333"/>
      <c r="D272" s="333"/>
      <c r="E272" s="333"/>
      <c r="F272" s="322">
        <v>0.05</v>
      </c>
      <c r="G272" s="339"/>
    </row>
    <row r="273" spans="1:7">
      <c r="A273" s="332" t="s">
        <v>284</v>
      </c>
      <c r="B273" s="321" t="s">
        <v>2902</v>
      </c>
      <c r="C273" s="333"/>
      <c r="D273" s="333"/>
      <c r="E273" s="333"/>
      <c r="F273" s="322">
        <v>0.05</v>
      </c>
      <c r="G273" s="339"/>
    </row>
    <row r="274" spans="1:7">
      <c r="A274" s="332" t="s">
        <v>284</v>
      </c>
      <c r="B274" s="321" t="s">
        <v>2906</v>
      </c>
      <c r="C274" s="333"/>
      <c r="D274" s="333"/>
      <c r="E274" s="333"/>
      <c r="F274" s="322">
        <v>0.05</v>
      </c>
      <c r="G274" s="339"/>
    </row>
    <row r="275" spans="1:7">
      <c r="A275" s="332" t="s">
        <v>284</v>
      </c>
      <c r="B275" s="321" t="s">
        <v>2910</v>
      </c>
      <c r="C275" s="333"/>
      <c r="D275" s="333"/>
      <c r="E275" s="333"/>
      <c r="F275" s="322">
        <v>0.05</v>
      </c>
      <c r="G275" s="339"/>
    </row>
    <row r="276" ht="14.75" spans="1:7">
      <c r="A276" s="335" t="s">
        <v>284</v>
      </c>
      <c r="B276" s="325" t="s">
        <v>2914</v>
      </c>
      <c r="C276" s="327"/>
      <c r="D276" s="327"/>
      <c r="E276" s="327"/>
      <c r="F276" s="326">
        <v>0.05</v>
      </c>
      <c r="G276" s="340"/>
    </row>
    <row r="277" spans="1:7">
      <c r="A277" s="331" t="s">
        <v>288</v>
      </c>
      <c r="B277" s="317" t="s">
        <v>2569</v>
      </c>
      <c r="C277" s="318">
        <v>0.15</v>
      </c>
      <c r="D277" s="318">
        <v>0.15</v>
      </c>
      <c r="E277" s="318">
        <v>0.15</v>
      </c>
      <c r="F277" s="318">
        <v>0.15</v>
      </c>
      <c r="G277" s="319">
        <v>0.15</v>
      </c>
    </row>
    <row r="278" spans="1:7">
      <c r="A278" s="332" t="s">
        <v>288</v>
      </c>
      <c r="B278" s="321" t="s">
        <v>2582</v>
      </c>
      <c r="C278" s="322">
        <v>0.15</v>
      </c>
      <c r="D278" s="322">
        <v>0.15</v>
      </c>
      <c r="E278" s="322">
        <v>0.15</v>
      </c>
      <c r="F278" s="322">
        <v>0.15</v>
      </c>
      <c r="G278" s="323">
        <v>0.15</v>
      </c>
    </row>
    <row r="279" spans="1:7">
      <c r="A279" s="332" t="s">
        <v>288</v>
      </c>
      <c r="B279" s="321" t="s">
        <v>2596</v>
      </c>
      <c r="C279" s="322">
        <v>0.15</v>
      </c>
      <c r="D279" s="322">
        <v>0.15</v>
      </c>
      <c r="E279" s="322">
        <v>0.15</v>
      </c>
      <c r="F279" s="322">
        <v>0.15</v>
      </c>
      <c r="G279" s="323">
        <v>0.15</v>
      </c>
    </row>
    <row r="280" spans="1:7">
      <c r="A280" s="332" t="s">
        <v>288</v>
      </c>
      <c r="B280" s="321" t="s">
        <v>2608</v>
      </c>
      <c r="C280" s="322">
        <v>0.15</v>
      </c>
      <c r="D280" s="322">
        <v>0.15</v>
      </c>
      <c r="E280" s="322">
        <v>0.15</v>
      </c>
      <c r="F280" s="322">
        <v>0.15</v>
      </c>
      <c r="G280" s="323">
        <v>0.15</v>
      </c>
    </row>
    <row r="281" spans="1:7">
      <c r="A281" s="332" t="s">
        <v>288</v>
      </c>
      <c r="B281" s="321" t="s">
        <v>2620</v>
      </c>
      <c r="C281" s="322">
        <v>0.15</v>
      </c>
      <c r="D281" s="322">
        <v>0.15</v>
      </c>
      <c r="E281" s="322">
        <v>0.15</v>
      </c>
      <c r="F281" s="322">
        <v>0.15</v>
      </c>
      <c r="G281" s="323">
        <v>0.15</v>
      </c>
    </row>
    <row r="282" spans="1:7">
      <c r="A282" s="332" t="s">
        <v>288</v>
      </c>
      <c r="B282" s="321" t="s">
        <v>2631</v>
      </c>
      <c r="C282" s="322">
        <v>0.15</v>
      </c>
      <c r="D282" s="322">
        <v>0.15</v>
      </c>
      <c r="E282" s="322">
        <v>0.15</v>
      </c>
      <c r="F282" s="322">
        <v>0.145</v>
      </c>
      <c r="G282" s="323">
        <v>0.15</v>
      </c>
    </row>
    <row r="283" spans="1:7">
      <c r="A283" s="332" t="s">
        <v>288</v>
      </c>
      <c r="B283" s="321" t="s">
        <v>2642</v>
      </c>
      <c r="C283" s="322">
        <v>0.15</v>
      </c>
      <c r="D283" s="322">
        <v>0.15</v>
      </c>
      <c r="E283" s="322">
        <v>0.15</v>
      </c>
      <c r="F283" s="322">
        <v>0.142</v>
      </c>
      <c r="G283" s="323">
        <v>0.15</v>
      </c>
    </row>
    <row r="284" spans="1:7">
      <c r="A284" s="332" t="s">
        <v>288</v>
      </c>
      <c r="B284" s="321" t="s">
        <v>2653</v>
      </c>
      <c r="C284" s="322">
        <v>0.15</v>
      </c>
      <c r="D284" s="322">
        <v>0.15</v>
      </c>
      <c r="E284" s="322">
        <v>0.15</v>
      </c>
      <c r="F284" s="322">
        <v>0.15</v>
      </c>
      <c r="G284" s="323">
        <v>0.15</v>
      </c>
    </row>
    <row r="285" spans="1:7">
      <c r="A285" s="332" t="s">
        <v>288</v>
      </c>
      <c r="B285" s="321" t="s">
        <v>2663</v>
      </c>
      <c r="C285" s="322">
        <v>0.15</v>
      </c>
      <c r="D285" s="322">
        <v>0.15</v>
      </c>
      <c r="E285" s="322">
        <v>0.15</v>
      </c>
      <c r="F285" s="322">
        <v>0.15</v>
      </c>
      <c r="G285" s="323">
        <v>0.15</v>
      </c>
    </row>
    <row r="286" spans="1:7">
      <c r="A286" s="332" t="s">
        <v>288</v>
      </c>
      <c r="B286" s="321" t="s">
        <v>2673</v>
      </c>
      <c r="C286" s="322">
        <v>0.145</v>
      </c>
      <c r="D286" s="322">
        <v>0.145</v>
      </c>
      <c r="E286" s="322">
        <v>0.15</v>
      </c>
      <c r="F286" s="322">
        <v>0.141</v>
      </c>
      <c r="G286" s="323">
        <v>0.145</v>
      </c>
    </row>
    <row r="287" spans="1:7">
      <c r="A287" s="332" t="s">
        <v>288</v>
      </c>
      <c r="B287" s="321" t="s">
        <v>2683</v>
      </c>
      <c r="C287" s="322">
        <v>0.11</v>
      </c>
      <c r="D287" s="322">
        <v>0.111</v>
      </c>
      <c r="E287" s="322">
        <v>0.141</v>
      </c>
      <c r="F287" s="322">
        <v>0.11</v>
      </c>
      <c r="G287" s="323">
        <v>0.12</v>
      </c>
    </row>
    <row r="288" spans="1:7">
      <c r="A288" s="332" t="s">
        <v>288</v>
      </c>
      <c r="B288" s="321" t="s">
        <v>2693</v>
      </c>
      <c r="C288" s="322">
        <v>0.142</v>
      </c>
      <c r="D288" s="322">
        <v>0.143</v>
      </c>
      <c r="E288" s="322">
        <v>0.15</v>
      </c>
      <c r="F288" s="322">
        <v>0.142</v>
      </c>
      <c r="G288" s="323">
        <v>0.144</v>
      </c>
    </row>
    <row r="289" spans="1:7">
      <c r="A289" s="332" t="s">
        <v>288</v>
      </c>
      <c r="B289" s="321" t="s">
        <v>2703</v>
      </c>
      <c r="C289" s="322">
        <v>0.143</v>
      </c>
      <c r="D289" s="322">
        <v>0.143</v>
      </c>
      <c r="E289" s="322">
        <v>0.148</v>
      </c>
      <c r="F289" s="322">
        <v>0.144</v>
      </c>
      <c r="G289" s="323">
        <v>0.144</v>
      </c>
    </row>
    <row r="290" spans="1:7">
      <c r="A290" s="332" t="s">
        <v>288</v>
      </c>
      <c r="B290" s="321" t="s">
        <v>2713</v>
      </c>
      <c r="C290" s="322">
        <v>0.148</v>
      </c>
      <c r="D290" s="322">
        <v>0.149</v>
      </c>
      <c r="E290" s="322">
        <v>0.15</v>
      </c>
      <c r="F290" s="322">
        <v>0.127</v>
      </c>
      <c r="G290" s="323">
        <v>0.15</v>
      </c>
    </row>
    <row r="291" spans="1:7">
      <c r="A291" s="332" t="s">
        <v>288</v>
      </c>
      <c r="B291" s="321" t="s">
        <v>2723</v>
      </c>
      <c r="C291" s="322">
        <v>0.15</v>
      </c>
      <c r="D291" s="322">
        <v>0.15</v>
      </c>
      <c r="E291" s="322">
        <v>0.15</v>
      </c>
      <c r="F291" s="322">
        <v>0.149</v>
      </c>
      <c r="G291" s="323">
        <v>0.15</v>
      </c>
    </row>
    <row r="292" spans="1:7">
      <c r="A292" s="332" t="s">
        <v>288</v>
      </c>
      <c r="B292" s="321" t="s">
        <v>2733</v>
      </c>
      <c r="C292" s="322">
        <v>0.15</v>
      </c>
      <c r="D292" s="322">
        <v>0.15</v>
      </c>
      <c r="E292" s="322">
        <v>0.15</v>
      </c>
      <c r="F292" s="322">
        <v>0.144</v>
      </c>
      <c r="G292" s="323">
        <v>0.15</v>
      </c>
    </row>
    <row r="293" spans="1:7">
      <c r="A293" s="332" t="s">
        <v>288</v>
      </c>
      <c r="B293" s="321" t="s">
        <v>2743</v>
      </c>
      <c r="C293" s="322">
        <v>0.15</v>
      </c>
      <c r="D293" s="322">
        <v>0.15</v>
      </c>
      <c r="E293" s="322">
        <v>0.15</v>
      </c>
      <c r="F293" s="322">
        <v>0.145</v>
      </c>
      <c r="G293" s="323">
        <v>0.15</v>
      </c>
    </row>
    <row r="294" spans="1:7">
      <c r="A294" s="332" t="s">
        <v>288</v>
      </c>
      <c r="B294" s="321" t="s">
        <v>2753</v>
      </c>
      <c r="C294" s="322">
        <v>0.15</v>
      </c>
      <c r="D294" s="322">
        <v>0.15</v>
      </c>
      <c r="E294" s="322">
        <v>0.15</v>
      </c>
      <c r="F294" s="322">
        <v>0.149</v>
      </c>
      <c r="G294" s="323">
        <v>0.15</v>
      </c>
    </row>
    <row r="295" spans="1:7">
      <c r="A295" s="332" t="s">
        <v>288</v>
      </c>
      <c r="B295" s="321" t="s">
        <v>2763</v>
      </c>
      <c r="C295" s="322">
        <v>0.15</v>
      </c>
      <c r="D295" s="322">
        <v>0.15</v>
      </c>
      <c r="E295" s="322">
        <v>0.15</v>
      </c>
      <c r="F295" s="322">
        <v>0.148</v>
      </c>
      <c r="G295" s="323">
        <v>0.15</v>
      </c>
    </row>
    <row r="296" spans="1:7">
      <c r="A296" s="332" t="s">
        <v>288</v>
      </c>
      <c r="B296" s="321" t="s">
        <v>2773</v>
      </c>
      <c r="C296" s="322">
        <v>0.15</v>
      </c>
      <c r="D296" s="322">
        <v>0.15</v>
      </c>
      <c r="E296" s="322">
        <v>0.15</v>
      </c>
      <c r="F296" s="322">
        <v>0.144</v>
      </c>
      <c r="G296" s="323">
        <v>0.15</v>
      </c>
    </row>
    <row r="297" spans="1:7">
      <c r="A297" s="332" t="s">
        <v>288</v>
      </c>
      <c r="B297" s="321" t="s">
        <v>2782</v>
      </c>
      <c r="C297" s="322">
        <v>0.15</v>
      </c>
      <c r="D297" s="322">
        <v>0.15</v>
      </c>
      <c r="E297" s="322">
        <v>0.15</v>
      </c>
      <c r="F297" s="322">
        <v>0.145</v>
      </c>
      <c r="G297" s="323">
        <v>0.15</v>
      </c>
    </row>
    <row r="298" spans="1:7">
      <c r="A298" s="332" t="s">
        <v>288</v>
      </c>
      <c r="B298" s="321" t="s">
        <v>2790</v>
      </c>
      <c r="C298" s="322">
        <v>0.15</v>
      </c>
      <c r="D298" s="322">
        <v>0.15</v>
      </c>
      <c r="E298" s="322">
        <v>0.15</v>
      </c>
      <c r="F298" s="322">
        <v>0.15</v>
      </c>
      <c r="G298" s="323">
        <v>0.15</v>
      </c>
    </row>
    <row r="299" spans="1:7">
      <c r="A299" s="332" t="s">
        <v>288</v>
      </c>
      <c r="B299" s="341" t="s">
        <v>2798</v>
      </c>
      <c r="C299" s="322">
        <v>0.15</v>
      </c>
      <c r="D299" s="322">
        <v>0.15</v>
      </c>
      <c r="E299" s="322">
        <v>0.15</v>
      </c>
      <c r="F299" s="322">
        <v>0.145</v>
      </c>
      <c r="G299" s="323">
        <v>0.15</v>
      </c>
    </row>
    <row r="300" spans="1:7">
      <c r="A300" s="332" t="s">
        <v>288</v>
      </c>
      <c r="B300" s="341" t="s">
        <v>2806</v>
      </c>
      <c r="C300" s="322">
        <v>0.15</v>
      </c>
      <c r="D300" s="322">
        <v>0.15</v>
      </c>
      <c r="E300" s="322">
        <v>0.15</v>
      </c>
      <c r="F300" s="322">
        <v>0.146</v>
      </c>
      <c r="G300" s="323">
        <v>0.15</v>
      </c>
    </row>
    <row r="301" spans="1:7">
      <c r="A301" s="332" t="s">
        <v>288</v>
      </c>
      <c r="B301" s="341" t="s">
        <v>2814</v>
      </c>
      <c r="C301" s="322">
        <v>0.126</v>
      </c>
      <c r="D301" s="322">
        <v>0.124</v>
      </c>
      <c r="E301" s="322">
        <v>0.141</v>
      </c>
      <c r="F301" s="322">
        <v>0.144</v>
      </c>
      <c r="G301" s="323">
        <v>0.13</v>
      </c>
    </row>
    <row r="302" spans="1:7">
      <c r="A302" s="332" t="s">
        <v>288</v>
      </c>
      <c r="B302" s="321" t="s">
        <v>2821</v>
      </c>
      <c r="C302" s="322">
        <v>0.15</v>
      </c>
      <c r="D302" s="322">
        <v>0.15</v>
      </c>
      <c r="E302" s="322">
        <v>0.15</v>
      </c>
      <c r="F302" s="322">
        <v>0.147</v>
      </c>
      <c r="G302" s="323">
        <v>0.15</v>
      </c>
    </row>
    <row r="303" spans="1:7">
      <c r="A303" s="332" t="s">
        <v>288</v>
      </c>
      <c r="B303" s="321" t="s">
        <v>2828</v>
      </c>
      <c r="C303" s="322">
        <v>0.15</v>
      </c>
      <c r="D303" s="322">
        <v>0.15</v>
      </c>
      <c r="E303" s="322">
        <v>0.15</v>
      </c>
      <c r="F303" s="322">
        <v>0.142</v>
      </c>
      <c r="G303" s="323">
        <v>0.15</v>
      </c>
    </row>
    <row r="304" spans="1:7">
      <c r="A304" s="332" t="s">
        <v>288</v>
      </c>
      <c r="B304" s="321" t="s">
        <v>2835</v>
      </c>
      <c r="C304" s="322">
        <v>0.15</v>
      </c>
      <c r="D304" s="322">
        <v>0.15</v>
      </c>
      <c r="E304" s="322">
        <v>0.15</v>
      </c>
      <c r="F304" s="322">
        <v>0.145</v>
      </c>
      <c r="G304" s="323">
        <v>0.15</v>
      </c>
    </row>
    <row r="305" spans="1:7">
      <c r="A305" s="332" t="s">
        <v>288</v>
      </c>
      <c r="B305" s="321" t="s">
        <v>2842</v>
      </c>
      <c r="C305" s="322">
        <v>0.15</v>
      </c>
      <c r="D305" s="322">
        <v>0.15</v>
      </c>
      <c r="E305" s="322">
        <v>0.15</v>
      </c>
      <c r="F305" s="322">
        <v>0.111</v>
      </c>
      <c r="G305" s="323">
        <v>0.15</v>
      </c>
    </row>
    <row r="306" spans="1:7">
      <c r="A306" s="332" t="s">
        <v>288</v>
      </c>
      <c r="B306" s="321" t="s">
        <v>2849</v>
      </c>
      <c r="C306" s="322">
        <v>0.15</v>
      </c>
      <c r="D306" s="322">
        <v>0.15</v>
      </c>
      <c r="E306" s="322">
        <v>0.15</v>
      </c>
      <c r="F306" s="322">
        <v>0.126</v>
      </c>
      <c r="G306" s="323">
        <v>0.15</v>
      </c>
    </row>
    <row r="307" spans="1:7">
      <c r="A307" s="332" t="s">
        <v>288</v>
      </c>
      <c r="B307" s="321" t="s">
        <v>2856</v>
      </c>
      <c r="C307" s="322">
        <v>0.15</v>
      </c>
      <c r="D307" s="322">
        <v>0.15</v>
      </c>
      <c r="E307" s="322">
        <v>0.15</v>
      </c>
      <c r="F307" s="322">
        <v>0.12</v>
      </c>
      <c r="G307" s="323">
        <v>0.15</v>
      </c>
    </row>
    <row r="308" spans="1:7">
      <c r="A308" s="332" t="s">
        <v>288</v>
      </c>
      <c r="B308" s="321" t="s">
        <v>2863</v>
      </c>
      <c r="C308" s="322">
        <v>0.15</v>
      </c>
      <c r="D308" s="322">
        <v>0.15</v>
      </c>
      <c r="E308" s="322">
        <v>0.15</v>
      </c>
      <c r="F308" s="322">
        <v>0.13</v>
      </c>
      <c r="G308" s="323">
        <v>0.15</v>
      </c>
    </row>
    <row r="309" spans="1:7">
      <c r="A309" s="332" t="s">
        <v>288</v>
      </c>
      <c r="B309" s="321" t="s">
        <v>2868</v>
      </c>
      <c r="C309" s="322">
        <v>0.15</v>
      </c>
      <c r="D309" s="322">
        <v>0.15</v>
      </c>
      <c r="E309" s="322">
        <v>0.15</v>
      </c>
      <c r="F309" s="322">
        <v>0.141</v>
      </c>
      <c r="G309" s="323">
        <v>0.15</v>
      </c>
    </row>
    <row r="310" spans="1:7">
      <c r="A310" s="332" t="s">
        <v>288</v>
      </c>
      <c r="B310" s="321" t="s">
        <v>2873</v>
      </c>
      <c r="C310" s="322">
        <v>0.15</v>
      </c>
      <c r="D310" s="322">
        <v>0.15</v>
      </c>
      <c r="E310" s="322">
        <v>0.15</v>
      </c>
      <c r="F310" s="322">
        <v>0.15</v>
      </c>
      <c r="G310" s="323">
        <v>0.15</v>
      </c>
    </row>
    <row r="311" spans="1:7">
      <c r="A311" s="332" t="s">
        <v>288</v>
      </c>
      <c r="B311" s="321" t="s">
        <v>2878</v>
      </c>
      <c r="C311" s="322">
        <v>0.132</v>
      </c>
      <c r="D311" s="322">
        <v>0.133</v>
      </c>
      <c r="E311" s="322">
        <v>0.145</v>
      </c>
      <c r="F311" s="322">
        <v>0.142</v>
      </c>
      <c r="G311" s="323">
        <v>0.14</v>
      </c>
    </row>
    <row r="312" spans="1:7">
      <c r="A312" s="332" t="s">
        <v>288</v>
      </c>
      <c r="B312" s="321" t="s">
        <v>2883</v>
      </c>
      <c r="C312" s="322">
        <v>0.138</v>
      </c>
      <c r="D312" s="322">
        <v>0.14</v>
      </c>
      <c r="E312" s="322">
        <v>0.146</v>
      </c>
      <c r="F312" s="322">
        <v>0.149</v>
      </c>
      <c r="G312" s="323">
        <v>0.142</v>
      </c>
    </row>
    <row r="313" spans="1:7">
      <c r="A313" s="332" t="s">
        <v>288</v>
      </c>
      <c r="B313" s="321" t="s">
        <v>2888</v>
      </c>
      <c r="C313" s="322">
        <v>0.125</v>
      </c>
      <c r="D313" s="322">
        <v>0.127</v>
      </c>
      <c r="E313" s="322">
        <v>0.144</v>
      </c>
      <c r="F313" s="322">
        <v>0.115</v>
      </c>
      <c r="G313" s="323">
        <v>0.136</v>
      </c>
    </row>
    <row r="314" spans="1:7">
      <c r="A314" s="332" t="s">
        <v>288</v>
      </c>
      <c r="B314" s="321" t="s">
        <v>2893</v>
      </c>
      <c r="C314" s="338"/>
      <c r="D314" s="338"/>
      <c r="E314" s="338"/>
      <c r="F314" s="322">
        <v>0.05</v>
      </c>
      <c r="G314" s="339"/>
    </row>
    <row r="315" spans="1:7">
      <c r="A315" s="332" t="s">
        <v>288</v>
      </c>
      <c r="B315" s="321" t="s">
        <v>2898</v>
      </c>
      <c r="C315" s="338"/>
      <c r="D315" s="338"/>
      <c r="E315" s="338"/>
      <c r="F315" s="322">
        <v>0.05</v>
      </c>
      <c r="G315" s="339"/>
    </row>
    <row r="316" spans="1:7">
      <c r="A316" s="332" t="s">
        <v>288</v>
      </c>
      <c r="B316" s="321" t="s">
        <v>2903</v>
      </c>
      <c r="C316" s="333"/>
      <c r="D316" s="333"/>
      <c r="E316" s="333"/>
      <c r="F316" s="322">
        <v>0.05</v>
      </c>
      <c r="G316" s="339"/>
    </row>
    <row r="317" spans="1:7">
      <c r="A317" s="332" t="s">
        <v>288</v>
      </c>
      <c r="B317" s="321" t="s">
        <v>2907</v>
      </c>
      <c r="C317" s="333"/>
      <c r="D317" s="333"/>
      <c r="E317" s="333"/>
      <c r="F317" s="322">
        <v>0.05</v>
      </c>
      <c r="G317" s="339"/>
    </row>
    <row r="318" spans="1:7">
      <c r="A318" s="332" t="s">
        <v>288</v>
      </c>
      <c r="B318" s="321" t="s">
        <v>2911</v>
      </c>
      <c r="C318" s="333"/>
      <c r="D318" s="333"/>
      <c r="E318" s="333"/>
      <c r="F318" s="322">
        <v>0.05</v>
      </c>
      <c r="G318" s="339"/>
    </row>
    <row r="319" spans="1:7">
      <c r="A319" s="332" t="s">
        <v>288</v>
      </c>
      <c r="B319" s="321" t="s">
        <v>2915</v>
      </c>
      <c r="C319" s="333"/>
      <c r="D319" s="333"/>
      <c r="E319" s="333"/>
      <c r="F319" s="322">
        <v>0.05</v>
      </c>
      <c r="G319" s="339"/>
    </row>
    <row r="320" spans="1:7">
      <c r="A320" s="332" t="s">
        <v>288</v>
      </c>
      <c r="B320" s="321" t="s">
        <v>2918</v>
      </c>
      <c r="C320" s="333"/>
      <c r="D320" s="333"/>
      <c r="E320" s="333"/>
      <c r="F320" s="322">
        <v>0.05</v>
      </c>
      <c r="G320" s="339"/>
    </row>
    <row r="321" spans="1:7">
      <c r="A321" s="332" t="s">
        <v>288</v>
      </c>
      <c r="B321" s="321" t="s">
        <v>2920</v>
      </c>
      <c r="C321" s="333"/>
      <c r="D321" s="333"/>
      <c r="E321" s="333"/>
      <c r="F321" s="322">
        <v>0.05</v>
      </c>
      <c r="G321" s="339"/>
    </row>
    <row r="322" spans="1:7">
      <c r="A322" s="332" t="s">
        <v>288</v>
      </c>
      <c r="B322" s="321" t="s">
        <v>2922</v>
      </c>
      <c r="C322" s="333"/>
      <c r="D322" s="333"/>
      <c r="E322" s="333"/>
      <c r="F322" s="322">
        <v>0.05</v>
      </c>
      <c r="G322" s="339"/>
    </row>
    <row r="323" spans="1:7">
      <c r="A323" s="332" t="s">
        <v>288</v>
      </c>
      <c r="B323" s="321" t="s">
        <v>2924</v>
      </c>
      <c r="C323" s="333"/>
      <c r="D323" s="333"/>
      <c r="E323" s="333"/>
      <c r="F323" s="322">
        <v>0.05</v>
      </c>
      <c r="G323" s="339"/>
    </row>
    <row r="324" spans="1:7">
      <c r="A324" s="332" t="s">
        <v>288</v>
      </c>
      <c r="B324" s="321" t="s">
        <v>2926</v>
      </c>
      <c r="C324" s="333"/>
      <c r="D324" s="333"/>
      <c r="E324" s="333"/>
      <c r="F324" s="322">
        <v>0.05</v>
      </c>
      <c r="G324" s="339"/>
    </row>
    <row r="325" spans="1:7">
      <c r="A325" s="332" t="s">
        <v>288</v>
      </c>
      <c r="B325" s="321" t="s">
        <v>2928</v>
      </c>
      <c r="C325" s="333"/>
      <c r="D325" s="333"/>
      <c r="E325" s="333"/>
      <c r="F325" s="322">
        <v>0.05</v>
      </c>
      <c r="G325" s="339"/>
    </row>
    <row r="326" ht="14.75" spans="1:7">
      <c r="A326" s="335" t="s">
        <v>288</v>
      </c>
      <c r="B326" s="325" t="s">
        <v>2930</v>
      </c>
      <c r="C326" s="327"/>
      <c r="D326" s="327"/>
      <c r="E326" s="327"/>
      <c r="F326" s="326">
        <v>0.05</v>
      </c>
      <c r="G326" s="340"/>
    </row>
    <row r="327" spans="1:7">
      <c r="A327" s="331" t="s">
        <v>292</v>
      </c>
      <c r="B327" s="317" t="s">
        <v>2570</v>
      </c>
      <c r="C327" s="318">
        <v>0.15</v>
      </c>
      <c r="D327" s="318">
        <v>0.15</v>
      </c>
      <c r="E327" s="318">
        <v>0.15</v>
      </c>
      <c r="F327" s="318">
        <v>0.15</v>
      </c>
      <c r="G327" s="319">
        <v>0.15</v>
      </c>
    </row>
    <row r="328" spans="1:7">
      <c r="A328" s="332" t="s">
        <v>292</v>
      </c>
      <c r="B328" s="321" t="s">
        <v>2583</v>
      </c>
      <c r="C328" s="322">
        <v>0.15</v>
      </c>
      <c r="D328" s="322">
        <v>0.15</v>
      </c>
      <c r="E328" s="322">
        <v>0.15</v>
      </c>
      <c r="F328" s="322">
        <v>0.126</v>
      </c>
      <c r="G328" s="323">
        <v>0.15</v>
      </c>
    </row>
    <row r="329" spans="1:7">
      <c r="A329" s="332" t="s">
        <v>292</v>
      </c>
      <c r="B329" s="321" t="s">
        <v>2597</v>
      </c>
      <c r="C329" s="322">
        <v>0.15</v>
      </c>
      <c r="D329" s="322">
        <v>0.15</v>
      </c>
      <c r="E329" s="322">
        <v>0.15</v>
      </c>
      <c r="F329" s="322">
        <v>0.15</v>
      </c>
      <c r="G329" s="323">
        <v>0.15</v>
      </c>
    </row>
    <row r="330" spans="1:7">
      <c r="A330" s="332" t="s">
        <v>292</v>
      </c>
      <c r="B330" s="321" t="s">
        <v>2609</v>
      </c>
      <c r="C330" s="322">
        <v>0.15</v>
      </c>
      <c r="D330" s="322">
        <v>0.15</v>
      </c>
      <c r="E330" s="322">
        <v>0.15</v>
      </c>
      <c r="F330" s="322">
        <v>0.15</v>
      </c>
      <c r="G330" s="323">
        <v>0.15</v>
      </c>
    </row>
    <row r="331" spans="1:7">
      <c r="A331" s="332" t="s">
        <v>292</v>
      </c>
      <c r="B331" s="321" t="s">
        <v>2621</v>
      </c>
      <c r="C331" s="322">
        <v>0.15</v>
      </c>
      <c r="D331" s="322">
        <v>0.15</v>
      </c>
      <c r="E331" s="322">
        <v>0.15</v>
      </c>
      <c r="F331" s="322">
        <v>0.15</v>
      </c>
      <c r="G331" s="323">
        <v>0.15</v>
      </c>
    </row>
    <row r="332" spans="1:7">
      <c r="A332" s="332" t="s">
        <v>292</v>
      </c>
      <c r="B332" s="321" t="s">
        <v>2632</v>
      </c>
      <c r="C332" s="322">
        <v>0.15</v>
      </c>
      <c r="D332" s="322">
        <v>0.15</v>
      </c>
      <c r="E332" s="322">
        <v>0.15</v>
      </c>
      <c r="F332" s="322">
        <v>0.15</v>
      </c>
      <c r="G332" s="323">
        <v>0.15</v>
      </c>
    </row>
    <row r="333" spans="1:7">
      <c r="A333" s="332" t="s">
        <v>292</v>
      </c>
      <c r="B333" s="321" t="s">
        <v>2643</v>
      </c>
      <c r="C333" s="322">
        <v>0.149</v>
      </c>
      <c r="D333" s="322">
        <v>0.149</v>
      </c>
      <c r="E333" s="322">
        <v>0.15</v>
      </c>
      <c r="F333" s="322">
        <v>0.116</v>
      </c>
      <c r="G333" s="323">
        <v>0.15</v>
      </c>
    </row>
    <row r="334" spans="1:7">
      <c r="A334" s="332" t="s">
        <v>292</v>
      </c>
      <c r="B334" s="321" t="s">
        <v>2654</v>
      </c>
      <c r="C334" s="322">
        <v>0.15</v>
      </c>
      <c r="D334" s="322">
        <v>0.15</v>
      </c>
      <c r="E334" s="322">
        <v>0.15</v>
      </c>
      <c r="F334" s="322">
        <v>0.13</v>
      </c>
      <c r="G334" s="323">
        <v>0.15</v>
      </c>
    </row>
    <row r="335" spans="1:7">
      <c r="A335" s="332" t="s">
        <v>292</v>
      </c>
      <c r="B335" s="321" t="s">
        <v>2664</v>
      </c>
      <c r="C335" s="322">
        <v>0.15</v>
      </c>
      <c r="D335" s="322">
        <v>0.15</v>
      </c>
      <c r="E335" s="322">
        <v>0.15</v>
      </c>
      <c r="F335" s="322">
        <v>0.144</v>
      </c>
      <c r="G335" s="323">
        <v>0.15</v>
      </c>
    </row>
    <row r="336" spans="1:7">
      <c r="A336" s="332" t="s">
        <v>292</v>
      </c>
      <c r="B336" s="321" t="s">
        <v>2674</v>
      </c>
      <c r="C336" s="322">
        <v>0.15</v>
      </c>
      <c r="D336" s="322">
        <v>0.15</v>
      </c>
      <c r="E336" s="322">
        <v>0.15</v>
      </c>
      <c r="F336" s="322">
        <v>0.142</v>
      </c>
      <c r="G336" s="323">
        <v>0.15</v>
      </c>
    </row>
    <row r="337" spans="1:7">
      <c r="A337" s="332" t="s">
        <v>292</v>
      </c>
      <c r="B337" s="321" t="s">
        <v>2684</v>
      </c>
      <c r="C337" s="322">
        <v>0.15</v>
      </c>
      <c r="D337" s="322">
        <v>0.15</v>
      </c>
      <c r="E337" s="322">
        <v>0.15</v>
      </c>
      <c r="F337" s="322">
        <v>0.145</v>
      </c>
      <c r="G337" s="323">
        <v>0.15</v>
      </c>
    </row>
    <row r="338" spans="1:7">
      <c r="A338" s="332" t="s">
        <v>292</v>
      </c>
      <c r="B338" s="321" t="s">
        <v>2694</v>
      </c>
      <c r="C338" s="322">
        <v>0.15</v>
      </c>
      <c r="D338" s="322">
        <v>0.15</v>
      </c>
      <c r="E338" s="322">
        <v>0.15</v>
      </c>
      <c r="F338" s="322">
        <v>0.15</v>
      </c>
      <c r="G338" s="323">
        <v>0.15</v>
      </c>
    </row>
    <row r="339" spans="1:7">
      <c r="A339" s="332" t="s">
        <v>292</v>
      </c>
      <c r="B339" s="321" t="s">
        <v>2704</v>
      </c>
      <c r="C339" s="322">
        <v>0.15</v>
      </c>
      <c r="D339" s="322">
        <v>0.15</v>
      </c>
      <c r="E339" s="322">
        <v>0.15</v>
      </c>
      <c r="F339" s="322">
        <v>0.147</v>
      </c>
      <c r="G339" s="323">
        <v>0.15</v>
      </c>
    </row>
    <row r="340" spans="1:7">
      <c r="A340" s="332" t="s">
        <v>292</v>
      </c>
      <c r="B340" s="321" t="s">
        <v>2714</v>
      </c>
      <c r="C340" s="322">
        <v>0.146</v>
      </c>
      <c r="D340" s="322">
        <v>0.146</v>
      </c>
      <c r="E340" s="322">
        <v>0.15</v>
      </c>
      <c r="F340" s="322">
        <v>0.141</v>
      </c>
      <c r="G340" s="323">
        <v>0.147</v>
      </c>
    </row>
    <row r="341" spans="1:7">
      <c r="A341" s="332" t="s">
        <v>292</v>
      </c>
      <c r="B341" s="321" t="s">
        <v>2724</v>
      </c>
      <c r="C341" s="322">
        <v>0.126</v>
      </c>
      <c r="D341" s="322">
        <v>0.124</v>
      </c>
      <c r="E341" s="322">
        <v>0.141</v>
      </c>
      <c r="F341" s="322">
        <v>0.144</v>
      </c>
      <c r="G341" s="323">
        <v>0.13</v>
      </c>
    </row>
    <row r="342" spans="1:7">
      <c r="A342" s="332" t="s">
        <v>292</v>
      </c>
      <c r="B342" s="321" t="s">
        <v>2734</v>
      </c>
      <c r="C342" s="322">
        <v>0.15</v>
      </c>
      <c r="D342" s="322">
        <v>0.15</v>
      </c>
      <c r="E342" s="322">
        <v>0.15</v>
      </c>
      <c r="F342" s="322">
        <v>0.144</v>
      </c>
      <c r="G342" s="323">
        <v>0.15</v>
      </c>
    </row>
    <row r="343" spans="1:7">
      <c r="A343" s="332" t="s">
        <v>292</v>
      </c>
      <c r="B343" s="321" t="s">
        <v>2744</v>
      </c>
      <c r="C343" s="322">
        <v>0.15</v>
      </c>
      <c r="D343" s="322">
        <v>0.15</v>
      </c>
      <c r="E343" s="322">
        <v>0.15</v>
      </c>
      <c r="F343" s="322">
        <v>0.128</v>
      </c>
      <c r="G343" s="323">
        <v>0.15</v>
      </c>
    </row>
    <row r="344" spans="1:7">
      <c r="A344" s="332" t="s">
        <v>292</v>
      </c>
      <c r="B344" s="321" t="s">
        <v>2754</v>
      </c>
      <c r="C344" s="322">
        <v>0.15</v>
      </c>
      <c r="D344" s="322">
        <v>0.15</v>
      </c>
      <c r="E344" s="322">
        <v>0.15</v>
      </c>
      <c r="F344" s="322">
        <v>0.148</v>
      </c>
      <c r="G344" s="323">
        <v>0.15</v>
      </c>
    </row>
    <row r="345" spans="1:7">
      <c r="A345" s="332" t="s">
        <v>292</v>
      </c>
      <c r="B345" s="321" t="s">
        <v>2764</v>
      </c>
      <c r="C345" s="322">
        <v>0.15</v>
      </c>
      <c r="D345" s="322">
        <v>0.15</v>
      </c>
      <c r="E345" s="322">
        <v>0.15</v>
      </c>
      <c r="F345" s="322">
        <v>0.138</v>
      </c>
      <c r="G345" s="323">
        <v>0.15</v>
      </c>
    </row>
    <row r="346" spans="1:7">
      <c r="A346" s="332" t="s">
        <v>292</v>
      </c>
      <c r="B346" s="321" t="s">
        <v>2774</v>
      </c>
      <c r="C346" s="322">
        <v>0.15</v>
      </c>
      <c r="D346" s="322">
        <v>0.15</v>
      </c>
      <c r="E346" s="322">
        <v>0.15</v>
      </c>
      <c r="F346" s="322">
        <v>0.144</v>
      </c>
      <c r="G346" s="323">
        <v>0.15</v>
      </c>
    </row>
    <row r="347" spans="1:7">
      <c r="A347" s="332" t="s">
        <v>292</v>
      </c>
      <c r="B347" s="321" t="s">
        <v>2783</v>
      </c>
      <c r="C347" s="322">
        <v>0.15</v>
      </c>
      <c r="D347" s="322">
        <v>0.15</v>
      </c>
      <c r="E347" s="322">
        <v>0.15</v>
      </c>
      <c r="F347" s="322">
        <v>0.146</v>
      </c>
      <c r="G347" s="323">
        <v>0.15</v>
      </c>
    </row>
    <row r="348" spans="1:7">
      <c r="A348" s="332" t="s">
        <v>292</v>
      </c>
      <c r="B348" s="321" t="s">
        <v>2791</v>
      </c>
      <c r="C348" s="322">
        <v>0.15</v>
      </c>
      <c r="D348" s="322">
        <v>0.15</v>
      </c>
      <c r="E348" s="322">
        <v>0.15</v>
      </c>
      <c r="F348" s="322">
        <v>0.144</v>
      </c>
      <c r="G348" s="323">
        <v>0.15</v>
      </c>
    </row>
    <row r="349" spans="1:7">
      <c r="A349" s="332" t="s">
        <v>292</v>
      </c>
      <c r="B349" s="321" t="s">
        <v>2799</v>
      </c>
      <c r="C349" s="322">
        <v>0.15</v>
      </c>
      <c r="D349" s="322">
        <v>0.15</v>
      </c>
      <c r="E349" s="322">
        <v>0.15</v>
      </c>
      <c r="F349" s="322">
        <v>0.15</v>
      </c>
      <c r="G349" s="323">
        <v>0.15</v>
      </c>
    </row>
    <row r="350" spans="1:7">
      <c r="A350" s="332" t="s">
        <v>292</v>
      </c>
      <c r="B350" s="321" t="s">
        <v>2807</v>
      </c>
      <c r="C350" s="322">
        <v>0.15</v>
      </c>
      <c r="D350" s="322">
        <v>0.15</v>
      </c>
      <c r="E350" s="322">
        <v>0.15</v>
      </c>
      <c r="F350" s="322">
        <v>0.147</v>
      </c>
      <c r="G350" s="323">
        <v>0.15</v>
      </c>
    </row>
    <row r="351" spans="1:7">
      <c r="A351" s="332" t="s">
        <v>292</v>
      </c>
      <c r="B351" s="321" t="s">
        <v>2815</v>
      </c>
      <c r="C351" s="322">
        <v>0.15</v>
      </c>
      <c r="D351" s="322">
        <v>0.15</v>
      </c>
      <c r="E351" s="322">
        <v>0.15</v>
      </c>
      <c r="F351" s="322">
        <v>0.13</v>
      </c>
      <c r="G351" s="323">
        <v>0.15</v>
      </c>
    </row>
    <row r="352" spans="1:7">
      <c r="A352" s="332" t="s">
        <v>292</v>
      </c>
      <c r="B352" s="321" t="s">
        <v>2822</v>
      </c>
      <c r="C352" s="322">
        <v>0.15</v>
      </c>
      <c r="D352" s="322">
        <v>0.15</v>
      </c>
      <c r="E352" s="322">
        <v>0.15</v>
      </c>
      <c r="F352" s="322">
        <v>0.146</v>
      </c>
      <c r="G352" s="323">
        <v>0.15</v>
      </c>
    </row>
    <row r="353" spans="1:7">
      <c r="A353" s="332" t="s">
        <v>292</v>
      </c>
      <c r="B353" s="321" t="s">
        <v>2829</v>
      </c>
      <c r="C353" s="322">
        <v>0.15</v>
      </c>
      <c r="D353" s="322">
        <v>0.15</v>
      </c>
      <c r="E353" s="322">
        <v>0.15</v>
      </c>
      <c r="F353" s="322">
        <v>0.145</v>
      </c>
      <c r="G353" s="323">
        <v>0.15</v>
      </c>
    </row>
    <row r="354" spans="1:7">
      <c r="A354" s="332" t="s">
        <v>292</v>
      </c>
      <c r="B354" s="321" t="s">
        <v>2836</v>
      </c>
      <c r="C354" s="322">
        <v>0.15</v>
      </c>
      <c r="D354" s="322">
        <v>0.15</v>
      </c>
      <c r="E354" s="322">
        <v>0.15</v>
      </c>
      <c r="F354" s="322">
        <v>0.141</v>
      </c>
      <c r="G354" s="323">
        <v>0.15</v>
      </c>
    </row>
    <row r="355" spans="1:7">
      <c r="A355" s="332" t="s">
        <v>292</v>
      </c>
      <c r="B355" s="321" t="s">
        <v>2843</v>
      </c>
      <c r="C355" s="322">
        <v>0.15</v>
      </c>
      <c r="D355" s="322">
        <v>0.15</v>
      </c>
      <c r="E355" s="322">
        <v>0.15</v>
      </c>
      <c r="F355" s="322">
        <v>0.15</v>
      </c>
      <c r="G355" s="323">
        <v>0.15</v>
      </c>
    </row>
    <row r="356" spans="1:7">
      <c r="A356" s="332" t="s">
        <v>292</v>
      </c>
      <c r="B356" s="321" t="s">
        <v>2850</v>
      </c>
      <c r="C356" s="322">
        <v>0.15</v>
      </c>
      <c r="D356" s="322">
        <v>0.15</v>
      </c>
      <c r="E356" s="322">
        <v>0.15</v>
      </c>
      <c r="F356" s="322">
        <v>0.15</v>
      </c>
      <c r="G356" s="323">
        <v>0.15</v>
      </c>
    </row>
    <row r="357" ht="14.75" spans="1:7">
      <c r="A357" s="335" t="s">
        <v>292</v>
      </c>
      <c r="B357" s="325" t="s">
        <v>2857</v>
      </c>
      <c r="C357" s="326">
        <v>0.126</v>
      </c>
      <c r="D357" s="326">
        <v>0.127</v>
      </c>
      <c r="E357" s="326">
        <v>0.143</v>
      </c>
      <c r="F357" s="326">
        <v>0.125</v>
      </c>
      <c r="G357" s="328">
        <v>0.129</v>
      </c>
    </row>
    <row r="358" spans="1:7">
      <c r="A358" s="331" t="s">
        <v>296</v>
      </c>
      <c r="B358" s="317" t="s">
        <v>2571</v>
      </c>
      <c r="C358" s="318">
        <v>0.15</v>
      </c>
      <c r="D358" s="318">
        <v>0.15</v>
      </c>
      <c r="E358" s="318">
        <v>0.15</v>
      </c>
      <c r="F358" s="318">
        <v>0.15</v>
      </c>
      <c r="G358" s="319">
        <v>0.15</v>
      </c>
    </row>
    <row r="359" spans="1:7">
      <c r="A359" s="332" t="s">
        <v>296</v>
      </c>
      <c r="B359" s="321" t="s">
        <v>2584</v>
      </c>
      <c r="C359" s="322">
        <v>0.1</v>
      </c>
      <c r="D359" s="322">
        <v>0.1</v>
      </c>
      <c r="E359" s="322">
        <v>0.1</v>
      </c>
      <c r="F359" s="322">
        <v>0.1</v>
      </c>
      <c r="G359" s="323">
        <v>0.1</v>
      </c>
    </row>
    <row r="360" spans="1:7">
      <c r="A360" s="332" t="s">
        <v>296</v>
      </c>
      <c r="B360" s="321" t="s">
        <v>2598</v>
      </c>
      <c r="C360" s="322">
        <v>0.15</v>
      </c>
      <c r="D360" s="322">
        <v>0.15</v>
      </c>
      <c r="E360" s="322">
        <v>0.15</v>
      </c>
      <c r="F360" s="322">
        <v>0.149</v>
      </c>
      <c r="G360" s="323">
        <v>0.15</v>
      </c>
    </row>
    <row r="361" spans="1:7">
      <c r="A361" s="332" t="s">
        <v>296</v>
      </c>
      <c r="B361" s="321" t="s">
        <v>2610</v>
      </c>
      <c r="C361" s="322">
        <v>0.15</v>
      </c>
      <c r="D361" s="322">
        <v>0.15</v>
      </c>
      <c r="E361" s="322">
        <v>0.15</v>
      </c>
      <c r="F361" s="322">
        <v>0.115</v>
      </c>
      <c r="G361" s="323">
        <v>0.15</v>
      </c>
    </row>
    <row r="362" spans="1:7">
      <c r="A362" s="332" t="s">
        <v>296</v>
      </c>
      <c r="B362" s="321" t="s">
        <v>2622</v>
      </c>
      <c r="C362" s="322">
        <v>0.15</v>
      </c>
      <c r="D362" s="322">
        <v>0.15</v>
      </c>
      <c r="E362" s="322">
        <v>0.15</v>
      </c>
      <c r="F362" s="322">
        <v>0.106</v>
      </c>
      <c r="G362" s="323">
        <v>0.15</v>
      </c>
    </row>
    <row r="363" spans="1:7">
      <c r="A363" s="332" t="s">
        <v>296</v>
      </c>
      <c r="B363" s="321" t="s">
        <v>2633</v>
      </c>
      <c r="C363" s="322">
        <v>0.15</v>
      </c>
      <c r="D363" s="322">
        <v>0.15</v>
      </c>
      <c r="E363" s="322">
        <v>0.15</v>
      </c>
      <c r="F363" s="322">
        <v>0.147</v>
      </c>
      <c r="G363" s="323">
        <v>0.15</v>
      </c>
    </row>
    <row r="364" spans="1:7">
      <c r="A364" s="332" t="s">
        <v>296</v>
      </c>
      <c r="B364" s="321" t="s">
        <v>2644</v>
      </c>
      <c r="C364" s="322">
        <v>0.15</v>
      </c>
      <c r="D364" s="322">
        <v>0.15</v>
      </c>
      <c r="E364" s="322">
        <v>0.15</v>
      </c>
      <c r="F364" s="322">
        <v>0.148</v>
      </c>
      <c r="G364" s="323">
        <v>0.15</v>
      </c>
    </row>
    <row r="365" spans="1:7">
      <c r="A365" s="332" t="s">
        <v>296</v>
      </c>
      <c r="B365" s="321" t="s">
        <v>2655</v>
      </c>
      <c r="C365" s="322">
        <v>0.15</v>
      </c>
      <c r="D365" s="322">
        <v>0.15</v>
      </c>
      <c r="E365" s="322">
        <v>0.15</v>
      </c>
      <c r="F365" s="322">
        <v>0.15</v>
      </c>
      <c r="G365" s="323">
        <v>0.15</v>
      </c>
    </row>
    <row r="366" spans="1:7">
      <c r="A366" s="332" t="s">
        <v>296</v>
      </c>
      <c r="B366" s="321" t="s">
        <v>2665</v>
      </c>
      <c r="C366" s="322">
        <v>0.15</v>
      </c>
      <c r="D366" s="322">
        <v>0.15</v>
      </c>
      <c r="E366" s="322">
        <v>0.15</v>
      </c>
      <c r="F366" s="322">
        <v>0.15</v>
      </c>
      <c r="G366" s="323">
        <v>0.15</v>
      </c>
    </row>
    <row r="367" spans="1:7">
      <c r="A367" s="332" t="s">
        <v>296</v>
      </c>
      <c r="B367" s="321" t="s">
        <v>2675</v>
      </c>
      <c r="C367" s="322">
        <v>0.15</v>
      </c>
      <c r="D367" s="322">
        <v>0.15</v>
      </c>
      <c r="E367" s="322">
        <v>0.15</v>
      </c>
      <c r="F367" s="322">
        <v>0.147</v>
      </c>
      <c r="G367" s="323">
        <v>0.15</v>
      </c>
    </row>
    <row r="368" spans="1:7">
      <c r="A368" s="332" t="s">
        <v>296</v>
      </c>
      <c r="B368" s="321" t="s">
        <v>2685</v>
      </c>
      <c r="C368" s="322">
        <v>0.15</v>
      </c>
      <c r="D368" s="322">
        <v>0.15</v>
      </c>
      <c r="E368" s="322">
        <v>0.15</v>
      </c>
      <c r="F368" s="322">
        <v>0.136</v>
      </c>
      <c r="G368" s="323">
        <v>0.15</v>
      </c>
    </row>
    <row r="369" spans="1:7">
      <c r="A369" s="332" t="s">
        <v>296</v>
      </c>
      <c r="B369" s="321" t="s">
        <v>2695</v>
      </c>
      <c r="C369" s="322">
        <v>0.15</v>
      </c>
      <c r="D369" s="322">
        <v>0.15</v>
      </c>
      <c r="E369" s="322">
        <v>0.15</v>
      </c>
      <c r="F369" s="322">
        <v>0.144</v>
      </c>
      <c r="G369" s="323">
        <v>0.15</v>
      </c>
    </row>
    <row r="370" spans="1:7">
      <c r="A370" s="332" t="s">
        <v>296</v>
      </c>
      <c r="B370" s="321" t="s">
        <v>2705</v>
      </c>
      <c r="C370" s="322">
        <v>0.15</v>
      </c>
      <c r="D370" s="322">
        <v>0.15</v>
      </c>
      <c r="E370" s="322">
        <v>0.15</v>
      </c>
      <c r="F370" s="322">
        <v>0.146</v>
      </c>
      <c r="G370" s="323">
        <v>0.15</v>
      </c>
    </row>
    <row r="371" spans="1:7">
      <c r="A371" s="332" t="s">
        <v>296</v>
      </c>
      <c r="B371" s="321" t="s">
        <v>2715</v>
      </c>
      <c r="C371" s="322">
        <v>0.15</v>
      </c>
      <c r="D371" s="322">
        <v>0.15</v>
      </c>
      <c r="E371" s="322">
        <v>0.15</v>
      </c>
      <c r="F371" s="322">
        <v>0.12</v>
      </c>
      <c r="G371" s="323">
        <v>0.15</v>
      </c>
    </row>
    <row r="372" spans="1:7">
      <c r="A372" s="332" t="s">
        <v>296</v>
      </c>
      <c r="B372" s="321" t="s">
        <v>2725</v>
      </c>
      <c r="C372" s="322">
        <v>0.15</v>
      </c>
      <c r="D372" s="322">
        <v>0.15</v>
      </c>
      <c r="E372" s="322">
        <v>0.15</v>
      </c>
      <c r="F372" s="322">
        <v>0.143</v>
      </c>
      <c r="G372" s="323">
        <v>0.15</v>
      </c>
    </row>
    <row r="373" spans="1:7">
      <c r="A373" s="332" t="s">
        <v>296</v>
      </c>
      <c r="B373" s="321" t="s">
        <v>2735</v>
      </c>
      <c r="C373" s="322">
        <v>0.15</v>
      </c>
      <c r="D373" s="322">
        <v>0.15</v>
      </c>
      <c r="E373" s="322">
        <v>0.15</v>
      </c>
      <c r="F373" s="322">
        <v>0.146</v>
      </c>
      <c r="G373" s="323">
        <v>0.15</v>
      </c>
    </row>
    <row r="374" spans="1:7">
      <c r="A374" s="332" t="s">
        <v>296</v>
      </c>
      <c r="B374" s="321" t="s">
        <v>2745</v>
      </c>
      <c r="C374" s="322">
        <v>0.15</v>
      </c>
      <c r="D374" s="322">
        <v>0.15</v>
      </c>
      <c r="E374" s="322">
        <v>0.15</v>
      </c>
      <c r="F374" s="322">
        <v>0.144</v>
      </c>
      <c r="G374" s="323">
        <v>0.15</v>
      </c>
    </row>
    <row r="375" spans="1:7">
      <c r="A375" s="332" t="s">
        <v>296</v>
      </c>
      <c r="B375" s="321" t="s">
        <v>2755</v>
      </c>
      <c r="C375" s="322">
        <v>0.15</v>
      </c>
      <c r="D375" s="322">
        <v>0.15</v>
      </c>
      <c r="E375" s="322">
        <v>0.15</v>
      </c>
      <c r="F375" s="322">
        <v>0.13</v>
      </c>
      <c r="G375" s="323">
        <v>0.15</v>
      </c>
    </row>
    <row r="376" spans="1:7">
      <c r="A376" s="332" t="s">
        <v>296</v>
      </c>
      <c r="B376" s="321" t="s">
        <v>2765</v>
      </c>
      <c r="C376" s="322">
        <v>0.15</v>
      </c>
      <c r="D376" s="322">
        <v>0.15</v>
      </c>
      <c r="E376" s="322">
        <v>0.15</v>
      </c>
      <c r="F376" s="322">
        <v>0.142</v>
      </c>
      <c r="G376" s="323">
        <v>0.15</v>
      </c>
    </row>
    <row r="377" ht="14.75" spans="1:7">
      <c r="A377" s="335" t="s">
        <v>296</v>
      </c>
      <c r="B377" s="325" t="s">
        <v>2775</v>
      </c>
      <c r="C377" s="326">
        <v>0.15</v>
      </c>
      <c r="D377" s="326">
        <v>0.15</v>
      </c>
      <c r="E377" s="326">
        <v>0.15</v>
      </c>
      <c r="F377" s="326">
        <v>0.14</v>
      </c>
      <c r="G377" s="328">
        <v>0.15</v>
      </c>
    </row>
    <row r="378" spans="1:7">
      <c r="A378" s="331" t="s">
        <v>300</v>
      </c>
      <c r="B378" s="317" t="s">
        <v>2572</v>
      </c>
      <c r="C378" s="318">
        <v>0.15</v>
      </c>
      <c r="D378" s="318">
        <v>0.15</v>
      </c>
      <c r="E378" s="318">
        <v>0.15</v>
      </c>
      <c r="F378" s="318">
        <v>0.107</v>
      </c>
      <c r="G378" s="319">
        <v>0.15</v>
      </c>
    </row>
    <row r="379" spans="1:7">
      <c r="A379" s="332" t="s">
        <v>300</v>
      </c>
      <c r="B379" s="321" t="s">
        <v>2585</v>
      </c>
      <c r="C379" s="322">
        <v>0.15</v>
      </c>
      <c r="D379" s="322">
        <v>0.15</v>
      </c>
      <c r="E379" s="322">
        <v>0.15</v>
      </c>
      <c r="F379" s="322">
        <v>0.115</v>
      </c>
      <c r="G379" s="323">
        <v>0.149</v>
      </c>
    </row>
    <row r="380" spans="1:7">
      <c r="A380" s="332" t="s">
        <v>300</v>
      </c>
      <c r="B380" s="321" t="s">
        <v>2599</v>
      </c>
      <c r="C380" s="322">
        <v>0.15</v>
      </c>
      <c r="D380" s="322">
        <v>0.15</v>
      </c>
      <c r="E380" s="322">
        <v>0.15</v>
      </c>
      <c r="F380" s="322">
        <v>0.1</v>
      </c>
      <c r="G380" s="323">
        <v>0.148</v>
      </c>
    </row>
    <row r="381" spans="1:7">
      <c r="A381" s="332" t="s">
        <v>300</v>
      </c>
      <c r="B381" s="321" t="s">
        <v>2611</v>
      </c>
      <c r="C381" s="322">
        <v>0.15</v>
      </c>
      <c r="D381" s="322">
        <v>0.15</v>
      </c>
      <c r="E381" s="322">
        <v>0.15</v>
      </c>
      <c r="F381" s="322">
        <v>0.126</v>
      </c>
      <c r="G381" s="323">
        <v>0.15</v>
      </c>
    </row>
    <row r="382" spans="1:7">
      <c r="A382" s="332" t="s">
        <v>300</v>
      </c>
      <c r="B382" s="321" t="s">
        <v>2623</v>
      </c>
      <c r="C382" s="322">
        <v>0.15</v>
      </c>
      <c r="D382" s="322">
        <v>0.15</v>
      </c>
      <c r="E382" s="322">
        <v>0.15</v>
      </c>
      <c r="F382" s="322">
        <v>0.15</v>
      </c>
      <c r="G382" s="323">
        <v>0.15</v>
      </c>
    </row>
    <row r="383" spans="1:7">
      <c r="A383" s="332" t="s">
        <v>300</v>
      </c>
      <c r="B383" s="321" t="s">
        <v>2634</v>
      </c>
      <c r="C383" s="322">
        <v>0.15</v>
      </c>
      <c r="D383" s="322">
        <v>0.15</v>
      </c>
      <c r="E383" s="322">
        <v>0.15</v>
      </c>
      <c r="F383" s="322">
        <v>0.147</v>
      </c>
      <c r="G383" s="323">
        <v>0.15</v>
      </c>
    </row>
    <row r="384" ht="14.75" spans="1:7">
      <c r="A384" s="342" t="s">
        <v>300</v>
      </c>
      <c r="B384" s="343" t="s">
        <v>2645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2949</v>
      </c>
      <c r="B1" s="300"/>
      <c r="C1" s="300"/>
      <c r="D1" s="300"/>
      <c r="E1" s="300"/>
      <c r="F1" s="301"/>
    </row>
    <row r="2" spans="1:6">
      <c r="A2" s="302" t="s">
        <v>2950</v>
      </c>
      <c r="B2" s="303"/>
      <c r="C2" s="303"/>
      <c r="D2" s="303"/>
      <c r="E2" s="303"/>
      <c r="F2" s="303"/>
    </row>
    <row r="3" spans="1:6">
      <c r="A3" s="302" t="s">
        <v>2951</v>
      </c>
      <c r="B3" s="303"/>
      <c r="C3" s="303"/>
      <c r="D3" s="303"/>
      <c r="E3" s="303"/>
      <c r="F3" s="304" t="s">
        <v>2952</v>
      </c>
    </row>
    <row r="4" spans="1:6">
      <c r="A4" s="305" t="s">
        <v>404</v>
      </c>
      <c r="B4" s="305" t="s">
        <v>549</v>
      </c>
      <c r="C4" s="305" t="s">
        <v>1956</v>
      </c>
      <c r="D4" s="305" t="s">
        <v>2953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5" sqref="E15"/>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45644</v>
      </c>
      <c r="B1" s="226" t="s">
        <v>2954</v>
      </c>
      <c r="C1" s="227"/>
      <c r="D1" s="227"/>
      <c r="E1" s="227"/>
      <c r="F1" s="227"/>
      <c r="G1" s="227"/>
      <c r="H1" s="227"/>
      <c r="I1" s="227"/>
      <c r="J1" s="253"/>
      <c r="K1" s="227" t="s">
        <v>2955</v>
      </c>
      <c r="L1" s="227"/>
      <c r="M1" s="227"/>
      <c r="N1" s="227"/>
      <c r="O1" s="227"/>
      <c r="P1" s="227"/>
      <c r="Q1" s="253"/>
      <c r="R1" s="273" t="s">
        <v>2956</v>
      </c>
      <c r="S1" s="224"/>
      <c r="T1" s="224"/>
      <c r="U1" s="224"/>
      <c r="V1" s="224"/>
      <c r="W1" s="224"/>
      <c r="X1" s="253"/>
      <c r="Y1" s="273" t="s">
        <v>2957</v>
      </c>
      <c r="Z1" s="224"/>
      <c r="AA1" s="224"/>
      <c r="AB1" s="224"/>
      <c r="AC1" s="224"/>
      <c r="AD1" s="224"/>
    </row>
    <row r="2" s="217" customFormat="1" ht="14.75" spans="2:30">
      <c r="B2" s="228"/>
      <c r="C2" s="229"/>
      <c r="D2" s="230" t="s">
        <v>2958</v>
      </c>
      <c r="E2" s="231" t="s">
        <v>549</v>
      </c>
      <c r="F2" s="231" t="s">
        <v>1956</v>
      </c>
      <c r="G2" s="231" t="s">
        <v>412</v>
      </c>
      <c r="H2" s="231" t="s">
        <v>408</v>
      </c>
      <c r="I2" s="231" t="s">
        <v>280</v>
      </c>
      <c r="J2" s="254"/>
      <c r="K2" s="230" t="s">
        <v>2958</v>
      </c>
      <c r="L2" s="231" t="s">
        <v>549</v>
      </c>
      <c r="M2" s="231" t="s">
        <v>1956</v>
      </c>
      <c r="N2" s="231" t="s">
        <v>412</v>
      </c>
      <c r="O2" s="231" t="s">
        <v>408</v>
      </c>
      <c r="P2" s="231" t="s">
        <v>280</v>
      </c>
      <c r="Q2" s="254"/>
      <c r="R2" s="230" t="s">
        <v>2958</v>
      </c>
      <c r="S2" s="231" t="s">
        <v>549</v>
      </c>
      <c r="T2" s="231" t="s">
        <v>1956</v>
      </c>
      <c r="U2" s="231" t="s">
        <v>412</v>
      </c>
      <c r="V2" s="231" t="s">
        <v>408</v>
      </c>
      <c r="W2" s="231" t="s">
        <v>280</v>
      </c>
      <c r="X2" s="254"/>
      <c r="Y2" s="230" t="s">
        <v>2958</v>
      </c>
      <c r="Z2" s="231" t="s">
        <v>549</v>
      </c>
      <c r="AA2" s="231" t="s">
        <v>1956</v>
      </c>
      <c r="AB2" s="231" t="s">
        <v>412</v>
      </c>
      <c r="AC2" s="231" t="s">
        <v>408</v>
      </c>
      <c r="AD2" s="231" t="s">
        <v>280</v>
      </c>
    </row>
    <row r="3" s="218" customFormat="1" ht="13" spans="1:30">
      <c r="A3" s="232" t="s">
        <v>2959</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2960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2961</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2962</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2963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2964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2965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2966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2967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2968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2969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2970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2971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2972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2973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2974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2975</v>
      </c>
    </row>
    <row r="22" s="223" customFormat="1" spans="9:9">
      <c r="I22" s="272" t="s">
        <v>2079</v>
      </c>
    </row>
    <row r="23" s="223" customFormat="1"/>
    <row r="24" s="224" customFormat="1" ht="13" spans="2:25">
      <c r="B24" s="226" t="s">
        <v>2976</v>
      </c>
      <c r="C24" s="227"/>
      <c r="D24" s="227"/>
      <c r="E24" s="227"/>
      <c r="F24" s="227"/>
      <c r="G24" s="227"/>
      <c r="H24" s="227"/>
      <c r="I24" s="227"/>
      <c r="J24" s="253"/>
      <c r="K24" s="227" t="s">
        <v>2955</v>
      </c>
      <c r="L24" s="227"/>
      <c r="M24" s="227"/>
      <c r="N24" s="227"/>
      <c r="O24" s="227"/>
      <c r="P24" s="227"/>
      <c r="Q24" s="253"/>
      <c r="R24" s="273" t="s">
        <v>2956</v>
      </c>
      <c r="X24" s="253"/>
      <c r="Y24" s="273" t="s">
        <v>2957</v>
      </c>
    </row>
    <row r="25" s="217" customFormat="1" ht="14.75" spans="2:30">
      <c r="B25" s="228"/>
      <c r="C25" s="229"/>
      <c r="D25" s="230" t="s">
        <v>2958</v>
      </c>
      <c r="E25" s="231" t="s">
        <v>549</v>
      </c>
      <c r="F25" s="231" t="s">
        <v>1956</v>
      </c>
      <c r="G25" s="231" t="s">
        <v>412</v>
      </c>
      <c r="H25" s="231"/>
      <c r="I25" s="231" t="s">
        <v>280</v>
      </c>
      <c r="J25" s="254"/>
      <c r="K25" s="230" t="s">
        <v>2958</v>
      </c>
      <c r="L25" s="231" t="s">
        <v>549</v>
      </c>
      <c r="M25" s="231" t="s">
        <v>1956</v>
      </c>
      <c r="N25" s="231" t="s">
        <v>412</v>
      </c>
      <c r="O25" s="231"/>
      <c r="P25" s="231" t="s">
        <v>280</v>
      </c>
      <c r="Q25" s="254"/>
      <c r="R25" s="230" t="s">
        <v>2958</v>
      </c>
      <c r="S25" s="231" t="s">
        <v>549</v>
      </c>
      <c r="T25" s="231" t="s">
        <v>1956</v>
      </c>
      <c r="U25" s="231" t="s">
        <v>412</v>
      </c>
      <c r="V25" s="231"/>
      <c r="W25" s="231" t="s">
        <v>280</v>
      </c>
      <c r="X25" s="254"/>
      <c r="Y25" s="230" t="s">
        <v>2958</v>
      </c>
      <c r="Z25" s="231" t="s">
        <v>549</v>
      </c>
      <c r="AA25" s="231" t="s">
        <v>1956</v>
      </c>
      <c r="AB25" s="231" t="s">
        <v>412</v>
      </c>
      <c r="AC25" s="231"/>
      <c r="AD25" s="231" t="s">
        <v>280</v>
      </c>
    </row>
    <row r="26" s="218" customFormat="1" ht="13" spans="1:30">
      <c r="A26" s="232" t="s">
        <v>2959</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2960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2961</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2962</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2963</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2964</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2965</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2966</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2967</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2968</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2969</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2970</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2971</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2972</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2973</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2974</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2977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5" sqref="E15"/>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2978</v>
      </c>
      <c r="C1" s="85"/>
      <c r="D1" s="85"/>
      <c r="E1" s="85"/>
      <c r="F1" s="85"/>
      <c r="G1" s="74" t="s">
        <v>2979</v>
      </c>
      <c r="N1" s="74" t="s">
        <v>2955</v>
      </c>
      <c r="S1" s="74" t="s">
        <v>2980</v>
      </c>
      <c r="X1" s="158" t="s">
        <v>2956</v>
      </c>
      <c r="AD1" s="158" t="s">
        <v>2957</v>
      </c>
    </row>
    <row r="2" s="75" customFormat="1" ht="14.75" spans="2:34">
      <c r="B2" s="86" t="s">
        <v>2981</v>
      </c>
      <c r="C2" s="86" t="s">
        <v>2982</v>
      </c>
      <c r="D2" s="87" t="s">
        <v>1956</v>
      </c>
      <c r="E2" s="87" t="s">
        <v>412</v>
      </c>
      <c r="F2" s="86" t="s">
        <v>2983</v>
      </c>
      <c r="G2" s="88"/>
      <c r="I2" s="86" t="s">
        <v>2981</v>
      </c>
      <c r="J2" s="87" t="s">
        <v>2248</v>
      </c>
      <c r="K2" s="87" t="s">
        <v>412</v>
      </c>
      <c r="L2" s="86" t="s">
        <v>2983</v>
      </c>
      <c r="N2" s="86" t="s">
        <v>2981</v>
      </c>
      <c r="O2" s="87" t="s">
        <v>2248</v>
      </c>
      <c r="P2" s="87" t="s">
        <v>412</v>
      </c>
      <c r="Q2" s="86" t="s">
        <v>2983</v>
      </c>
      <c r="S2" s="86" t="s">
        <v>2981</v>
      </c>
      <c r="T2" s="87" t="s">
        <v>2248</v>
      </c>
      <c r="U2" s="87" t="s">
        <v>412</v>
      </c>
      <c r="V2" s="86" t="s">
        <v>2983</v>
      </c>
      <c r="X2" s="86" t="s">
        <v>2981</v>
      </c>
      <c r="Y2" s="86" t="s">
        <v>2982</v>
      </c>
      <c r="Z2" s="87" t="s">
        <v>1956</v>
      </c>
      <c r="AA2" s="87" t="s">
        <v>412</v>
      </c>
      <c r="AB2" s="86" t="s">
        <v>2983</v>
      </c>
      <c r="AD2" s="86" t="s">
        <v>2981</v>
      </c>
      <c r="AE2" s="86" t="s">
        <v>2982</v>
      </c>
      <c r="AF2" s="87" t="s">
        <v>1956</v>
      </c>
      <c r="AG2" s="87" t="s">
        <v>412</v>
      </c>
      <c r="AH2" s="86" t="s">
        <v>2983</v>
      </c>
    </row>
    <row r="3" s="76" customFormat="1" ht="14" spans="1:34">
      <c r="A3" s="89" t="s">
        <v>2959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2967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2984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2969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2970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2971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2972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2973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2974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2985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2986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2987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2988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2989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2990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2991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2992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2993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2994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2995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2996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2997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2998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2999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3000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3001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3002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3003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3004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3005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3006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3007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3008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3009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3010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3011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3012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3013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3014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3015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3016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3017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3018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3019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3020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3021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3022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3023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3024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3025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3026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3027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3028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3029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3030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3031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3032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3033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3034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3035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3036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3037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3038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3039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3040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3041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3042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3043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3044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3045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3046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3047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3048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3049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3050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3051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3052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3053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3054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3055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3056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3057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3058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3059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3060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3061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3062</v>
      </c>
      <c r="G91" s="192"/>
      <c r="N91" s="192"/>
      <c r="S91" s="192"/>
    </row>
    <row r="92" s="82" customFormat="1" ht="13" spans="1:19">
      <c r="A92" s="82" t="s">
        <v>3063</v>
      </c>
      <c r="G92" s="192"/>
      <c r="N92" s="192"/>
      <c r="S92" s="192"/>
    </row>
    <row r="93" s="82" customFormat="1" ht="13" spans="1:22">
      <c r="A93" s="82" t="s">
        <v>3064</v>
      </c>
      <c r="G93" s="192"/>
      <c r="I93" s="204"/>
      <c r="J93" s="204"/>
      <c r="K93" s="204"/>
      <c r="L93" s="204"/>
      <c r="N93" s="205"/>
      <c r="O93" s="204"/>
      <c r="P93" s="204"/>
      <c r="Q93" s="204"/>
      <c r="S93" s="205"/>
      <c r="T93" s="204"/>
      <c r="U93" s="204"/>
      <c r="V93" s="204"/>
    </row>
    <row r="94" s="82" customFormat="1" ht="13" spans="1:19">
      <c r="A94" s="82" t="s">
        <v>3065</v>
      </c>
      <c r="G94" s="192"/>
      <c r="N94" s="192"/>
      <c r="S94" s="192"/>
    </row>
    <row r="101" ht="13.25"/>
    <row r="102" ht="13" spans="7:22">
      <c r="G102" s="83"/>
      <c r="S102" s="209" t="s">
        <v>3066</v>
      </c>
      <c r="T102" s="210" t="s">
        <v>3067</v>
      </c>
      <c r="U102" s="210" t="s">
        <v>3068</v>
      </c>
      <c r="V102" s="210" t="s">
        <v>3069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E15" sqref="E1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45644</v>
      </c>
      <c r="D1" s="7" t="s">
        <v>3070</v>
      </c>
      <c r="E1" s="9">
        <f>'数据-取费表'!B22</f>
        <v>2</v>
      </c>
      <c r="F1" s="7" t="s">
        <v>3071</v>
      </c>
      <c r="G1" s="10">
        <f ca="1">INDIRECT("d"&amp;$K$1)/100</f>
        <v>0.0335</v>
      </c>
      <c r="H1" s="7" t="s">
        <v>3072</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3071</v>
      </c>
      <c r="E2" s="11"/>
      <c r="F2" s="11" t="s">
        <v>3073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3074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3075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3076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3077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3078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3080</v>
      </c>
      <c r="C10" s="35"/>
      <c r="D10" s="35"/>
      <c r="E10" s="35"/>
      <c r="F10" s="35"/>
      <c r="G10" s="35"/>
      <c r="H10" s="35"/>
      <c r="I10" s="3"/>
      <c r="J10" s="3"/>
      <c r="K10" s="35"/>
      <c r="L10" s="36" t="s">
        <v>3081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3082</v>
      </c>
      <c r="C11" s="39" t="s">
        <v>3083</v>
      </c>
      <c r="D11" s="40" t="s">
        <v>3084</v>
      </c>
      <c r="E11" s="41"/>
      <c r="F11" s="40" t="s">
        <v>3085</v>
      </c>
      <c r="G11" s="42"/>
      <c r="H11" s="41"/>
      <c r="I11" s="40" t="s">
        <v>3086</v>
      </c>
      <c r="J11" s="41"/>
      <c r="K11" s="37"/>
      <c r="L11" s="38" t="s">
        <v>3082</v>
      </c>
      <c r="M11" s="39" t="s">
        <v>3083</v>
      </c>
      <c r="N11" s="38" t="s">
        <v>3087</v>
      </c>
      <c r="O11" s="40" t="s">
        <v>3088</v>
      </c>
      <c r="P11" s="42"/>
      <c r="Q11" s="42"/>
      <c r="R11" s="42"/>
      <c r="S11" s="42"/>
      <c r="T11" s="41"/>
      <c r="U11" s="40" t="s">
        <v>3089</v>
      </c>
      <c r="V11" s="42"/>
      <c r="W11" s="41"/>
      <c r="X11" s="38" t="s">
        <v>3090</v>
      </c>
      <c r="Y11" s="38" t="s">
        <v>3091</v>
      </c>
      <c r="Z11" s="38" t="s">
        <v>3092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3093</v>
      </c>
      <c r="E12" s="46" t="s">
        <v>3075</v>
      </c>
      <c r="F12" s="46" t="s">
        <v>3076</v>
      </c>
      <c r="G12" s="46" t="s">
        <v>3077</v>
      </c>
      <c r="H12" s="46" t="s">
        <v>3078</v>
      </c>
      <c r="I12" s="60" t="s">
        <v>3094</v>
      </c>
      <c r="J12" s="60" t="s">
        <v>3094</v>
      </c>
      <c r="K12" s="43"/>
      <c r="L12" s="44"/>
      <c r="M12" s="45"/>
      <c r="N12" s="44"/>
      <c r="O12" s="60" t="s">
        <v>3095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3096</v>
      </c>
      <c r="C13" s="49">
        <v>45495</v>
      </c>
      <c r="D13" s="50">
        <v>3.35</v>
      </c>
      <c r="E13" s="50">
        <f>D13</f>
        <v>3.35</v>
      </c>
      <c r="F13" s="50">
        <f>D13</f>
        <v>3.35</v>
      </c>
      <c r="G13" s="50">
        <f>D13</f>
        <v>3.35</v>
      </c>
      <c r="H13" s="50">
        <v>3.85</v>
      </c>
      <c r="I13" s="50"/>
      <c r="J13" s="50"/>
      <c r="K13" s="47"/>
      <c r="L13" s="48" t="s">
        <v>3096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3097</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3098</v>
      </c>
      <c r="Y42" s="52" t="s">
        <v>3098</v>
      </c>
      <c r="Z42" s="52" t="s">
        <v>3098</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3098</v>
      </c>
      <c r="Y43" s="52" t="s">
        <v>3098</v>
      </c>
      <c r="Z43" s="52" t="s">
        <v>3098</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3098</v>
      </c>
      <c r="Y44" s="52" t="s">
        <v>3098</v>
      </c>
      <c r="Z44" s="52" t="s">
        <v>3098</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3098</v>
      </c>
      <c r="Y45" s="52" t="s">
        <v>3098</v>
      </c>
      <c r="Z45" s="52" t="s">
        <v>3098</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3098</v>
      </c>
      <c r="Y46" s="52" t="s">
        <v>3098</v>
      </c>
      <c r="Z46" s="52" t="s">
        <v>3098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3098</v>
      </c>
      <c r="Y47" s="52" t="s">
        <v>3098</v>
      </c>
      <c r="Z47" s="52" t="s">
        <v>3098</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3098</v>
      </c>
      <c r="Y48" s="52" t="s">
        <v>3098</v>
      </c>
      <c r="Z48" s="52" t="s">
        <v>3098</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3098</v>
      </c>
      <c r="Y49" s="52" t="s">
        <v>3098</v>
      </c>
      <c r="Z49" s="52" t="s">
        <v>3098</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3098</v>
      </c>
      <c r="Y50" s="52" t="s">
        <v>3098</v>
      </c>
      <c r="Z50" s="52" t="s">
        <v>3098</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3098</v>
      </c>
      <c r="V51" s="52" t="s">
        <v>3098</v>
      </c>
      <c r="W51" s="52" t="s">
        <v>3098</v>
      </c>
      <c r="X51" s="52" t="s">
        <v>3098</v>
      </c>
      <c r="Y51" s="52" t="s">
        <v>3098</v>
      </c>
      <c r="Z51" s="52" t="s">
        <v>3098</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3098</v>
      </c>
      <c r="J68" s="52" t="s">
        <v>3098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68156.19</v>
      </c>
      <c r="C4" s="3668">
        <f>项目基本情况!C18</f>
        <v>11645.87</v>
      </c>
      <c r="D4" s="3668">
        <f ca="1">结果表!D118</f>
        <v>13968</v>
      </c>
      <c r="E4" s="3668">
        <f ca="1">结果表!E118</f>
        <v>2050</v>
      </c>
      <c r="F4" s="3668">
        <f ca="1">结果表!F118</f>
        <v>36097</v>
      </c>
      <c r="G4" s="3668">
        <f ca="1">结果表!G118</f>
        <v>5296</v>
      </c>
      <c r="H4" s="3668">
        <f ca="1">结果表!H118</f>
        <v>50065</v>
      </c>
      <c r="I4" s="3668">
        <f ca="1">结果表!I118</f>
        <v>7346</v>
      </c>
    </row>
    <row r="5" ht="30" customHeight="1" spans="1:9">
      <c r="A5" s="3668" t="s">
        <v>112</v>
      </c>
      <c r="B5" s="3668"/>
      <c r="C5" s="3668"/>
      <c r="D5" s="3668" t="str">
        <f ca="1">结果表!D119</f>
        <v>壹亿叁仟玖佰陆拾捌万元整</v>
      </c>
      <c r="E5" s="3668"/>
      <c r="F5" s="3668" t="str">
        <f ca="1">结果表!F119</f>
        <v>叁亿陆仟零玖拾柒万元整</v>
      </c>
      <c r="G5" s="3668"/>
      <c r="H5" s="3668" t="str">
        <f ca="1">结果表!H119</f>
        <v>伍亿零陆拾伍万元整</v>
      </c>
      <c r="I5" s="3668"/>
    </row>
    <row r="6" ht="15.5" spans="1:9">
      <c r="A6" s="3670" t="str">
        <f>结果表!A120</f>
        <v>估价师知悉的法定优先受偿款</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房地产抵押价值</v>
      </c>
      <c r="B8" s="3670"/>
      <c r="C8" s="3670"/>
      <c r="D8" s="3670">
        <f ca="1">结果表!D122</f>
        <v>50065</v>
      </c>
      <c r="E8" s="3670"/>
      <c r="F8" s="3670"/>
      <c r="G8" s="3670"/>
      <c r="H8" s="3670"/>
      <c r="I8" s="3670"/>
    </row>
    <row r="9" ht="15.5" spans="1:9">
      <c r="A9" s="3668" t="s">
        <v>112</v>
      </c>
      <c r="B9" s="3668"/>
      <c r="C9" s="3668"/>
      <c r="D9" s="3668" t="str">
        <f ca="1">结果表!D123</f>
        <v>伍亿零陆拾伍万元整</v>
      </c>
      <c r="E9" s="3668"/>
      <c r="F9" s="3668"/>
      <c r="G9" s="3668"/>
      <c r="H9" s="3668"/>
      <c r="I9" s="3668"/>
    </row>
    <row r="10" ht="15.5" spans="1:9">
      <c r="A10" s="3670" t="str">
        <f>结果表!A124</f>
        <v/>
      </c>
      <c r="B10" s="3670"/>
      <c r="C10" s="3670"/>
      <c r="D10" s="3670" t="str">
        <f ca="1">结果表!D124</f>
        <v>——</v>
      </c>
      <c r="E10" s="3670"/>
      <c r="F10" s="3670"/>
      <c r="G10" s="3670"/>
      <c r="H10" s="3670"/>
      <c r="I10" s="3670"/>
    </row>
    <row r="11" ht="15.5" spans="1:9">
      <c r="A11" s="3668" t="s">
        <v>112</v>
      </c>
      <c r="B11" s="3668"/>
      <c r="C11" s="3668"/>
      <c r="D11" s="3668" t="e">
        <f ca="1">结果表!D125</f>
        <v>#VALUE!</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460"/>
      <c r="C23" s="1460"/>
      <c r="D23" s="1460"/>
    </row>
    <row r="24" spans="1:4">
      <c r="A24" s="3662"/>
      <c r="B24" s="1460"/>
      <c r="C24" s="1460"/>
      <c r="D24" s="1460"/>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2" customWidth="1"/>
    <col min="3" max="10" width="12.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8" customWidth="1"/>
    <col min="2" max="16384" width="14.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6" customWidth="1"/>
    <col min="2" max="2" width="38.6272727272727" style="3586" customWidth="1"/>
    <col min="3" max="3" width="26" style="3586" customWidth="1"/>
    <col min="4" max="4" width="35" style="3586" hidden="1" customWidth="1"/>
    <col min="5" max="5" width="30.1272727272727" style="3586" customWidth="1"/>
    <col min="6" max="6" width="35.5" style="3586" customWidth="1"/>
    <col min="7" max="7" width="31" style="3586" customWidth="1"/>
    <col min="8" max="8" width="37.5" style="3586" hidden="1" customWidth="1"/>
    <col min="9" max="16384" width="22.6272727272727" style="3586"/>
  </cols>
  <sheetData>
    <row r="1" customHeight="1" spans="1:8">
      <c r="A1" s="3587"/>
      <c r="B1" s="3587"/>
      <c r="C1" s="3587"/>
      <c r="D1" s="3587"/>
      <c r="E1" s="3587"/>
      <c r="F1" s="3587"/>
      <c r="G1" s="3587"/>
      <c r="H1" s="3587"/>
    </row>
    <row r="2" customHeight="1" spans="1:8">
      <c r="A2" s="3588" t="s">
        <v>175</v>
      </c>
      <c r="B2" s="3589">
        <f ca="1">TODAY()</f>
        <v>45651</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f ca="1">IF(C10&lt;B2,"已过期",1120100036)</f>
        <v>1120100036</v>
      </c>
      <c r="C10" s="3601">
        <v>45752</v>
      </c>
      <c r="D10" s="3597" t="str">
        <f ca="1" t="shared" si="0"/>
        <v>崔锴（注册号：1120100036）</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39"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土地比较法-住宅、综合</vt:lpstr>
      <vt:lpstr>收益法</vt:lpstr>
      <vt:lpstr>土地案例</vt:lpstr>
      <vt:lpstr>出租案例</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2024-12-25T07:47:06Z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2052-12.1.0.19302</vt:lpwstr>
  </property>
</Properties>
</file>