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state="hidden" r:id="rId21"/>
    <sheet name="收益法 (元)" sheetId="67" r:id="rId22"/>
    <sheet name="收益法" sheetId="15" state="hidden" r:id="rId23"/>
    <sheet name="成本法 (元)" sheetId="69" r:id="rId24"/>
    <sheet name="假设开发法" sheetId="12" state="hidden" r:id="rId25"/>
    <sheet name="基准地价修正" sheetId="43"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G49" i="43" l="1"/>
  <c r="G50" i="43"/>
  <c r="G51" i="43"/>
  <c r="G52" i="43"/>
  <c r="G53" i="43"/>
  <c r="G54" i="43"/>
  <c r="G55" i="43"/>
  <c r="G56" i="43"/>
  <c r="G48" i="43"/>
  <c r="AH6" i="1"/>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0" i="72"/>
  <c r="C53" i="10"/>
  <c r="B51" i="10"/>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G5" i="3" s="1"/>
  <c r="B3" i="3" s="1"/>
  <c r="BA13" i="3"/>
  <c r="E10" i="6"/>
  <c r="BA5" i="3"/>
  <c r="E11" i="6"/>
  <c r="E61" i="39" s="1"/>
  <c r="BL17" i="3"/>
  <c r="AZ17" i="3"/>
  <c r="BL13" i="3"/>
  <c r="E65" i="39"/>
  <c r="G30" i="6"/>
  <c r="G31" i="6"/>
  <c r="J56" i="9"/>
  <c r="J57" i="9"/>
  <c r="A24" i="51"/>
  <c r="B18" i="72" s="1"/>
  <c r="U29" i="34"/>
  <c r="E14" i="6"/>
  <c r="E64" i="39" s="1"/>
  <c r="E5" i="6"/>
  <c r="D9" i="11" s="1"/>
  <c r="C9" i="11" s="1"/>
  <c r="J105" i="43"/>
  <c r="G102" i="43"/>
  <c r="P10" i="1"/>
  <c r="H22" i="43"/>
  <c r="L101" i="43"/>
  <c r="L109" i="43" s="1"/>
  <c r="H101" i="43"/>
  <c r="H107" i="43" s="1"/>
  <c r="D101" i="43"/>
  <c r="D109" i="43" s="1"/>
  <c r="M101" i="43"/>
  <c r="I101" i="43"/>
  <c r="I109" i="43" s="1"/>
  <c r="E101" i="43"/>
  <c r="E104" i="43" s="1"/>
  <c r="G22" i="43"/>
  <c r="G1" i="68"/>
  <c r="K1" i="12"/>
  <c r="E28" i="6"/>
  <c r="N103" i="43"/>
  <c r="N105" i="43"/>
  <c r="N106" i="43"/>
  <c r="J107" i="43"/>
  <c r="J103" i="43"/>
  <c r="J102" i="43"/>
  <c r="K107" i="43"/>
  <c r="K102" i="43"/>
  <c r="K104" i="43"/>
  <c r="G107" i="43"/>
  <c r="G103" i="43"/>
  <c r="G104" i="43"/>
  <c r="G106" i="43"/>
  <c r="K106" i="43"/>
  <c r="K105" i="43"/>
  <c r="S2" i="43"/>
  <c r="J106" i="43"/>
  <c r="N104" i="43"/>
  <c r="N107" i="43"/>
  <c r="AR12" i="1"/>
  <c r="AQ12" i="1"/>
  <c r="T12" i="1"/>
  <c r="AR10" i="1"/>
  <c r="T10" i="1"/>
  <c r="E19" i="69"/>
  <c r="E19" i="68"/>
  <c r="E19" i="11"/>
  <c r="E1" i="73"/>
  <c r="G41" i="69"/>
  <c r="G22" i="69"/>
  <c r="G41" i="68"/>
  <c r="G22" i="68"/>
  <c r="G27" i="12"/>
  <c r="G26" i="12"/>
  <c r="G41" i="11"/>
  <c r="G22" i="11"/>
  <c r="G25" i="12"/>
  <c r="J109" i="43"/>
  <c r="C100"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N109" i="43"/>
  <c r="F100" i="43"/>
  <c r="H17" i="43"/>
  <c r="G6" i="1"/>
  <c r="H85" i="43"/>
  <c r="H81" i="43"/>
  <c r="H84" i="43"/>
  <c r="H88" i="43"/>
  <c r="H53" i="43"/>
  <c r="H54" i="43"/>
  <c r="H78" i="43"/>
  <c r="G78" i="43" s="1"/>
  <c r="K78" i="43" s="1"/>
  <c r="J78" i="43" s="1"/>
  <c r="D78" i="43" s="1"/>
  <c r="H70" i="43"/>
  <c r="G70" i="43" s="1"/>
  <c r="M70" i="43" s="1"/>
  <c r="N70" i="43" s="1"/>
  <c r="H71" i="43"/>
  <c r="G71" i="43" s="1"/>
  <c r="K71" i="43" s="1"/>
  <c r="J71" i="43" s="1"/>
  <c r="D71" i="43" s="1"/>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E63" i="39"/>
  <c r="T11" i="1"/>
  <c r="AR11"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AP7" i="1"/>
  <c r="AB45" i="21"/>
  <c r="W33" i="21"/>
  <c r="AA33" i="21"/>
  <c r="AC32" i="21"/>
  <c r="W9" i="21"/>
  <c r="AC9" i="2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H112" i="9"/>
  <c r="D21" i="53"/>
  <c r="B39" i="72" s="1"/>
  <c r="H111" i="9"/>
  <c r="D126" i="9" s="1"/>
  <c r="D19" i="53"/>
  <c r="B38" i="72" s="1"/>
  <c r="D59" i="9"/>
  <c r="M55" i="9"/>
  <c r="D20" i="53"/>
  <c r="B40" i="72" s="1"/>
  <c r="AD3" i="71"/>
  <c r="D2" i="36"/>
  <c r="F43" i="15"/>
  <c r="F16" i="67"/>
  <c r="D2" i="37"/>
  <c r="M23" i="15"/>
  <c r="M8" i="15"/>
  <c r="F6" i="67"/>
  <c r="F16" i="15"/>
  <c r="M9" i="67"/>
  <c r="AO12" i="1"/>
  <c r="B11" i="76"/>
  <c r="F38" i="67"/>
  <c r="M28" i="67"/>
  <c r="E10" i="76"/>
  <c r="D2" i="34"/>
  <c r="B8" i="76"/>
  <c r="F36" i="15"/>
  <c r="B10" i="76"/>
  <c r="F5" i="73"/>
  <c r="AO7" i="1"/>
  <c r="M29" i="15"/>
  <c r="E2" i="68"/>
  <c r="F8" i="15"/>
  <c r="M27" i="15"/>
  <c r="F36" i="67"/>
  <c r="B13" i="76"/>
  <c r="F26" i="67"/>
  <c r="C76" i="67"/>
  <c r="AO11" i="1"/>
  <c r="F6" i="15"/>
  <c r="F4" i="73"/>
  <c r="M22" i="67"/>
  <c r="B12" i="76"/>
  <c r="M27" i="67"/>
  <c r="L48" i="15"/>
  <c r="M6" i="15"/>
  <c r="F7" i="67"/>
  <c r="F9" i="67"/>
  <c r="F3" i="73"/>
  <c r="M8" i="67"/>
  <c r="AO8" i="1"/>
  <c r="M23" i="67"/>
  <c r="F40" i="15"/>
  <c r="F20" i="31"/>
  <c r="E12" i="76"/>
  <c r="E2" i="69"/>
  <c r="F13" i="67"/>
  <c r="L47" i="67"/>
  <c r="AO9" i="1"/>
  <c r="M26" i="67"/>
  <c r="F37" i="67"/>
  <c r="M6" i="67"/>
  <c r="F13" i="15"/>
  <c r="M9" i="15"/>
  <c r="M24" i="67"/>
  <c r="F40" i="67"/>
  <c r="F6" i="73"/>
  <c r="B7" i="76"/>
  <c r="E11" i="76"/>
  <c r="E7" i="76"/>
  <c r="D35" i="9"/>
  <c r="F41" i="15"/>
  <c r="AO10" i="1"/>
  <c r="F7" i="73"/>
  <c r="E8" i="76"/>
  <c r="F42" i="67"/>
  <c r="F35" i="15"/>
  <c r="D34" i="9"/>
  <c r="D2" i="33"/>
  <c r="F26" i="15"/>
  <c r="F7" i="15"/>
  <c r="F42" i="15"/>
  <c r="D2" i="35"/>
  <c r="F9" i="15"/>
  <c r="M26" i="15"/>
  <c r="AO13" i="1"/>
  <c r="J15" i="15"/>
  <c r="L48" i="67"/>
  <c r="L47" i="15"/>
  <c r="M24" i="15"/>
  <c r="M22" i="15"/>
  <c r="F38" i="15"/>
  <c r="C76" i="15"/>
  <c r="M21" i="15"/>
  <c r="E9" i="76"/>
  <c r="J15" i="67"/>
  <c r="E13" i="76"/>
  <c r="M28" i="15"/>
  <c r="B9" i="76"/>
  <c r="F8" i="67"/>
  <c r="F37" i="15"/>
  <c r="L107" i="43" l="1"/>
  <c r="D105" i="43"/>
  <c r="D102" i="43"/>
  <c r="I107" i="43"/>
  <c r="L103" i="43"/>
  <c r="L106" i="43"/>
  <c r="D106" i="43"/>
  <c r="I105" i="43"/>
  <c r="I104"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K109" i="43"/>
  <c r="G109" i="43"/>
  <c r="N104" i="46"/>
  <c r="C101" i="43"/>
  <c r="E22" i="43"/>
  <c r="D22" i="43" s="1"/>
  <c r="F101" i="43"/>
  <c r="D53" i="43"/>
  <c r="E48" i="43" s="1"/>
  <c r="B46" i="43" s="1"/>
  <c r="M109" i="43"/>
  <c r="K100" i="43"/>
  <c r="L100" i="43"/>
  <c r="H49" i="43"/>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32" i="67"/>
  <c r="F60" i="67" s="1"/>
  <c r="F54" i="9"/>
  <c r="M18" i="15"/>
  <c r="F30" i="69"/>
  <c r="C48" i="69" s="1"/>
  <c r="F52" i="9"/>
  <c r="D29" i="43"/>
  <c r="D1" i="43" s="1"/>
  <c r="E27" i="6"/>
  <c r="K6" i="1"/>
  <c r="G16" i="1" s="1"/>
  <c r="J10" i="39" s="1"/>
  <c r="E32" i="6"/>
  <c r="L19" i="6" s="1"/>
  <c r="L27" i="6" s="1"/>
  <c r="Q16" i="1"/>
  <c r="F28" i="12" s="1"/>
  <c r="C65" i="40"/>
  <c r="D63" i="40"/>
  <c r="AA7" i="33"/>
  <c r="R48" i="33" s="1"/>
  <c r="J1" i="73"/>
  <c r="C18" i="9"/>
  <c r="D18" i="9"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K23" i="6"/>
  <c r="M23" i="6" s="1"/>
  <c r="I23" i="6" s="1"/>
  <c r="S23" i="6" s="1"/>
  <c r="H105" i="43"/>
  <c r="H106" i="43"/>
  <c r="M105" i="43"/>
  <c r="M107" i="43"/>
  <c r="M104" i="43"/>
  <c r="E105" i="43"/>
  <c r="E107" i="43"/>
  <c r="K22" i="6"/>
  <c r="M22" i="6" s="1"/>
  <c r="I22" i="6" s="1"/>
  <c r="S22" i="6" s="1"/>
  <c r="M7" i="1"/>
  <c r="O7" i="1" s="1"/>
  <c r="AQ7" i="1"/>
  <c r="E57" i="40"/>
  <c r="E62" i="39"/>
  <c r="E66" i="39" s="1"/>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C34" i="69"/>
  <c r="M17" i="67"/>
  <c r="D3" i="73"/>
  <c r="C17" i="15"/>
  <c r="F59" i="15"/>
  <c r="C14" i="15"/>
  <c r="M17" i="15"/>
  <c r="F59" i="67"/>
  <c r="D5" i="73"/>
  <c r="C36" i="69"/>
  <c r="D9" i="69"/>
  <c r="F43" i="67"/>
  <c r="M29" i="67"/>
  <c r="C16" i="15"/>
  <c r="F31" i="15"/>
  <c r="F31" i="67"/>
  <c r="D7" i="73"/>
  <c r="D4" i="73"/>
  <c r="D6" i="73"/>
  <c r="F27" i="69"/>
  <c r="F104" i="43" l="1"/>
  <c r="F102" i="43"/>
  <c r="F103" i="43"/>
  <c r="F107" i="43"/>
  <c r="F106" i="43"/>
  <c r="F105" i="43"/>
  <c r="F109" i="43"/>
  <c r="C104" i="43"/>
  <c r="C107" i="43"/>
  <c r="C103" i="43"/>
  <c r="C102" i="43"/>
  <c r="C106" i="43"/>
  <c r="C105" i="43"/>
  <c r="C109" i="43"/>
  <c r="D76" i="43"/>
  <c r="J76" i="43"/>
  <c r="D72" i="43"/>
  <c r="J72" i="43"/>
  <c r="D74" i="43"/>
  <c r="J74" i="43"/>
  <c r="C30" i="69"/>
  <c r="C29" i="12"/>
  <c r="D28" i="12"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E6" i="3" s="1"/>
  <c r="AP6" i="1"/>
  <c r="M6" i="1"/>
  <c r="E6" i="70"/>
  <c r="E2" i="70" s="1"/>
  <c r="H16" i="1"/>
  <c r="E20" i="43"/>
  <c r="P17" i="43" s="1"/>
  <c r="E63" i="40"/>
  <c r="D65" i="40"/>
  <c r="F10" i="39"/>
  <c r="S10" i="39" s="1"/>
  <c r="F10" i="40"/>
  <c r="S10" i="40" s="1"/>
  <c r="C47" i="69"/>
  <c r="D45" i="69" s="1"/>
  <c r="C29" i="69"/>
  <c r="D27" i="69" s="1"/>
  <c r="C38" i="69"/>
  <c r="F1" i="67"/>
  <c r="Q52" i="67"/>
  <c r="C30" i="11"/>
  <c r="C48" i="11"/>
  <c r="C30" i="68"/>
  <c r="C48" i="68"/>
  <c r="C47" i="68"/>
  <c r="D45" i="68" s="1"/>
  <c r="C35" i="69"/>
  <c r="T16" i="1"/>
  <c r="P7" i="1"/>
  <c r="AR6" i="1"/>
  <c r="T6" i="1"/>
  <c r="S16" i="1"/>
  <c r="J10" i="40"/>
  <c r="W10" i="40" s="1"/>
  <c r="H10" i="40"/>
  <c r="H10" i="39"/>
  <c r="C15" i="15"/>
  <c r="C18" i="15"/>
  <c r="K27" i="6"/>
  <c r="M19" i="6"/>
  <c r="C29" i="11"/>
  <c r="D27" i="11" s="1"/>
  <c r="C47" i="11"/>
  <c r="D45" i="11" s="1"/>
  <c r="E4" i="4"/>
  <c r="B5" i="62" s="1"/>
  <c r="B73" i="72" s="1"/>
  <c r="B4" i="62"/>
  <c r="B71" i="72" s="1"/>
  <c r="F7" i="35"/>
  <c r="J7" i="35"/>
  <c r="F7" i="34"/>
  <c r="J7" i="34"/>
  <c r="F7" i="21"/>
  <c r="AA7" i="21" s="1"/>
  <c r="R48" i="21" s="1"/>
  <c r="AA10" i="39"/>
  <c r="AA10" i="40"/>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AA7" i="35"/>
  <c r="R38" i="35" s="1"/>
  <c r="S7" i="35"/>
  <c r="W7" i="35"/>
  <c r="AC7" i="35"/>
  <c r="V38" i="35" s="1"/>
  <c r="I38" i="35" s="1"/>
  <c r="S7" i="34"/>
  <c r="AA7" i="34"/>
  <c r="R49" i="34" s="1"/>
  <c r="W7" i="34"/>
  <c r="AC7" i="34"/>
  <c r="V49" i="34" s="1"/>
  <c r="I49" i="34" s="1"/>
  <c r="AB7" i="21"/>
  <c r="T48" i="21" s="1"/>
  <c r="G48" i="21" s="1"/>
  <c r="U7" i="21"/>
  <c r="E53" i="33"/>
  <c r="F53" i="33" s="1"/>
  <c r="E52" i="33"/>
  <c r="F52" i="33" s="1"/>
  <c r="C5" i="71"/>
  <c r="D6" i="71"/>
  <c r="P25" i="43"/>
  <c r="C49" i="67"/>
  <c r="C49" i="15"/>
  <c r="M11" i="15"/>
  <c r="J10" i="15" s="1"/>
  <c r="J5" i="15" s="1"/>
  <c r="F11" i="67"/>
  <c r="F11" i="15"/>
  <c r="M11" i="67"/>
  <c r="J10" i="67" s="1"/>
  <c r="J5" i="67" s="1"/>
  <c r="Q73" i="67"/>
  <c r="Q60" i="67"/>
  <c r="O17" i="43"/>
  <c r="Q60" i="15"/>
  <c r="Q73" i="15"/>
  <c r="Q74" i="15"/>
  <c r="Q61" i="15"/>
  <c r="Q61" i="67"/>
  <c r="Q74" i="67"/>
  <c r="AE6" i="1"/>
  <c r="C17" i="67"/>
  <c r="C14" i="67"/>
  <c r="G1" i="73"/>
  <c r="C16" i="67"/>
  <c r="E70" i="43" l="1"/>
  <c r="B68" i="43" s="1"/>
  <c r="C24" i="43" s="1"/>
  <c r="C15" i="67"/>
  <c r="C18" i="67"/>
  <c r="S7" i="21"/>
  <c r="M17" i="43"/>
  <c r="G20" i="43" s="1"/>
  <c r="N17" i="43"/>
  <c r="B40" i="1"/>
  <c r="F24" i="67" s="1"/>
  <c r="C24" i="67" s="1"/>
  <c r="O6" i="1"/>
  <c r="C36" i="11"/>
  <c r="C36" i="68"/>
  <c r="M16" i="1"/>
  <c r="E65" i="40"/>
  <c r="F63" i="40"/>
  <c r="J7" i="37"/>
  <c r="F7" i="37"/>
  <c r="C19" i="15"/>
  <c r="C20" i="15" s="1"/>
  <c r="C26" i="15" s="1"/>
  <c r="U10" i="40"/>
  <c r="AB10" i="40"/>
  <c r="U10" i="39"/>
  <c r="AB10" i="39"/>
  <c r="I19" i="6"/>
  <c r="M27" i="6"/>
  <c r="K4" i="4"/>
  <c r="B46" i="48" s="1"/>
  <c r="B4" i="72" s="1"/>
  <c r="H7" i="36"/>
  <c r="AB7" i="36" s="1"/>
  <c r="T36" i="36" s="1"/>
  <c r="G36" i="36" s="1"/>
  <c r="J7" i="36"/>
  <c r="U7" i="36"/>
  <c r="R49" i="21"/>
  <c r="E48" i="21"/>
  <c r="I53" i="21" s="1"/>
  <c r="J53" i="21" s="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AY6" i="3"/>
  <c r="E3" i="6"/>
  <c r="N50" i="71"/>
  <c r="N51" i="71"/>
  <c r="H7" i="37"/>
  <c r="D5" i="71"/>
  <c r="M20" i="43" s="1"/>
  <c r="C19" i="43" s="1"/>
  <c r="J24" i="67"/>
  <c r="J26" i="67"/>
  <c r="J18" i="67"/>
  <c r="C53" i="67"/>
  <c r="C48" i="67" s="1"/>
  <c r="C10" i="67"/>
  <c r="C5" i="67" s="1"/>
  <c r="J24" i="15"/>
  <c r="J18" i="15"/>
  <c r="J26" i="15"/>
  <c r="J29" i="15" s="1"/>
  <c r="C53" i="15"/>
  <c r="C48" i="15" s="1"/>
  <c r="C10" i="15"/>
  <c r="C5" i="15" s="1"/>
  <c r="F41" i="67"/>
  <c r="C20" i="43" l="1"/>
  <c r="C37" i="43" s="1"/>
  <c r="E41" i="43"/>
  <c r="C41"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J2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 i="74" s="1"/>
  <c r="S27" i="6"/>
  <c r="R43" i="37"/>
  <c r="E42" i="37"/>
  <c r="I40" i="36"/>
  <c r="J40" i="36" s="1"/>
  <c r="C39" i="35"/>
  <c r="B2" i="35" s="1"/>
  <c r="B3" i="35" s="1"/>
  <c r="C38" i="35"/>
  <c r="S7" i="36"/>
  <c r="AA7" i="36"/>
  <c r="R36" i="36" s="1"/>
  <c r="E54" i="34"/>
  <c r="F54" i="34" s="1"/>
  <c r="E53" i="34"/>
  <c r="F53" i="34" s="1"/>
  <c r="C48" i="21"/>
  <c r="C49" i="21"/>
  <c r="B2" i="21" s="1"/>
  <c r="B3" i="21" s="1"/>
  <c r="C38" i="43"/>
  <c r="T15" i="43"/>
  <c r="V15" i="43" s="1"/>
  <c r="C39" i="43"/>
  <c r="C38" i="15"/>
  <c r="C32" i="15"/>
  <c r="C66" i="15"/>
  <c r="C60" i="15"/>
  <c r="C60" i="67"/>
  <c r="C66" i="67"/>
  <c r="C38" i="67"/>
  <c r="C32" i="67"/>
  <c r="T16" i="43" l="1"/>
  <c r="V16" i="43" s="1"/>
  <c r="C33" i="43"/>
  <c r="T7" i="43"/>
  <c r="V7" i="43" s="1"/>
  <c r="T10" i="43"/>
  <c r="V10" i="43" s="1"/>
  <c r="C34" i="43"/>
  <c r="E34" i="43" s="1"/>
  <c r="T9" i="43"/>
  <c r="V9" i="43" s="1"/>
  <c r="T12" i="43"/>
  <c r="V12" i="43" s="1"/>
  <c r="T11" i="43"/>
  <c r="V11" i="43" s="1"/>
  <c r="T4" i="43"/>
  <c r="V4" i="43" s="1"/>
  <c r="T14" i="43"/>
  <c r="V14" i="43"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E33" i="43"/>
  <c r="G34" i="43"/>
  <c r="I34" i="43" s="1"/>
  <c r="G39" i="43"/>
  <c r="I39" i="43" s="1"/>
  <c r="E39" i="43"/>
  <c r="E38" i="43"/>
  <c r="G38" i="43"/>
  <c r="I38" i="43" s="1"/>
  <c r="E36" i="43"/>
  <c r="G37" i="43"/>
  <c r="I37" i="43" s="1"/>
  <c r="E37" i="43"/>
  <c r="C33" i="15"/>
  <c r="C31" i="15" s="1"/>
  <c r="C33" i="67"/>
  <c r="C31" i="67" s="1"/>
  <c r="J59" i="67"/>
  <c r="J60" i="67" s="1"/>
  <c r="D10" i="69"/>
  <c r="J14" i="15" l="1"/>
  <c r="J13" i="15" s="1"/>
  <c r="J23" i="15" s="1"/>
  <c r="E35" i="43"/>
  <c r="C30" i="43"/>
  <c r="E30" i="43" s="1"/>
  <c r="E29" i="43"/>
  <c r="L19" i="9"/>
  <c r="C33" i="11"/>
  <c r="C39"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J13" i="67"/>
  <c r="J23" i="67" s="1"/>
  <c r="J22" i="67"/>
  <c r="C61" i="67"/>
  <c r="C59" i="67" s="1"/>
  <c r="C61" i="15"/>
  <c r="C59" i="15" s="1"/>
  <c r="B6" i="76"/>
  <c r="E6" i="76"/>
  <c r="J22" i="15" l="1"/>
  <c r="D7" i="74"/>
  <c r="C43" i="11"/>
  <c r="C41" i="11" s="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J16" i="67"/>
  <c r="J25" i="67" s="1"/>
  <c r="J16" i="15"/>
  <c r="J25" i="15" s="1"/>
  <c r="F35" i="67"/>
  <c r="M21" i="67"/>
  <c r="Q69" i="15" l="1"/>
  <c r="Q68" i="15" s="1"/>
  <c r="C40" i="67"/>
  <c r="C49" i="11"/>
  <c r="C51" i="11" s="1"/>
  <c r="C52" i="11" s="1"/>
  <c r="B2" i="11" s="1"/>
  <c r="B3" i="11" s="1"/>
  <c r="C80" i="67"/>
  <c r="C79" i="67" s="1"/>
  <c r="C80" i="15"/>
  <c r="C79" i="15" s="1"/>
  <c r="Q68" i="67"/>
  <c r="C27" i="12"/>
  <c r="C25" i="12" s="1"/>
  <c r="C30" i="12"/>
  <c r="C28" i="12" s="1"/>
  <c r="K63" i="40"/>
  <c r="J65" i="40"/>
  <c r="J20" i="67"/>
  <c r="F63" i="67"/>
  <c r="C62" i="67" s="1"/>
  <c r="R16" i="1"/>
  <c r="C20" i="69"/>
  <c r="C25" i="69" s="1"/>
  <c r="C22" i="69" s="1"/>
  <c r="J70" i="39"/>
  <c r="K68" i="39"/>
  <c r="C39" i="68"/>
  <c r="C43" i="68" s="1"/>
  <c r="C42" i="68"/>
  <c r="C20" i="68"/>
  <c r="C24" i="68"/>
  <c r="C39" i="69"/>
  <c r="C42" i="69"/>
  <c r="B3" i="76"/>
  <c r="L57" i="67"/>
  <c r="L60" i="67" s="1"/>
  <c r="C71" i="67"/>
  <c r="Q65" i="15"/>
  <c r="B2" i="15"/>
  <c r="B3" i="15" s="1"/>
  <c r="C43" i="15"/>
  <c r="Q47" i="15"/>
  <c r="Q53" i="15" s="1"/>
  <c r="Q56" i="15"/>
  <c r="C83" i="15"/>
  <c r="C82" i="15" s="1"/>
  <c r="C71" i="15"/>
  <c r="C46" i="15"/>
  <c r="L51" i="67"/>
  <c r="L51" i="15"/>
  <c r="Q56" i="67" l="1"/>
  <c r="B2" i="67"/>
  <c r="L57" i="15"/>
  <c r="L60" i="15" s="1"/>
  <c r="Q66" i="15" s="1"/>
  <c r="Q75" i="15" s="1"/>
  <c r="Q67" i="15"/>
  <c r="C45" i="67"/>
  <c r="C46" i="67" s="1"/>
  <c r="Q67" i="67"/>
  <c r="D2" i="67"/>
  <c r="B3" i="67" s="1"/>
  <c r="Q65" i="67"/>
  <c r="C83" i="67"/>
  <c r="C82" i="67" s="1"/>
  <c r="C43" i="67"/>
  <c r="Q47" i="67"/>
  <c r="Q53" i="67" s="1"/>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67"/>
  <c r="Q57" i="67"/>
  <c r="Q62" i="67" s="1"/>
  <c r="AO6" i="1"/>
  <c r="D2" i="21"/>
  <c r="Q75" i="67" l="1"/>
  <c r="M63" i="40"/>
  <c r="L65" i="40"/>
  <c r="B6" i="70"/>
  <c r="B2" i="70" s="1"/>
  <c r="B3" i="70" s="1"/>
  <c r="C49" i="68"/>
  <c r="C51" i="68" s="1"/>
  <c r="C31" i="68"/>
  <c r="C49" i="69"/>
  <c r="C51" i="69" s="1"/>
  <c r="C52" i="69" s="1"/>
  <c r="B2" i="69" s="1"/>
  <c r="L70" i="39"/>
  <c r="M68" i="39"/>
  <c r="C19" i="9"/>
  <c r="N63" i="40" l="1"/>
  <c r="M65" i="40"/>
  <c r="F54" i="69"/>
  <c r="C102" i="9"/>
  <c r="C21" i="9"/>
  <c r="C52" i="68"/>
  <c r="B2" i="68" s="1"/>
  <c r="B3" i="68" s="1"/>
  <c r="C57" i="69"/>
  <c r="C56" i="69" s="1"/>
  <c r="N68" i="39"/>
  <c r="M70" i="39"/>
  <c r="C20" i="9"/>
  <c r="D19" i="9"/>
  <c r="B3" i="6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<sst xmlns="http://schemas.openxmlformats.org/spreadsheetml/2006/main" count="7445" uniqueCount="3152">
  <si>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</si>
  <si>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</si>
  <si>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</si>
  <si>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</si>
  <si>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</si>
  <si>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</si>
  <si>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</si>
  <si>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</si>
  <si>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</si>
  <si>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</si>
  <si>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</si>
  <si>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</si>
  <si>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</si>
  <si>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</si>
  <si>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</si>
  <si>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</si>
  <si>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</si>
  <si>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</si>
  <si>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</si>
  <si>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</si>
  <si>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</si>
  <si>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</si>
  <si>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</si>
  <si>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</si>
  <si>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</si>
  <si>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</si>
  <si>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</si>
  <si>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</si>
  <si>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</si>
  <si>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</si>
  <si>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</si>
  <si>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</si>
  <si>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</si>
  <si>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</si>
  <si>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</si>
  <si>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</si>
  <si>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</si>
  <si>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</si>
  <si>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</si>
  <si>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</si>
  <si>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</si>
  <si>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</si>
  <si>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</si>
  <si>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</si>
  <si>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</si>
  <si>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</si>
  <si>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</si>
  <si>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</si>
  <si>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</si>
  <si>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</si>
  <si>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</si>
  <si>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</si>
  <si>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</si>
  <si>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</si>
  <si>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</si>
  <si>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</si>
  <si>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</si>
  <si>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</si>
  <si>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</si>
  <si>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</si>
  <si>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</si>
  <si>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</si>
  <si>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</si>
  <si>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</si>
  <si>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</si>
  <si>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</si>
  <si>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</si>
  <si>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</si>
  <si>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</si>
  <si>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</si>
  <si>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</si>
  <si>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</si>
  <si>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</si>
  <si>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</si>
  <si>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</si>
  <si>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</si>
  <si>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</si>
  <si>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</si>
  <si>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</si>
  <si>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</si>
  <si>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</si>
  <si>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</si>
  <si>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</si>
  <si>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</si>
  <si>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</si>
  <si>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</si>
  <si>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</si>
  <si>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</si>
  <si>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</si>
  <si>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</si>
  <si>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</si>
  <si>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</si>
  <si>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</si>
  <si>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</si>
  <si>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</si>
  <si>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</si>
  <si>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</si>
  <si>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</si>
  <si>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</si>
  <si>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</si>
  <si>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</si>
  <si>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</si>
  <si>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</si>
  <si>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</si>
  <si>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</si>
  <si>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</si>
  <si>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</si>
  <si>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</si>
  <si>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</si>
  <si>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</si>
  <si>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</si>
  <si>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</si>
  <si>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</si>
  <si>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</si>
  <si>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</si>
  <si>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</si>
  <si>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</si>
  <si>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</si>
  <si>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</si>
  <si>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</si>
  <si>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</si>
  <si>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</si>
  <si>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</si>
  <si>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</si>
  <si>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</si>
  <si>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</si>
  <si>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</si>
  <si>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</si>
  <si>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</si>
  <si>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</si>
  <si>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</si>
  <si>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</si>
  <si>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</si>
  <si>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</si>
  <si>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</si>
  <si>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</si>
  <si>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</si>
  <si>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</si>
  <si>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</si>
  <si>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</si>
  <si>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</si>
  <si>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</si>
  <si>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</si>
  <si>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</si>
  <si>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</si>
  <si>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</si>
  <si>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</si>
  <si>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</si>
  <si>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</si>
  <si>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</si>
  <si>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</si>
  <si>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</si>
  <si>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</si>
  <si>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</si>
  <si>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</si>
  <si>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</si>
  <si>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</si>
  <si>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</si>
  <si>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</si>
  <si>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</si>
  <si>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</si>
  <si>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</si>
  <si>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</si>
  <si>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</si>
  <si>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</si>
  <si>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</si>
  <si>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</si>
  <si>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</si>
  <si>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</si>
  <si>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</si>
  <si>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</si>
  <si>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</si>
  <si>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</si>
  <si>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</si>
  <si>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</si>
  <si>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</si>
  <si>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</si>
  <si>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</si>
  <si>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</si>
  <si>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</si>
  <si>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</si>
  <si>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</si>
  <si>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</si>
  <si>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</si>
  <si>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</si>
  <si>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</si>
  <si>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</si>
  <si>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</si>
  <si>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</si>
  <si>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</si>
  <si>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</si>
  <si>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</si>
  <si>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</si>
  <si>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</si>
  <si>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</si>
  <si>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</si>
  <si>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</si>
  <si>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</si>
  <si>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</si>
  <si>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</si>
  <si>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</si>
  <si>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</si>
  <si>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</si>
  <si>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</si>
  <si>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</si>
  <si>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</si>
  <si>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</si>
  <si>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</si>
  <si>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</si>
  <si>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</si>
  <si>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</si>
  <si>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</si>
  <si>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</si>
  <si>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</si>
  <si>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</si>
  <si>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</si>
  <si>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</si>
  <si>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</si>
  <si>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</si>
  <si>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</si>
  <si>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</si>
  <si>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</si>
  <si>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</si>
  <si>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</si>
  <si>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</si>
  <si>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</si>
  <si>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</si>
  <si>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</si>
  <si>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</si>
  <si>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</si>
  <si>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</si>
  <si>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</si>
  <si>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</si>
  <si>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</si>
  <si>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</si>
  <si>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</si>
  <si>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</si>
  <si>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</si>
  <si>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</si>
  <si>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</si>
  <si>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</si>
  <si>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</si>
  <si>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</si>
  <si>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</si>
  <si>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</si>
  <si>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</si>
  <si>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</si>
  <si>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</si>
  <si>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</si>
  <si>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</si>
  <si>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</si>
  <si>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</si>
  <si>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</si>
  <si>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</si>
  <si>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</si>
  <si>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</si>
  <si>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</si>
  <si>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</si>
  <si>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</si>
  <si>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</si>
  <si>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</si>
  <si>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</si>
  <si>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</si>
  <si>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</si>
  <si>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</si>
  <si>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</si>
  <si>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</si>
  <si>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</si>
  <si>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</si>
  <si>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</si>
  <si>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</si>
  <si>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</si>
  <si>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</si>
  <si>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</si>
  <si>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</si>
  <si>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</si>
  <si>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</si>
  <si>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</si>
  <si>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</si>
  <si>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</si>
  <si>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</si>
  <si>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</si>
  <si>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</si>
  <si>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</si>
  <si>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</si>
  <si>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</si>
  <si>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</si>
  <si>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</si>
  <si>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</si>
  <si>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</si>
  <si>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</si>
  <si>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</si>
  <si>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</si>
  <si>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</si>
  <si>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</si>
  <si>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</si>
  <si>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</si>
  <si>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</si>
  <si>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</si>
  <si>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</si>
  <si>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</si>
  <si>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</si>
  <si>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</si>
  <si>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</si>
  <si>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</si>
  <si>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</si>
  <si>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</si>
  <si>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</si>
  <si>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</si>
  <si>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</si>
  <si>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</si>
  <si>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</si>
  <si>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</si>
  <si>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</si>
  <si>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</si>
  <si>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</si>
  <si>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</si>
  <si>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</si>
  <si>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</si>
  <si>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</si>
  <si>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</si>
  <si>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</si>
  <si>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</si>
  <si>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</si>
  <si>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</si>
  <si>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</si>
  <si>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</si>
  <si>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</si>
  <si>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</si>
  <si>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</si>
  <si>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</si>
  <si>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</si>
  <si>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</si>
  <si>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</si>
  <si>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</si>
  <si>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</si>
  <si>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</si>
  <si>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</si>
  <si>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</si>
  <si>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</si>
  <si>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</si>
  <si>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</si>
  <si>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</si>
  <si>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</si>
  <si>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</si>
  <si>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</si>
  <si>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</si>
  <si>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</si>
  <si>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</si>
  <si>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</si>
  <si>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</si>
  <si>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</si>
  <si>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</si>
  <si>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</si>
  <si>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</si>
  <si>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</si>
  <si>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</si>
  <si>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</si>
  <si>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</si>
  <si>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</si>
  <si>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</si>
  <si>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</si>
  <si>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</si>
  <si>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</si>
  <si>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</si>
  <si>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</si>
  <si>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</si>
  <si>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</si>
  <si>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</si>
  <si>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</si>
  <si>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</si>
  <si>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</si>
  <si>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</si>
  <si>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</si>
  <si>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</si>
  <si>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</si>
  <si>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</si>
  <si>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</si>
  <si>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</si>
  <si>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</si>
  <si>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</si>
  <si>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</si>
  <si>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</si>
  <si>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</si>
  <si>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</si>
  <si>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</si>
  <si>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</si>
  <si>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</si>
  <si>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</si>
  <si>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</si>
  <si>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</si>
  <si>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</si>
  <si>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</si>
  <si>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</si>
  <si>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</si>
  <si>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</si>
  <si>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</si>
  <si>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</si>
  <si>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</si>
  <si>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</si>
  <si>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</si>
  <si>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</si>
  <si>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</si>
  <si>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</si>
  <si>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</si>
  <si>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</si>
  <si>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</si>
  <si>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</si>
  <si>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</si>
  <si>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</si>
  <si>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</si>
  <si>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</si>
  <si>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</si>
  <si>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</si>
  <si>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</si>
  <si>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</si>
  <si>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</si>
  <si>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</si>
  <si>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</si>
  <si>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</si>
  <si>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</si>
  <si>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</si>
  <si>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</si>
  <si>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</si>
  <si>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</si>
  <si>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</si>
  <si>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</si>
  <si>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</si>
  <si>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</si>
  <si>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</si>
  <si>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</si>
  <si>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</si>
  <si>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</si>
  <si>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</si>
  <si>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</si>
  <si>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</si>
  <si>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</si>
  <si>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</si>
  <si>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</si>
  <si>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</si>
  <si>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</si>
  <si>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</si>
  <si>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</si>
  <si>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</si>
  <si>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</si>
  <si>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</si>
  <si>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</si>
  <si>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</si>
  <si>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</si>
  <si>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</si>
  <si>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</si>
  <si>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</si>
  <si>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</si>
  <si>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</si>
  <si>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</si>
  <si>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</si>
  <si>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</si>
  <si>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</si>
  <si>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</si>
  <si>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</si>
  <si>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</si>
  <si>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</si>
  <si>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</si>
  <si>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</si>
  <si>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</si>
  <si>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</si>
  <si>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</si>
  <si>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</si>
  <si>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</si>
  <si>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</si>
  <si>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</si>
  <si>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</si>
  <si>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</si>
  <si>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</si>
  <si>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</si>
  <si>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</si>
  <si>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</si>
  <si>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</si>
  <si>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</si>
  <si>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</si>
  <si>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</si>
  <si>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</si>
  <si>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</si>
  <si>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</si>
  <si>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</si>
  <si>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</si>
  <si>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</si>
  <si>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</si>
  <si>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</si>
  <si>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</si>
  <si>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</si>
  <si>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</si>
  <si>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</si>
  <si>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</si>
  <si>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</si>
  <si>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</si>
  <si>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</si>
  <si>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</si>
  <si>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</si>
  <si>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</si>
  <si>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</si>
  <si>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</si>
  <si>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</si>
  <si>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</si>
  <si>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</si>
  <si>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</si>
  <si>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</si>
  <si>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</si>
  <si>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</si>
  <si>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</si>
  <si>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</si>
  <si>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</si>
  <si>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</si>
  <si>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</si>
  <si>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</si>
  <si>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</si>
  <si>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</si>
  <si>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</si>
  <si>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</si>
  <si>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</si>
  <si>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</si>
  <si>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</si>
  <si>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</si>
  <si>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</si>
  <si>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</si>
  <si>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</si>
  <si>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</si>
  <si>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</si>
  <si>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</si>
  <si>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</si>
  <si>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</si>
  <si>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</si>
  <si>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</si>
  <si>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</si>
  <si>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</si>
  <si>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</si>
  <si>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</si>
  <si>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</si>
  <si>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</si>
  <si>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</si>
  <si>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</si>
  <si>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</si>
  <si>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</si>
  <si>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</si>
  <si>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</si>
  <si>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</si>
  <si>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</si>
  <si>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</si>
  <si>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</si>
  <si>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</si>
  <si>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</si>
  <si>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</si>
  <si>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</si>
  <si>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</si>
  <si>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</si>
  <si>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</si>
  <si>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</si>
  <si>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</si>
  <si>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</si>
  <si>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</si>
  <si>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</si>
  <si>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</si>
  <si>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</si>
  <si>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</si>
  <si>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</si>
  <si>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</si>
  <si>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</si>
  <si>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</si>
  <si>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</si>
  <si>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</si>
  <si>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</si>
  <si>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</si>
  <si>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</si>
  <si>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</si>
  <si>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</si>
  <si>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</si>
  <si>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</si>
  <si>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</si>
  <si>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</si>
  <si>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</si>
  <si>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</si>
  <si>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</si>
  <si>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</si>
  <si>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</si>
  <si>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</si>
  <si>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</si>
  <si>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</si>
  <si>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</si>
  <si>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</si>
  <si>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</si>
  <si>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</si>
  <si>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</si>
  <si>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</si>
  <si>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</si>
  <si>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</si>
  <si>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</si>
  <si>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</si>
  <si>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</si>
  <si>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</si>
  <si>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</si>
  <si>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</si>
  <si>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</si>
  <si>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</si>
  <si>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</si>
  <si>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</si>
  <si>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</si>
  <si>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</si>
  <si>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</si>
  <si>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</si>
  <si>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</si>
  <si>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</si>
  <si>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</si>
  <si>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</si>
  <si>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</si>
  <si>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</si>
  <si>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</si>
  <si>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</si>
  <si>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</si>
  <si>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</si>
  <si>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</si>
  <si>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</si>
  <si>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</si>
  <si>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</si>
  <si>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</si>
  <si>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</si>
  <si>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</si>
  <si>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</si>
  <si>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</si>
  <si>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</si>
  <si>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</si>
  <si>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</si>
  <si>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</si>
  <si>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</si>
  <si>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</si>
  <si>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</si>
  <si>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</si>
  <si>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</si>
  <si>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</si>
  <si>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</si>
  <si>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</si>
  <si>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</si>
  <si>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</si>
  <si>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</si>
  <si>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</si>
  <si>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</si>
  <si>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</si>
  <si>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</si>
  <si>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</si>
  <si>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</si>
  <si>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</si>
  <si>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</si>
  <si>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</si>
  <si>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</si>
  <si>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</si>
  <si>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</si>
  <si>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</si>
  <si>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</si>
  <si>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</si>
  <si>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</si>
  <si>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</si>
  <si>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</si>
  <si>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</si>
  <si>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</si>
  <si>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</si>
  <si>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</si>
  <si>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</si>
  <si>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</si>
  <si>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</si>
  <si>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</si>
  <si>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</si>
  <si>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</si>
  <si>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</si>
  <si>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</si>
  <si>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</si>
  <si>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</si>
  <si>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</si>
  <si>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</si>
  <si>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</si>
  <si>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</si>
  <si>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</si>
  <si>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</si>
  <si>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</si>
  <si>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</si>
  <si>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</si>
  <si>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</si>
  <si>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</si>
  <si>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</si>
  <si>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</si>
  <si>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</si>
  <si>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</si>
  <si>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</si>
  <si>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</si>
  <si>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</si>
  <si>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</si>
  <si>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</si>
  <si>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</si>
  <si>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</si>
  <si>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</si>
  <si>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</si>
  <si>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</si>
  <si>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</si>
  <si>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</si>
  <si>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</si>
  <si>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</si>
  <si>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</si>
  <si>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</si>
  <si>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</si>
  <si>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</si>
  <si>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</si>
  <si>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</si>
  <si>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</si>
  <si>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</si>
  <si>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</si>
  <si>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</si>
  <si>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</si>
  <si>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</si>
  <si>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</si>
  <si>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</si>
  <si>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</si>
  <si>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</si>
  <si>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</si>
  <si>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</si>
  <si>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</si>
  <si>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</si>
  <si>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</si>
  <si>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</si>
  <si>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</si>
  <si>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</si>
  <si>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</si>
  <si>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</si>
  <si>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</si>
  <si>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</si>
  <si>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</si>
  <si>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</si>
  <si>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</si>
  <si>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</si>
  <si>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</si>
  <si>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</si>
  <si>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</si>
  <si>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</si>
  <si>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</si>
  <si>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</si>
  <si>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</si>
  <si>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</si>
  <si>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</si>
  <si>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</si>
  <si>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</si>
  <si>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</si>
  <si>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</si>
  <si>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</si>
  <si>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</si>
  <si>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</si>
  <si>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</si>
  <si>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</si>
  <si>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</si>
  <si>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</si>
  <si>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</si>
  <si>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</si>
  <si>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</si>
  <si>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</si>
  <si>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</si>
  <si>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</si>
  <si>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</si>
  <si>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</si>
  <si>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</si>
  <si>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</si>
  <si>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</si>
  <si>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</si>
  <si>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</si>
  <si>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</si>
  <si>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</si>
  <si>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</si>
  <si>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</si>
  <si>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</si>
  <si>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</si>
  <si>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</si>
  <si>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</si>
  <si>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</si>
  <si>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</si>
  <si>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</si>
  <si>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</si>
  <si>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</si>
  <si>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</si>
  <si>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</si>
  <si>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</si>
  <si>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</si>
  <si>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</si>
  <si>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</si>
  <si>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</si>
  <si>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</si>
  <si>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</si>
  <si>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</si>
  <si>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</si>
  <si>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</si>
  <si>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</si>
  <si>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</si>
  <si>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</si>
  <si>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</si>
  <si>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</si>
  <si>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</si>
  <si>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</si>
  <si>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</si>
  <si>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</si>
  <si>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</si>
  <si>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</si>
  <si>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</si>
  <si>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</si>
  <si>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</si>
  <si>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</si>
  <si>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</si>
  <si>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</si>
  <si>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</si>
  <si>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</si>
  <si>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</si>
  <si>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</si>
  <si>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</si>
  <si>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</si>
  <si>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</si>
  <si>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</si>
  <si>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</si>
  <si>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</si>
  <si>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</si>
  <si>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</si>
  <si>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</si>
  <si>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</si>
  <si>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</si>
  <si>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</si>
  <si>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</si>
  <si>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</si>
  <si>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</si>
  <si>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</si>
  <si>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</si>
  <si>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</si>
  <si>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</si>
  <si>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</si>
  <si>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</si>
  <si>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</si>
  <si>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</si>
  <si>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</si>
  <si>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</si>
  <si>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</si>
  <si>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</si>
  <si>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</si>
  <si>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</si>
  <si>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</si>
  <si>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</si>
  <si>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</si>
  <si>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</si>
  <si>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</si>
  <si>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</si>
  <si>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</si>
  <si>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</si>
  <si>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</si>
  <si>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</si>
  <si>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</si>
  <si>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</si>
  <si>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</si>
  <si>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</si>
  <si>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</si>
  <si>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</si>
  <si>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</si>
  <si>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</si>
  <si>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</si>
  <si>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</si>
  <si>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</si>
  <si>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</si>
  <si>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</si>
  <si>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</si>
  <si>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</si>
  <si>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</si>
  <si>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</si>
  <si>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</si>
  <si>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</si>
  <si>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</si>
  <si>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</si>
  <si>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</si>
  <si>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</si>
  <si>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</si>
  <si>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</si>
  <si>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</si>
  <si>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</si>
  <si>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</si>
  <si>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</si>
  <si>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</si>
  <si>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</si>
  <si>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</si>
  <si>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</si>
  <si>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</si>
  <si>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</si>
  <si>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</si>
  <si>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</si>
  <si>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</si>
  <si>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</si>
  <si>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</si>
  <si>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</si>
  <si>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</si>
  <si>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</si>
  <si>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</si>
  <si>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</si>
  <si>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</si>
  <si>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</si>
  <si>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</si>
  <si>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</si>
  <si>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</si>
  <si>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</si>
  <si>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</si>
  <si>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</si>
  <si>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</si>
  <si>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</si>
  <si>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</si>
  <si>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</si>
  <si>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</si>
  <si>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</si>
  <si>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</si>
  <si>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</si>
  <si>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</si>
  <si>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</si>
  <si>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</si>
  <si>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</si>
  <si>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</si>
  <si>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</si>
  <si>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</si>
  <si>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</si>
  <si>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</si>
  <si>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</si>
  <si>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</si>
  <si>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</si>
  <si>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</si>
  <si>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</si>
  <si>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</si>
  <si>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</si>
  <si>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</si>
  <si>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</si>
  <si>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</si>
  <si>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</si>
  <si>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</si>
  <si>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</si>
  <si>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</si>
  <si>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</si>
  <si>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</si>
  <si>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</si>
  <si>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</si>
  <si>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</si>
  <si>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</si>
  <si>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</si>
  <si>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</si>
  <si>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</si>
  <si>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</si>
  <si>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</si>
  <si>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</si>
  <si>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</si>
  <si>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</si>
  <si>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</si>
  <si>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</si>
  <si>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</si>
  <si>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</si>
  <si>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</si>
  <si>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</si>
  <si>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</si>
  <si>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</si>
  <si>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</si>
  <si>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</si>
  <si>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</si>
  <si>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</si>
  <si>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</si>
  <si>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</si>
  <si>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</si>
  <si>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</si>
  <si>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</si>
  <si>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</si>
  <si>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</si>
  <si>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</si>
  <si>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</si>
  <si>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</si>
  <si>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</si>
  <si>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</si>
  <si>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</si>
  <si>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</si>
  <si>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</si>
  <si>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</si>
  <si>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</si>
  <si>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</si>
  <si>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</si>
  <si>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</si>
  <si>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</si>
  <si>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</si>
  <si>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</si>
  <si>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</si>
  <si>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</si>
  <si>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</si>
  <si>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</si>
  <si>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</si>
  <si>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</si>
  <si>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</si>
  <si>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</si>
  <si>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</si>
  <si>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</si>
  <si>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</si>
  <si>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</si>
  <si>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</si>
  <si>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</si>
  <si>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</si>
  <si>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</si>
  <si>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</si>
  <si>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</si>
  <si>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</si>
  <si>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</si>
  <si>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</si>
  <si>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</si>
  <si>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</si>
  <si>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</si>
  <si>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</si>
  <si>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</si>
  <si>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</si>
  <si>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</si>
  <si>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</si>
  <si>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</si>
  <si>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</si>
  <si>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</si>
  <si>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</si>
  <si>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</si>
  <si>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</si>
  <si>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</si>
  <si>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</si>
  <si>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</si>
  <si>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</si>
  <si>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</si>
  <si>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</si>
  <si>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</si>
  <si>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</si>
  <si>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</si>
  <si>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</si>
  <si>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</si>
  <si>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</si>
  <si>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</si>
  <si>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</si>
  <si>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</si>
  <si>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</si>
  <si>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</si>
  <si>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</si>
  <si>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</si>
  <si>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</si>
  <si>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</si>
  <si>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</si>
  <si>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</si>
  <si>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</si>
  <si>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</si>
  <si>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</si>
  <si>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</si>
  <si>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</si>
  <si>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</si>
  <si>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</si>
  <si>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</si>
  <si>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</si>
  <si>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</si>
  <si>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</si>
  <si>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</si>
  <si>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</si>
  <si>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</si>
  <si>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</si>
  <si>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</si>
  <si>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</si>
  <si>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</si>
  <si>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</si>
  <si>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</si>
  <si>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</si>
  <si>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</si>
  <si>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</si>
  <si>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</si>
  <si>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</si>
  <si>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</si>
  <si>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</si>
  <si>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</si>
  <si>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</si>
  <si>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</si>
  <si>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</si>
  <si>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</si>
  <si>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</si>
  <si>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</si>
  <si>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</si>
  <si>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</si>
  <si>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</si>
  <si>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</si>
  <si>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</si>
  <si>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</si>
  <si>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</si>
  <si>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</si>
  <si>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</si>
  <si>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</si>
  <si>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</si>
  <si>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</si>
  <si>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</si>
  <si>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</si>
  <si>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</si>
  <si>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</si>
  <si>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</si>
  <si>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</si>
  <si>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</si>
  <si>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</si>
  <si>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</si>
  <si>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</si>
  <si>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</si>
  <si>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</si>
  <si>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</si>
  <si>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</si>
  <si>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</si>
  <si>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</si>
  <si>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</si>
  <si>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</si>
  <si>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</si>
  <si>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</si>
  <si>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</si>
  <si>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</si>
  <si>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</si>
  <si>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</si>
  <si>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</si>
  <si>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</si>
  <si>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</si>
  <si>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</si>
  <si>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</si>
  <si>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</si>
  <si>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</si>
  <si>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</si>
  <si>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</si>
  <si>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</si>
  <si>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</si>
  <si>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</si>
  <si>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</si>
  <si>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</si>
  <si>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</si>
  <si>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</si>
  <si>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</si>
  <si>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</si>
  <si>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</si>
  <si>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</si>
  <si>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</si>
  <si>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</si>
  <si>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</si>
  <si>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</si>
  <si>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</si>
  <si>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</si>
  <si>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</si>
  <si>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</si>
  <si>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</si>
  <si>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</si>
  <si>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</si>
  <si>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</si>
  <si>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</si>
  <si>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</si>
  <si>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</si>
  <si>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</si>
  <si>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</si>
  <si>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</si>
  <si>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</si>
  <si>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</si>
  <si>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</si>
  <si>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</si>
  <si>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</si>
  <si>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</si>
  <si>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</si>
  <si>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</si>
  <si>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</si>
  <si>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</si>
  <si>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</si>
  <si>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</si>
  <si>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</si>
  <si>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</si>
  <si>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</si>
  <si>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</si>
  <si>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</si>
  <si>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</si>
  <si>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</si>
  <si>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</si>
  <si>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</si>
  <si>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</si>
  <si>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</si>
  <si>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</si>
  <si>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</si>
  <si>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</si>
  <si>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</si>
  <si>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</si>
  <si>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</si>
  <si>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</si>
  <si>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</si>
  <si>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</si>
  <si>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</si>
  <si>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</si>
  <si>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</si>
  <si>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</si>
  <si>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</si>
  <si>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</si>
  <si>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</si>
  <si>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</si>
  <si>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</si>
  <si>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</si>
  <si>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</si>
  <si>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</si>
  <si>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</si>
  <si>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</si>
  <si>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</si>
  <si>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</si>
  <si>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</si>
  <si>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</si>
  <si>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</si>
  <si>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</si>
  <si>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</si>
  <si>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</si>
  <si>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</si>
  <si>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</si>
  <si>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</si>
  <si>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</si>
  <si>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</si>
  <si>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</si>
  <si>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</si>
  <si>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</si>
  <si>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</si>
  <si>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</si>
  <si>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</si>
  <si>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</si>
  <si>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</si>
  <si>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</si>
  <si>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</si>
  <si>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</si>
  <si>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</si>
  <si>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</si>
  <si>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</si>
  <si>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</si>
  <si>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</si>
  <si>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</si>
  <si>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</si>
  <si>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</si>
  <si>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</si>
  <si>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</si>
  <si>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</si>
  <si>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</si>
  <si>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</si>
  <si>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</si>
  <si>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</si>
  <si>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</si>
  <si>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</si>
  <si>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</si>
  <si>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</si>
  <si>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</si>
  <si>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</si>
  <si>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</si>
  <si>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</si>
  <si>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</si>
  <si>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</si>
  <si>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</si>
  <si>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</si>
  <si>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</si>
  <si>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</si>
  <si>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</si>
  <si>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</si>
  <si>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</si>
  <si>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</si>
  <si>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</si>
  <si>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</si>
  <si>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</si>
  <si>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</si>
  <si>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</si>
  <si>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</si>
  <si>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</si>
  <si>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</si>
  <si>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</si>
  <si>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</si>
  <si>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</si>
  <si>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</si>
  <si>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</si>
  <si>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</si>
  <si>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</si>
  <si>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</si>
  <si>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</si>
  <si>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</si>
  <si>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</si>
  <si>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</si>
  <si>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</si>
  <si>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</si>
  <si>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</si>
  <si>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</si>
  <si>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</si>
  <si>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</si>
  <si>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</si>
  <si>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</si>
  <si>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</si>
  <si>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</si>
  <si>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</si>
  <si>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</si>
  <si>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</si>
  <si>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</si>
  <si>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</si>
  <si>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</si>
  <si>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</si>
  <si>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</si>
  <si>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</si>
  <si>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</si>
  <si>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</si>
  <si>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</si>
  <si>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</si>
  <si>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</si>
  <si>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</si>
  <si>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</si>
  <si>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</si>
  <si>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</si>
  <si>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</si>
  <si>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</si>
  <si>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</si>
  <si>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</si>
  <si>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</si>
  <si>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</si>
  <si>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</si>
  <si>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</si>
  <si>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</si>
  <si>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</si>
  <si>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</si>
  <si>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</si>
  <si>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</si>
  <si>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</si>
  <si>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</si>
  <si>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</si>
  <si>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</si>
  <si>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</si>
  <si>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</si>
  <si>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</si>
  <si>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</si>
  <si>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</si>
  <si>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</si>
  <si>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</si>
  <si>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</si>
  <si>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</si>
  <si>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</si>
  <si>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</si>
  <si>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</si>
  <si>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</si>
  <si>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</si>
  <si>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</si>
  <si>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</si>
  <si>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</si>
  <si>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</si>
  <si>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</si>
  <si>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</si>
  <si>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</si>
  <si>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</si>
  <si>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</si>
  <si>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</si>
  <si>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</si>
  <si>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</si>
  <si>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</si>
  <si>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</si>
  <si>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</si>
  <si>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</si>
  <si>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</si>
  <si>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</si>
  <si>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</si>
  <si>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</si>
  <si>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</si>
  <si>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</si>
  <si>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</si>
  <si>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</si>
  <si>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</si>
  <si>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</si>
  <si>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</si>
  <si>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</si>
  <si>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</si>
  <si>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</si>
  <si>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</si>
  <si>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</si>
  <si>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</si>
  <si>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</si>
  <si>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</si>
  <si>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</si>
  <si>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</si>
  <si>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</si>
  <si>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</si>
  <si>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</si>
  <si>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</si>
  <si>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</si>
  <si>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</si>
  <si>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</si>
  <si>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</si>
  <si>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</si>
  <si>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</si>
  <si>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</si>
  <si>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</si>
  <si>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</si>
  <si>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</si>
  <si>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</si>
  <si>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</si>
  <si>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</si>
  <si>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</si>
  <si>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</si>
  <si>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</si>
  <si>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</si>
  <si>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</si>
  <si>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</si>
  <si>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</si>
  <si>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</si>
  <si>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</si>
  <si>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</si>
  <si>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</si>
  <si>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</si>
  <si>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</si>
  <si>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</si>
  <si>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</si>
  <si>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</si>
  <si>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</si>
  <si>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</si>
  <si>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</si>
  <si>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</si>
  <si>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</si>
  <si>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</si>
  <si>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</si>
  <si>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</si>
  <si>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</si>
  <si>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</si>
  <si>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</si>
  <si>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</si>
  <si>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</si>
  <si>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</si>
  <si>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</si>
  <si>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</si>
  <si>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</si>
  <si>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</si>
  <si>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</si>
  <si>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</si>
  <si>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</si>
  <si>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</si>
  <si>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</si>
  <si>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</si>
  <si>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</si>
  <si>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</si>
  <si>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</si>
  <si>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</si>
  <si>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</si>
  <si>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</si>
  <si>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</si>
  <si>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</si>
  <si>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</si>
  <si>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</si>
  <si>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</si>
  <si>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</si>
  <si>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</si>
  <si>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</si>
  <si>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</si>
  <si>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</si>
  <si>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</si>
  <si>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</si>
  <si>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</si>
  <si>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</si>
  <si>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</si>
  <si>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</si>
  <si>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</si>
  <si>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</si>
  <si>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</si>
  <si>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</si>
  <si>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</si>
  <si>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</si>
  <si>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</si>
  <si>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</si>
  <si>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</si>
  <si>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</si>
  <si>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</si>
  <si>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</si>
  <si>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</si>
  <si>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</si>
  <si>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</si>
  <si>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</si>
  <si>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</si>
  <si>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</si>
  <si>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</si>
  <si>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</si>
  <si>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</si>
  <si>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</si>
  <si>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</si>
  <si>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</si>
  <si>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</si>
  <si>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</si>
  <si>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</si>
  <si>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</si>
  <si>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</si>
  <si>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</si>
  <si>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</si>
  <si>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</si>
  <si>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</si>
  <si>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</si>
  <si>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</si>
  <si>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</si>
  <si>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</si>
  <si>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</si>
  <si>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</si>
  <si>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</si>
  <si>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</si>
  <si>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</si>
  <si>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</si>
  <si>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</si>
  <si>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</si>
  <si>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</si>
  <si>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</si>
  <si>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</si>
  <si>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</si>
  <si>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</si>
  <si>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</si>
  <si>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</si>
  <si>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</si>
  <si>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</si>
  <si>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</si>
  <si>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</si>
  <si>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</si>
  <si>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</si>
  <si>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</si>
  <si>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</si>
  <si>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</si>
  <si>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</si>
  <si>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</si>
  <si>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</si>
  <si>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</si>
  <si>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</si>
  <si>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</si>
  <si>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</si>
  <si>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</si>
  <si>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</si>
  <si>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</si>
  <si>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</si>
  <si>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</si>
  <si>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</si>
  <si>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</si>
  <si>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</si>
  <si>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</si>
  <si>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</si>
  <si>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</si>
  <si>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</si>
  <si>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</si>
  <si>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</si>
  <si>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</si>
  <si>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</si>
  <si>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</si>
  <si>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</si>
  <si>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</si>
  <si>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</si>
  <si>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</si>
  <si>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</si>
  <si>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</si>
  <si>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</si>
  <si>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</si>
  <si>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</si>
  <si>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</si>
  <si>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</si>
  <si>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</si>
  <si>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</si>
  <si>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</si>
  <si>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</si>
  <si>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</si>
  <si>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</si>
  <si>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</si>
  <si>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</si>
  <si>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</si>
  <si>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</si>
  <si>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</si>
  <si>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</si>
  <si>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</si>
  <si>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</si>
  <si>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</si>
  <si>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</si>
  <si>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</si>
  <si>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</si>
  <si>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</si>
  <si>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</si>
  <si>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</si>
  <si>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</si>
  <si>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</si>
  <si>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</si>
  <si>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</si>
  <si>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</si>
  <si>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</si>
  <si>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</si>
  <si>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</si>
  <si>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</si>
  <si>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</si>
  <si>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</si>
  <si>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</si>
  <si>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</si>
  <si>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</si>
  <si>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</si>
  <si>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</si>
  <si>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</si>
  <si>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</si>
  <si>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</si>
  <si>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</si>
  <si>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</si>
  <si>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</si>
  <si>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</si>
  <si>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</si>
  <si>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</si>
  <si>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</si>
  <si>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</si>
  <si>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</si>
  <si>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</si>
  <si>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</si>
  <si>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</si>
  <si>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</si>
  <si>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</si>
  <si>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</si>
  <si>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</si>
  <si>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</si>
  <si>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</si>
  <si>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</si>
  <si>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</si>
  <si>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</si>
  <si>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</si>
  <si>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</si>
  <si>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</si>
  <si>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</si>
  <si>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</si>
  <si>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</si>
  <si>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</si>
  <si>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</si>
  <si>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</si>
  <si>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</si>
  <si>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</si>
  <si>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</si>
  <si>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</si>
  <si>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</si>
  <si>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</si>
  <si>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</si>
  <si>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</si>
  <si>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</si>
  <si>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</si>
  <si>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</si>
  <si>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</si>
  <si>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</si>
  <si>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</si>
  <si>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</si>
  <si>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</si>
  <si>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</si>
  <si>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</si>
  <si>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</si>
  <si>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</si>
  <si>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</si>
  <si>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</si>
  <si>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</si>
  <si>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</si>
  <si>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</si>
  <si>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</si>
  <si>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</si>
  <si>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</si>
  <si>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</si>
  <si>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</si>
  <si>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</si>
  <si>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</si>
  <si>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</si>
  <si>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</si>
  <si>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</si>
  <si>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</si>
  <si>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</si>
  <si>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</si>
  <si>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</si>
  <si>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</si>
  <si>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</si>
  <si>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</si>
  <si>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</si>
  <si>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</si>
  <si>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</si>
  <si>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</si>
  <si>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</si>
  <si>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</si>
  <si>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</si>
  <si>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</si>
  <si>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</si>
  <si>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</si>
  <si>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</si>
  <si>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</si>
  <si>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</si>
  <si>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</si>
  <si>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</si>
  <si>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</si>
  <si>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</si>
  <si>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</si>
  <si>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</si>
  <si>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</si>
  <si>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</si>
  <si>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</si>
  <si>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</si>
  <si>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</si>
  <si>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</si>
  <si>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</si>
  <si>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</si>
  <si>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</si>
  <si>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</si>
  <si>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</si>
  <si>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</si>
  <si>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</si>
  <si>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</si>
  <si>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</si>
  <si>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</si>
  <si>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</si>
  <si>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</si>
  <si>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</si>
  <si>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</si>
  <si>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</si>
  <si>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</si>
  <si>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</si>
  <si>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</si>
  <si>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</si>
  <si>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</si>
  <si>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</si>
  <si>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</si>
  <si>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</si>
  <si>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</si>
  <si>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</si>
  <si>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</si>
  <si>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</si>
  <si>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</si>
  <si>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</si>
  <si>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</si>
  <si>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</si>
  <si>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</si>
  <si>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</si>
  <si>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</si>
  <si>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</si>
  <si>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</si>
  <si>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</si>
  <si>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</si>
  <si>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</si>
  <si>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</si>
  <si>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</si>
  <si>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</si>
  <si>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</si>
  <si>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</si>
  <si>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</si>
  <si>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</si>
  <si>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</si>
  <si>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</si>
  <si>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</si>
  <si>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</si>
  <si>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</si>
  <si>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</si>
  <si>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</si>
  <si>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</si>
  <si>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</si>
  <si>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</si>
  <si>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</si>
  <si>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</si>
  <si>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</si>
  <si>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</si>
  <si>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</si>
  <si>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</si>
  <si>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</si>
  <si>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</si>
  <si>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</si>
  <si>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</si>
  <si>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</si>
  <si>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</si>
  <si>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</si>
  <si>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</si>
  <si>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</si>
  <si>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</si>
  <si>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</si>
  <si>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</si>
  <si>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</si>
  <si>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</si>
  <si>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</si>
  <si>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</si>
  <si>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</si>
  <si>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</si>
  <si>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</si>
  <si>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</si>
  <si>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</si>
  <si>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</si>
  <si>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</si>
  <si>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</si>
  <si>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</si>
  <si>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</si>
  <si>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</si>
  <si>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</si>
  <si>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</si>
  <si>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</si>
  <si>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</si>
  <si>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</si>
  <si>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</si>
  <si>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</si>
  <si>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</si>
  <si>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</si>
  <si>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</si>
  <si>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</si>
  <si>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</si>
  <si>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</si>
  <si>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</si>
  <si>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</si>
  <si>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</si>
  <si>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</si>
  <si>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</si>
  <si>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</si>
  <si>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</si>
  <si>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</si>
  <si>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</si>
  <si>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</si>
  <si>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</si>
  <si>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</si>
  <si>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</si>
  <si>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</si>
  <si>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</si>
  <si>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</si>
  <si>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</si>
  <si>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</si>
  <si>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</si>
  <si>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</si>
  <si>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</si>
  <si>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</si>
  <si>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</si>
  <si>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</si>
  <si>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</si>
  <si>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</si>
  <si>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</si>
  <si>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</si>
  <si>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</si>
  <si>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</si>
  <si>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</si>
  <si>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</si>
  <si>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</si>
  <si>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</si>
  <si>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</si>
  <si>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</si>
  <si>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</si>
  <si>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</si>
  <si>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</si>
  <si>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</si>
  <si>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</si>
  <si>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</si>
  <si>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</si>
  <si>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</si>
  <si>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</si>
  <si>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</si>
  <si>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</si>
  <si>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</si>
  <si>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</si>
  <si>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</si>
  <si>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</si>
  <si>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</si>
  <si>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</si>
  <si>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</si>
  <si>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</si>
  <si>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</si>
  <si>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</si>
  <si>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</si>
  <si>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</si>
  <si>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</si>
  <si>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</si>
  <si>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</si>
  <si>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</si>
  <si>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</si>
  <si>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</si>
  <si>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</si>
  <si>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</si>
  <si>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</si>
  <si>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</si>
  <si>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</si>
  <si>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</si>
  <si>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</si>
  <si>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</si>
  <si>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</si>
  <si>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</si>
  <si>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</si>
  <si>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</si>
  <si>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</si>
  <si>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</si>
  <si>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</si>
  <si>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</si>
  <si>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</si>
  <si>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</si>
  <si>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</si>
  <si>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</si>
  <si>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</si>
  <si>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</si>
  <si>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</si>
  <si>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</si>
  <si>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</si>
  <si>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</si>
  <si>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</si>
  <si>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</si>
  <si>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</si>
  <si>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</si>
  <si>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</si>
  <si>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</si>
  <si>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</si>
  <si>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</si>
  <si>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</si>
  <si>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</si>
  <si>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</si>
  <si>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</si>
  <si>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</si>
  <si>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</si>
  <si>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</si>
  <si>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</si>
  <si>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</si>
  <si>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</si>
  <si>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</si>
  <si>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</si>
  <si>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</si>
  <si>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</si>
  <si>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</si>
  <si>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</si>
  <si>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</si>
  <si>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</si>
  <si>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</si>
  <si>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</si>
  <si>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</si>
  <si>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</si>
  <si>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</si>
  <si>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</si>
  <si>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</si>
  <si>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</si>
  <si>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</si>
  <si>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</si>
  <si>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</si>
  <si>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</si>
  <si>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</si>
  <si>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</si>
  <si>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</si>
  <si>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</si>
  <si>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</si>
  <si>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</si>
  <si>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</si>
  <si>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</si>
  <si>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</si>
  <si>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</si>
  <si>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</si>
  <si>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</si>
  <si>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</si>
  <si>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</si>
  <si>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</si>
  <si>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</si>
  <si>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</si>
  <si>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</si>
  <si>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</si>
  <si>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</si>
  <si>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</si>
  <si>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</si>
  <si>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</si>
  <si>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</si>
  <si>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</si>
  <si>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</si>
  <si>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</si>
  <si>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</si>
  <si>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</si>
  <si>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</si>
  <si>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</si>
  <si>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</si>
  <si>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</si>
  <si>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</si>
  <si>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</si>
  <si>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</si>
  <si>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</si>
  <si>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</si>
  <si>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</si>
  <si>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</si>
  <si>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</si>
  <si>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</si>
  <si>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</si>
  <si>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</si>
  <si>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</si>
  <si>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</si>
  <si>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</si>
  <si>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</si>
  <si>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</si>
  <si>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</si>
  <si>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</si>
  <si>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</si>
  <si>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</si>
  <si>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</si>
  <si>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</si>
  <si>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</si>
  <si>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</si>
  <si>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</si>
  <si>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</si>
  <si>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</si>
  <si>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</si>
  <si>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</si>
  <si>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</si>
  <si>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</si>
  <si>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</si>
  <si>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</si>
  <si>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</si>
  <si>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</si>
  <si>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</si>
  <si>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</si>
  <si>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</si>
  <si>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</si>
  <si>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</si>
  <si>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</si>
  <si>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</si>
  <si>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</si>
  <si>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</si>
  <si>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</si>
  <si>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</si>
  <si>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</si>
  <si>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</si>
  <si>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</si>
  <si>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</si>
  <si>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</si>
  <si>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</si>
  <si>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</si>
  <si>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</si>
  <si>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</si>
  <si>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</si>
  <si>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</si>
  <si>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</si>
  <si>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</si>
  <si>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</si>
  <si>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</si>
  <si>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</si>
  <si>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</si>
  <si>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</si>
  <si>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</si>
  <si>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</si>
  <si>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</si>
  <si>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</si>
  <si>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</si>
  <si>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</si>
  <si>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</si>
  <si>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</si>
  <si>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</si>
  <si>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</si>
  <si>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</si>
  <si>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</si>
  <si>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</si>
  <si>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</si>
  <si>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</si>
  <si>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</si>
  <si>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</si>
  <si>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</si>
  <si>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</si>
  <si>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</si>
  <si>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</si>
  <si>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</si>
  <si>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</si>
  <si>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</si>
  <si>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</si>
  <si>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</si>
  <si>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</si>
  <si>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</si>
  <si>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</si>
  <si>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</si>
  <si>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</si>
  <si>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</si>
  <si>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</si>
  <si>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</si>
  <si>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</si>
  <si>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</si>
  <si>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</si>
  <si>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</si>
  <si>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</si>
  <si>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</si>
  <si>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</si>
  <si>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</si>
  <si>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</si>
  <si>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</si>
  <si>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</si>
  <si>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</si>
  <si>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</si>
  <si>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</si>
  <si>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</si>
  <si>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</si>
  <si>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</si>
  <si>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</si>
  <si>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</si>
  <si>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</si>
  <si>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</si>
  <si>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</si>
  <si>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</si>
  <si>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</si>
  <si>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</si>
  <si>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</si>
  <si>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</si>
  <si>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</si>
  <si>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</si>
  <si>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</si>
  <si>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</si>
  <si>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</si>
  <si>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</si>
  <si>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</si>
  <si>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</si>
  <si>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</si>
  <si>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</si>
  <si>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</si>
  <si>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</si>
  <si>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</si>
  <si>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</si>
  <si>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</si>
  <si>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</si>
  <si>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</si>
  <si>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</si>
  <si>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</si>
  <si>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</si>
  <si>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</si>
  <si>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</si>
  <si>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</si>
  <si>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</si>
  <si>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</si>
  <si>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</si>
  <si>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</si>
  <si>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</si>
  <si>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</si>
  <si>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</si>
  <si>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</si>
  <si>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</si>
  <si>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</si>
  <si>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</si>
  <si>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</si>
  <si>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</si>
  <si>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</si>
  <si>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</si>
  <si>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</si>
  <si>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</si>
  <si>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</si>
  <si>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</si>
  <si>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</si>
  <si>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</si>
  <si>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</si>
  <si>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</si>
  <si>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</si>
  <si>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</si>
  <si>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</si>
  <si>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</si>
  <si>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</si>
  <si>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</si>
  <si>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</si>
  <si>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</si>
  <si>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</si>
  <si>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</si>
  <si>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</si>
  <si>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</si>
  <si>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</si>
  <si>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</si>
  <si>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</si>
  <si>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</si>
  <si>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</si>
  <si>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</si>
  <si>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</si>
  <si>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</si>
  <si>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</si>
  <si>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</si>
  <si>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</si>
  <si>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</si>
  <si>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</si>
  <si>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</si>
  <si>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</si>
  <si>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</si>
  <si>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</si>
  <si>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</si>
  <si>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</si>
  <si>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</si>
  <si>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</si>
  <si>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</si>
  <si>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</si>
  <si>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</si>
  <si>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</si>
  <si>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</si>
  <si>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</si>
  <si>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</si>
  <si>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</si>
  <si>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</si>
  <si>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</si>
  <si>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</si>
  <si>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</si>
  <si>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</si>
  <si>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</si>
  <si>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</si>
  <si>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</si>
  <si>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</si>
  <si>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</si>
  <si>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</si>
  <si>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</si>
  <si>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</si>
  <si>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</si>
  <si>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</si>
  <si>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</si>
  <si>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</si>
  <si>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</si>
  <si>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</si>
  <si>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</si>
  <si>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</si>
  <si>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</si>
  <si>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</si>
  <si>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</si>
  <si>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</si>
  <si>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</si>
  <si>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</si>
  <si>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</si>
  <si>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</si>
  <si>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</si>
  <si>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</si>
  <si>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</si>
  <si>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</si>
  <si>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</si>
  <si>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</si>
  <si>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</si>
  <si>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</si>
  <si>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</si>
  <si>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</si>
  <si>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</si>
  <si>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</si>
  <si>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</si>
  <si>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</si>
  <si>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</si>
  <si>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</si>
  <si>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</si>
  <si>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</si>
  <si>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</si>
  <si>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</si>
  <si>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</si>
  <si>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</si>
  <si>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</si>
  <si>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</si>
  <si>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</si>
  <si>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</si>
  <si>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</si>
  <si>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</si>
  <si>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</si>
  <si>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</si>
  <si>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</si>
  <si>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</si>
  <si>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</si>
  <si>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</si>
  <si>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</si>
  <si>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</si>
  <si>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</si>
  <si>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</si>
  <si>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</si>
  <si>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</si>
  <si>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</si>
  <si>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</si>
  <si>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</si>
  <si>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</si>
  <si>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</si>
  <si>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</si>
  <si>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</si>
  <si>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</si>
  <si>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</si>
  <si>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</si>
  <si>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</si>
  <si>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</si>
  <si>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</si>
  <si>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</si>
  <si>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</si>
  <si>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</si>
  <si>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</si>
  <si>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</si>
  <si>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</si>
  <si>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</si>
  <si>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</si>
  <si>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</si>
  <si>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</si>
  <si>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</si>
  <si>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</si>
  <si>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</si>
  <si>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</si>
  <si>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</si>
  <si>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</si>
  <si>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</si>
  <si>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</si>
  <si>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</si>
  <si>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</si>
  <si>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</si>
  <si>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</si>
  <si>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</si>
  <si>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</si>
  <si>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</si>
  <si>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</si>
  <si>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</si>
  <si>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</si>
  <si>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</si>
  <si>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</si>
  <si>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</si>
  <si>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</si>
  <si>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</si>
  <si>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</si>
  <si>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</si>
  <si>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</si>
  <si>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</si>
  <si>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</si>
  <si>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</si>
  <si>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</si>
  <si>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</si>
  <si>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</si>
  <si>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</si>
  <si>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</si>
  <si>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</si>
  <si>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</si>
  <si>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</si>
  <si>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</si>
  <si>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</si>
  <si>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</si>
  <si>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</si>
  <si>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</si>
  <si>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</si>
  <si>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</si>
  <si>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</si>
  <si>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</si>
  <si>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</si>
  <si>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</si>
  <si>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</si>
  <si>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</si>
  <si>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</si>
  <si>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</si>
  <si>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</si>
  <si>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</si>
  <si>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</si>
  <si>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</si>
  <si>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</si>
  <si>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</si>
  <si>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</si>
  <si>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</si>
  <si>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</si>
  <si>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</si>
  <si>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</si>
  <si>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</si>
  <si>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</si>
  <si>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</si>
  <si>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</si>
  <si>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</si>
  <si>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</si>
  <si>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</si>
  <si>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</si>
  <si>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</si>
  <si>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</si>
  <si>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</si>
  <si>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</si>
  <si>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</si>
  <si>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</si>
  <si>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</si>
  <si>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</si>
  <si>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</si>
  <si>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</si>
  <si>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</si>
  <si>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</si>
  <si>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</si>
  <si>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</si>
  <si>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</si>
  <si>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</si>
  <si>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</si>
  <si>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</si>
  <si>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</si>
  <si>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</si>
  <si>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</si>
  <si>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</si>
  <si>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</si>
  <si>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</si>
  <si>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</si>
  <si>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</si>
  <si>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</si>
  <si>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</si>
  <si>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</si>
  <si>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</si>
  <si>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</si>
  <si>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</si>
  <si>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</si>
  <si>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</si>
  <si>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</si>
  <si>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</si>
  <si>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</si>
  <si>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</si>
  <si>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</si>
  <si>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</si>
  <si>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</si>
  <si>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</si>
  <si>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</si>
  <si>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</si>
  <si>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</si>
  <si>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</si>
  <si>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</si>
  <si>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</si>
  <si>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</si>
  <si>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</si>
  <si>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</si>
  <si>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</si>
  <si>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</si>
  <si>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</si>
  <si>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</si>
  <si>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</si>
  <si>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</si>
  <si>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</si>
  <si>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</si>
  <si>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</si>
  <si>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</si>
  <si>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</si>
  <si>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</si>
  <si>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</si>
  <si>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</si>
  <si>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</si>
  <si>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</si>
  <si>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</si>
  <si>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</si>
  <si>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</si>
  <si>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</si>
  <si>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</si>
  <si>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</si>
  <si>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</si>
  <si>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</si>
  <si>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</si>
  <si>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</si>
  <si>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</si>
  <si>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</si>
  <si>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</si>
  <si>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</si>
  <si>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</si>
  <si>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</si>
  <si>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</si>
  <si>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</si>
  <si>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</si>
  <si>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</si>
  <si>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</si>
  <si>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</si>
  <si>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</si>
  <si>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</si>
  <si>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</si>
  <si>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</si>
  <si>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</si>
  <si>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</si>
  <si>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</si>
  <si>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</si>
  <si>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</si>
  <si>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</si>
  <si>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</si>
  <si>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</si>
  <si>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</si>
  <si>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</si>
  <si>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</si>
  <si>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</si>
  <si>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</si>
  <si>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</si>
  <si>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</si>
  <si>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</si>
  <si>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</si>
  <si>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</si>
  <si>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</si>
  <si>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</si>
  <si>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</si>
  <si>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</si>
  <si>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</si>
  <si>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</si>
  <si>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</si>
  <si>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</si>
  <si>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</si>
  <si>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</si>
  <si>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</si>
  <si>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</si>
  <si>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</si>
  <si>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</si>
  <si>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</si>
  <si>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</si>
  <si>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</si>
  <si>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</si>
  <si>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</si>
  <si>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</si>
  <si>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</si>
  <si>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</si>
  <si>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</si>
  <si>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</si>
  <si>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</si>
  <si>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</si>
  <si>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</si>
  <si>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</si>
  <si>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</si>
  <si>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</si>
  <si>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</si>
  <si>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</si>
  <si>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</si>
  <si>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</si>
  <si>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</si>
  <si>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</si>
  <si>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</si>
  <si>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</si>
  <si>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</si>
  <si>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</si>
  <si>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</si>
  <si>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</si>
  <si>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</si>
  <si>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</si>
  <si>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</si>
  <si>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</si>
  <si>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</si>
  <si>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</si>
  <si>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</si>
  <si>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</si>
  <si>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</si>
  <si>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</si>
  <si>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</si>
  <si>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</si>
  <si>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</si>
  <si>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</si>
  <si>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</si>
  <si>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</si>
  <si>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</si>
  <si>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</si>
  <si>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</si>
  <si>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</si>
  <si>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</si>
  <si>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</si>
  <si>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</si>
  <si>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</si>
  <si>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</si>
  <si>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</si>
  <si>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</si>
  <si>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</si>
  <si>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</si>
  <si>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</si>
  <si>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</si>
  <si>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</si>
  <si>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</si>
  <si>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</si>
  <si>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</si>
  <si>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</si>
  <si>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</si>
  <si>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</si>
  <si>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</si>
  <si>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</si>
  <si>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</si>
  <si>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</si>
  <si>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</si>
  <si>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</si>
  <si>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</si>
  <si>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</si>
  <si>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</si>
  <si>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</si>
  <si>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</si>
  <si>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</si>
  <si>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</si>
  <si>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</si>
  <si>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</si>
  <si>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</si>
  <si>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</si>
  <si>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</si>
  <si>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</si>
  <si>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</si>
  <si>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</si>
  <si>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</si>
  <si>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</si>
  <si>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</si>
  <si>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</si>
  <si>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</si>
  <si>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</si>
  <si>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</si>
  <si>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</si>
  <si>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</si>
  <si>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</si>
  <si>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</si>
  <si>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</si>
  <si>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</si>
  <si>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</si>
  <si>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</si>
  <si>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</si>
  <si>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</si>
  <si>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</si>
  <si>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</si>
  <si>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</si>
  <si>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</si>
  <si>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</si>
  <si>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</si>
  <si>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</si>
  <si>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</si>
  <si>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</si>
  <si>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</si>
  <si>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</si>
  <si>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</si>
  <si>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</si>
  <si>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</si>
  <si>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</si>
  <si>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</si>
  <si>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</si>
  <si>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</si>
  <si>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</si>
  <si>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</si>
  <si>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</si>
  <si>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</si>
  <si>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</si>
  <si>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</si>
  <si>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</si>
  <si>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</si>
  <si>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</si>
  <si>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</si>
  <si>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</si>
  <si>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</si>
  <si>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</si>
  <si>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</si>
  <si>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</si>
  <si>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</si>
  <si>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</si>
  <si>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</si>
  <si>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</si>
  <si>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</si>
  <si>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</si>
  <si>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</si>
  <si>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</si>
  <si>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</si>
  <si>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</si>
  <si>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</si>
  <si>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</si>
  <si>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</si>
  <si>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</si>
  <si>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</si>
  <si>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</si>
  <si>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</si>
  <si>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</si>
  <si>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</si>
  <si>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</si>
  <si>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</si>
  <si>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</si>
  <si>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</si>
  <si>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</si>
  <si>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</si>
  <si>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</si>
  <si>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</si>
  <si>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</si>
  <si>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</si>
  <si>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</si>
  <si>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</si>
  <si>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</si>
  <si>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</si>
  <si>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</si>
  <si>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</si>
  <si>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</si>
  <si>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</si>
  <si>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</si>
  <si>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</si>
  <si>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</si>
  <si>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</si>
  <si>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</si>
  <si>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</si>
  <si>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</si>
  <si>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</si>
  <si>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</si>
  <si>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</si>
  <si>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</si>
  <si>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</si>
  <si>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</si>
  <si>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</si>
  <si>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</si>
  <si>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</si>
  <si>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</si>
  <si>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</si>
  <si>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</si>
  <si>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</si>
  <si>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</si>
  <si>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</si>
  <si>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</si>
  <si>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</si>
  <si>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</si>
  <si>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</si>
  <si>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</si>
  <si>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</si>
  <si>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</si>
  <si>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</si>
  <si>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</si>
  <si>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</si>
  <si>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</si>
  <si>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</si>
  <si>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</si>
  <si>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</si>
  <si>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</si>
  <si>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</si>
  <si>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</si>
  <si>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</si>
  <si>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</si>
  <si>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</si>
  <si>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</si>
  <si>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</si>
  <si>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</si>
  <si>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</si>
  <si>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</si>
  <si>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</si>
  <si>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</si>
  <si>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</si>
  <si>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</si>
  <si>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</si>
  <si>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</si>
  <si>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</si>
  <si>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</si>
  <si>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</si>
  <si>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</si>
  <si>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</si>
  <si>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</si>
  <si>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</si>
  <si>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</si>
  <si>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</si>
  <si>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</si>
  <si>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</si>
  <si>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</si>
  <si>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</si>
  <si>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</si>
  <si>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</si>
  <si>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</si>
  <si>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</si>
  <si>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</si>
  <si>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</si>
  <si>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</si>
  <si>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</si>
  <si>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</si>
  <si>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</si>
  <si>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</si>
  <si>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</si>
  <si>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</si>
  <si>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</si>
  <si>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</si>
  <si>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</si>
  <si>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</si>
  <si>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</si>
  <si>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</si>
  <si>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</si>
  <si>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</si>
  <si>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</si>
  <si>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</si>
  <si>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</si>
  <si>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</si>
  <si>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</si>
  <si>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</si>
  <si>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</si>
  <si>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</si>
  <si>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</si>
  <si>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</si>
  <si>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</si>
  <si>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</si>
  <si>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</si>
  <si>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</si>
  <si>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</si>
  <si>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</si>
  <si>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</si>
  <si>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</si>
  <si>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</si>
  <si>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</si>
  <si>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</si>
  <si>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</si>
  <si>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</si>
  <si>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</si>
  <si>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</si>
  <si>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</si>
  <si>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</si>
  <si>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</si>
  <si>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</si>
  <si>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</si>
  <si>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</si>
  <si>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</si>
  <si>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</si>
  <si>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</si>
  <si>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</si>
  <si>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</si>
  <si>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</si>
  <si>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</si>
  <si>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</si>
  <si>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</si>
  <si>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</si>
  <si>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</si>
  <si>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</si>
  <si>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</si>
  <si>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</si>
  <si>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</si>
  <si>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</si>
  <si>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</si>
  <si>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</si>
  <si>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</si>
  <si>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</si>
  <si>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</si>
  <si>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</si>
  <si>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</si>
  <si>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</si>
  <si>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</si>
  <si>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</si>
  <si>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</si>
  <si>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</si>
  <si>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</si>
  <si>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</si>
  <si>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</si>
  <si>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</si>
  <si>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</si>
  <si>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</si>
  <si>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</si>
  <si>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</si>
  <si>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</si>
  <si>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</si>
  <si>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</si>
  <si>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</si>
  <si>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</si>
  <si>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</si>
  <si>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</si>
  <si>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</si>
  <si>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</si>
  <si>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</si>
  <si>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</si>
  <si>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</si>
  <si>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</si>
  <si>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</si>
  <si>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</si>
  <si>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</si>
  <si>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</si>
  <si>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</si>
  <si>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</si>
  <si>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</si>
  <si>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</si>
  <si>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</si>
  <si>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</si>
  <si>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</si>
  <si>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</si>
  <si>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</si>
  <si>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</si>
  <si>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</si>
  <si>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</si>
  <si>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</si>
  <si>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</si>
  <si>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</si>
  <si>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</si>
  <si>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</si>
  <si>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</si>
  <si>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</si>
  <si>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</si>
  <si>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</si>
  <si>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</si>
  <si>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</si>
  <si>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</si>
  <si>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</si>
  <si>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</si>
  <si>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</si>
  <si>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</si>
  <si>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</si>
  <si>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</si>
  <si>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</si>
  <si>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</si>
  <si>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</si>
  <si>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</si>
  <si>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</si>
  <si>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</si>
  <si>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</si>
  <si>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</si>
  <si>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</si>
  <si>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</si>
  <si>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</si>
  <si>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</si>
  <si>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</si>
  <si>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</si>
  <si>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</si>
  <si>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</si>
  <si>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</si>
  <si>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</si>
  <si>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</si>
  <si>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</si>
  <si>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</si>
  <si>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</si>
  <si>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</si>
  <si>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</si>
  <si>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</si>
  <si>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</si>
  <si>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</si>
  <si>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</si>
  <si>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</si>
  <si>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</si>
  <si>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</si>
  <si>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</si>
  <si>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</si>
  <si>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</si>
  <si>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</si>
  <si>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</si>
  <si>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</si>
  <si>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</si>
  <si>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</si>
  <si>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</si>
  <si>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</si>
  <si>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</si>
  <si>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</si>
  <si>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</si>
  <si>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</si>
  <si>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</si>
  <si>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</si>
  <si>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</si>
  <si>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</si>
  <si>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</si>
  <si>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</si>
  <si>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</si>
  <si>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</si>
  <si>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</si>
  <si>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</si>
  <si>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</si>
  <si>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</si>
  <si>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</si>
  <si>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</si>
  <si>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</si>
  <si>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</si>
  <si>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</si>
  <si>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</si>
  <si>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</si>
  <si>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</si>
  <si>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</si>
  <si>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</si>
  <si>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</si>
  <si>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</si>
  <si>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</si>
  <si>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</si>
  <si>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</si>
  <si>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</si>
  <si>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</si>
  <si>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</si>
  <si>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</si>
  <si>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</si>
  <si>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</si>
  <si>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</si>
  <si>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</si>
  <si>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</si>
  <si>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</si>
  <si>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</si>
  <si>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</si>
  <si>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</si>
  <si>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</si>
  <si>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</si>
  <si>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</si>
  <si>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</si>
  <si>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</si>
  <si>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</si>
  <si>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</si>
  <si>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</si>
  <si>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</si>
  <si>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</si>
  <si>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</si>
  <si>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</si>
  <si>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</si>
  <si>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</si>
  <si>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</si>
  <si>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</si>
  <si>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</si>
  <si>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</si>
  <si>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</si>
  <si>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</si>
  <si>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</si>
  <si>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</si>
  <si>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</si>
  <si>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</si>
  <si>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</si>
  <si>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</si>
  <si>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</si>
  <si>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</si>
  <si>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</si>
  <si>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</si>
  <si>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</si>
  <si>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</si>
  <si>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</si>
  <si>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</si>
  <si>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</si>
  <si>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</si>
  <si>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</si>
  <si>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</si>
  <si>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</si>
  <si>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</si>
  <si>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</si>
  <si>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</si>
  <si>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</si>
  <si>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</si>
  <si>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</si>
  <si>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</si>
  <si>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</si>
  <si>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</si>
  <si>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</si>
  <si>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</si>
  <si>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</si>
  <si>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</si>
  <si>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</si>
  <si>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</si>
  <si>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</si>
  <si>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</si>
  <si>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</si>
  <si>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</si>
  <si>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</si>
  <si>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</si>
  <si>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</si>
  <si>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</si>
  <si>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</si>
  <si>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</si>
  <si>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</si>
  <si>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</si>
  <si>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</si>
  <si>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</si>
  <si>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</si>
  <si>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</si>
  <si>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</si>
  <si>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</si>
  <si>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</si>
  <si>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</si>
  <si>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</si>
  <si>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</si>
  <si>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</si>
  <si>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</si>
  <si>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</si>
  <si>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</si>
  <si>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</si>
  <si>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</si>
  <si>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</si>
  <si>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</si>
  <si>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</si>
  <si>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</si>
  <si>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</si>
  <si>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</si>
  <si>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</si>
  <si>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</si>
  <si>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</si>
  <si>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</si>
  <si>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</si>
  <si>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</si>
  <si>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</si>
  <si>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</si>
  <si>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</si>
  <si>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</si>
  <si>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</si>
  <si>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</si>
  <si>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</si>
  <si>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</si>
  <si>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</si>
  <si>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</si>
  <si>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</si>
  <si>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</si>
  <si>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</si>
  <si>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</si>
  <si>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</si>
  <si>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</si>
  <si>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</si>
  <si>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</si>
  <si>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</si>
  <si>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</si>
  <si>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</si>
  <si>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</si>
  <si>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</si>
  <si>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</si>
  <si>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</si>
  <si>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</si>
  <si>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</si>
  <si>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</si>
  <si>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</si>
  <si>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</si>
  <si>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</si>
  <si>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</si>
  <si>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</si>
  <si>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</si>
  <si>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</si>
  <si>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</si>
  <si>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</si>
  <si>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</si>
  <si>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</si>
  <si>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</si>
  <si>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</si>
  <si>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</si>
  <si>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</si>
  <si>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</si>
  <si>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</si>
  <si>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</si>
  <si>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</si>
  <si>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</si>
  <si>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</si>
  <si>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</si>
  <si>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</si>
  <si>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叶凌</t>
  </si>
  <si>
    <t>陈颖</t>
  </si>
  <si>
    <t>核定资产</t>
  </si>
  <si>
    <t>自然人</t>
  </si>
  <si>
    <t>北京市</t>
  </si>
  <si>
    <t>是</t>
  </si>
  <si>
    <t>地上</t>
  </si>
  <si>
    <t>住宅</t>
  </si>
  <si>
    <t>成新度</t>
  </si>
  <si>
    <t>收益法 (元)</t>
  </si>
  <si>
    <t>成本法 (元)</t>
  </si>
  <si>
    <t>现房</t>
  </si>
  <si>
    <t>押三</t>
  </si>
  <si>
    <t>钢混</t>
  </si>
  <si>
    <t>非生产用房</t>
  </si>
  <si>
    <t>自定义容积率</t>
  </si>
  <si>
    <t>不临58条商业街</t>
  </si>
  <si>
    <t>无</t>
  </si>
  <si>
    <t>按公示增长率计算</t>
  </si>
  <si>
    <t>好</t>
  </si>
  <si>
    <t>未包含在土地购买价格中</t>
  </si>
  <si>
    <t>较好</t>
  </si>
  <si>
    <t>出让</t>
  </si>
  <si>
    <t>杨红英</t>
  </si>
  <si>
    <t>单价</t>
    <phoneticPr fontId="144" type="noConversion"/>
  </si>
  <si>
    <t>单价</t>
    <phoneticPr fontId="9" type="noConversion"/>
  </si>
  <si>
    <r>
      <rPr>
        <sz val="11"/>
        <color theme="9" tint="-0.249977111117893"/>
        <rFont val="宋体"/>
        <family val="3"/>
        <charset val="134"/>
      </rPr>
      <t>北京市大兴区海鑫北路</t>
    </r>
    <r>
      <rPr>
        <sz val="11"/>
        <color theme="9" tint="-0.249977111117893"/>
        <rFont val="Arial"/>
        <family val="2"/>
      </rPr>
      <t>18</t>
    </r>
    <r>
      <rPr>
        <sz val="11"/>
        <color theme="9" tint="-0.249977111117893"/>
        <rFont val="宋体"/>
        <family val="3"/>
        <charset val="134"/>
      </rPr>
      <t>号院</t>
    </r>
    <r>
      <rPr>
        <sz val="11"/>
        <color theme="9" tint="-0.249977111117893"/>
        <rFont val="Arial"/>
        <family val="2"/>
      </rPr>
      <t>5</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4</t>
    </r>
    <r>
      <rPr>
        <sz val="11"/>
        <color theme="9" tint="-0.249977111117893"/>
        <rFont val="宋体"/>
        <family val="3"/>
        <charset val="134"/>
      </rPr>
      <t>单元</t>
    </r>
    <r>
      <rPr>
        <sz val="11"/>
        <color theme="9" tint="-0.249977111117893"/>
        <rFont val="Arial"/>
        <family val="2"/>
      </rPr>
      <t>502</t>
    </r>
    <r>
      <rPr>
        <sz val="11"/>
        <color theme="9" tint="-0.249977111117893"/>
        <rFont val="宋体"/>
        <family val="3"/>
        <charset val="134"/>
      </rPr>
      <t>号住宅用房</t>
    </r>
    <phoneticPr fontId="26" type="noConversion"/>
  </si>
  <si>
    <t>金色漫香郡</t>
    <phoneticPr fontId="4" type="noConversion"/>
  </si>
  <si>
    <t>正常</t>
  </si>
  <si>
    <t>住宅</t>
    <phoneticPr fontId="26" type="noConversion"/>
  </si>
  <si>
    <t>60-70（含）</t>
  </si>
  <si>
    <t>较差</t>
  </si>
  <si>
    <t>一般</t>
  </si>
  <si>
    <t>六通</t>
  </si>
  <si>
    <t>楼层</t>
    <phoneticPr fontId="26"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</si>
  <si>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</si>
  <si>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</si>
  <si>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</si>
  <si>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</si>
  <si>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</si>
  <si>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</si>
  <si>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</si>
  <si>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</si>
  <si>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</si>
  <si>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</si>
  <si>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北</t>
    <phoneticPr fontId="4" type="noConversion"/>
  </si>
  <si>
    <t>道路级别</t>
    <phoneticPr fontId="26"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</si>
  <si>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</si>
  <si>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</si>
  <si>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</si>
  <si>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</si>
  <si>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</si>
  <si>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</si>
  <si>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</si>
  <si>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</si>
  <si>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</si>
  <si>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</si>
  <si>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</si>
  <si>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</si>
  <si>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</si>
  <si>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</si>
  <si>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</si>
  <si>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</si>
  <si>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</si>
  <si>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</si>
  <si>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</si>
  <si>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</si>
  <si>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</si>
  <si>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</si>
  <si>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</si>
  <si>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</si>
  <si>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</si>
  <si>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</si>
  <si>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</si>
  <si>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</si>
  <si>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6" type="noConversion"/>
  </si>
  <si>
    <t>西南</t>
  </si>
  <si>
    <t>简装</t>
  </si>
  <si>
    <t>平层</t>
  </si>
  <si>
    <t>普通</t>
  </si>
  <si>
    <t>多层板楼</t>
  </si>
  <si>
    <t>支路——海鑫北路</t>
    <phoneticPr fontId="26" type="noConversion"/>
  </si>
  <si>
    <t>南北</t>
  </si>
  <si>
    <r>
      <t>5/8</t>
    </r>
    <r>
      <rPr>
        <sz val="11"/>
        <color indexed="8"/>
        <rFont val="宋体"/>
        <family val="3"/>
        <charset val="134"/>
      </rPr>
      <t>（中楼层）</t>
    </r>
    <phoneticPr fontId="26" type="noConversion"/>
  </si>
  <si>
    <t>2019-1-0131</t>
    <phoneticPr fontId="7" type="noConversion"/>
  </si>
  <si>
    <t>商业</t>
    <phoneticPr fontId="8" type="noConversion"/>
  </si>
  <si>
    <t>房地产市场价值</t>
  </si>
  <si>
    <t>商业</t>
    <phoneticPr fontId="7" type="noConversion"/>
  </si>
  <si>
    <t>5-6A08</t>
    <phoneticPr fontId="4" type="noConversion"/>
  </si>
  <si>
    <t xml:space="preserve"> </t>
    <phoneticPr fontId="9" type="noConversion"/>
  </si>
  <si>
    <t>500-1000米</t>
  </si>
  <si>
    <t>五通一平</t>
  </si>
  <si>
    <t>缺少</t>
  </si>
  <si>
    <t>燃气</t>
  </si>
  <si>
    <t>通热</t>
  </si>
  <si>
    <t>楼层修正</t>
  </si>
  <si>
    <t>批发零售用地</t>
  </si>
  <si>
    <t>押一</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</si>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</sst>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2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184" fontId="65" fillId="17" borderId="1" xfId="0" applyNumberFormat="1"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45" xfId="0" applyNumberFormat="1" applyFont="1" applyFill="1" applyBorder="1" applyAlignment="1" applyProtection="1">
      <alignment horizontal="center" vertical="center" wrapText="1"/>
      <protection locked="0"/>
    </xf>
    <xf numFmtId="0" fontId="138" fillId="0" borderId="45"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ser>
        <c:dLbls>
          <c:showLegendKey val="0"/>
          <c:showVal val="0"/>
          <c:showCatName val="0"/>
          <c:showSerName val="0"/>
          <c:showPercent val="0"/>
          <c:showBubbleSize val="0"/>
        </c:dLbls>
        <c:gapWidth val="150"/>
        <c:axId val="168624896"/>
        <c:axId val="168626432"/>
      </c:barChart>
      <c:catAx>
        <c:axId val="168624896"/>
        <c:scaling>
          <c:orientation val="minMax"/>
        </c:scaling>
        <c:delete val="0"/>
        <c:axPos val="b"/>
        <c:numFmt formatCode="General" sourceLinked="1"/>
        <c:majorTickMark val="out"/>
        <c:minorTickMark val="none"/>
        <c:tickLblPos val="nextTo"/>
        <c:crossAx val="168626432"/>
        <c:crosses val="autoZero"/>
        <c:auto val="1"/>
        <c:lblAlgn val="ctr"/>
        <c:lblOffset val="100"/>
        <c:noMultiLvlLbl val="0"/>
      </c:catAx>
      <c:valAx>
        <c:axId val="168626432"/>
        <c:scaling>
          <c:orientation val="minMax"/>
        </c:scaling>
        <c:delete val="0"/>
        <c:axPos val="l"/>
        <c:majorGridlines/>
        <c:numFmt formatCode="@" sourceLinked="1"/>
        <c:majorTickMark val="out"/>
        <c:minorTickMark val="none"/>
        <c:tickLblPos val="nextTo"/>
        <c:crossAx val="16862489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618053</xdr:colOff>
      <xdr:row>24</xdr:row>
      <xdr:rowOff>19050</xdr:rowOff>
    </xdr:to>
    <xdr:pic>
      <xdr:nvPicPr>
        <xdr:cNvPr id="7" name="图片 6"/>
        <xdr:cNvPicPr>
          <a:picLocks noChangeAspect="1"/>
        </xdr:cNvPicPr>
      </xdr:nvPicPr>
      <xdr:blipFill>
        <a:blip xmlns:r="http://schemas.openxmlformats.org/officeDocument/2006/relationships" r:embed="rId1"/>
        <a:stretch>
          <a:fillRect/>
        </a:stretch>
      </xdr:blipFill>
      <xdr:spPr>
        <a:xfrm>
          <a:off x="1" y="0"/>
          <a:ext cx="8847652" cy="4133850"/>
        </a:xfrm>
        <a:prstGeom prst="rect">
          <a:avLst/>
        </a:prstGeom>
      </xdr:spPr>
    </xdr:pic>
    <xdr:clientData/>
  </xdr:twoCellAnchor>
  <xdr:twoCellAnchor editAs="oneCell">
    <xdr:from>
      <xdr:col>0</xdr:col>
      <xdr:colOff>0</xdr:colOff>
      <xdr:row>25</xdr:row>
      <xdr:rowOff>0</xdr:rowOff>
    </xdr:from>
    <xdr:to>
      <xdr:col>5</xdr:col>
      <xdr:colOff>94810</xdr:colOff>
      <xdr:row>32</xdr:row>
      <xdr:rowOff>152231</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286250"/>
          <a:ext cx="3523810" cy="1352381"/>
        </a:xfrm>
        <a:prstGeom prst="rect">
          <a:avLst/>
        </a:prstGeom>
      </xdr:spPr>
    </xdr:pic>
    <xdr:clientData/>
  </xdr:twoCellAnchor>
  <xdr:twoCellAnchor editAs="oneCell">
    <xdr:from>
      <xdr:col>5</xdr:col>
      <xdr:colOff>533400</xdr:colOff>
      <xdr:row>24</xdr:row>
      <xdr:rowOff>76200</xdr:rowOff>
    </xdr:from>
    <xdr:to>
      <xdr:col>10</xdr:col>
      <xdr:colOff>656781</xdr:colOff>
      <xdr:row>32</xdr:row>
      <xdr:rowOff>142695</xdr:rowOff>
    </xdr:to>
    <xdr:pic>
      <xdr:nvPicPr>
        <xdr:cNvPr id="9" name="图片 8"/>
        <xdr:cNvPicPr>
          <a:picLocks noChangeAspect="1"/>
        </xdr:cNvPicPr>
      </xdr:nvPicPr>
      <xdr:blipFill>
        <a:blip xmlns:r="http://schemas.openxmlformats.org/officeDocument/2006/relationships" r:embed="rId3"/>
        <a:stretch>
          <a:fillRect/>
        </a:stretch>
      </xdr:blipFill>
      <xdr:spPr>
        <a:xfrm>
          <a:off x="3962400" y="4191000"/>
          <a:ext cx="3552381" cy="1438095"/>
        </a:xfrm>
        <a:prstGeom prst="rect">
          <a:avLst/>
        </a:prstGeom>
      </xdr:spPr>
    </xdr:pic>
    <xdr:clientData/>
  </xdr:twoCellAnchor>
  <xdr:twoCellAnchor editAs="oneCell">
    <xdr:from>
      <xdr:col>0</xdr:col>
      <xdr:colOff>0</xdr:colOff>
      <xdr:row>34</xdr:row>
      <xdr:rowOff>0</xdr:rowOff>
    </xdr:from>
    <xdr:to>
      <xdr:col>5</xdr:col>
      <xdr:colOff>113857</xdr:colOff>
      <xdr:row>43</xdr:row>
      <xdr:rowOff>95045</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5829300"/>
          <a:ext cx="3542857" cy="1638095"/>
        </a:xfrm>
        <a:prstGeom prst="rect">
          <a:avLst/>
        </a:prstGeom>
      </xdr:spPr>
    </xdr:pic>
    <xdr:clientData/>
  </xdr:twoCellAnchor>
  <xdr:twoCellAnchor editAs="oneCell">
    <xdr:from>
      <xdr:col>0</xdr:col>
      <xdr:colOff>0</xdr:colOff>
      <xdr:row>49</xdr:row>
      <xdr:rowOff>0</xdr:rowOff>
    </xdr:from>
    <xdr:to>
      <xdr:col>12</xdr:col>
      <xdr:colOff>94210</xdr:colOff>
      <xdr:row>73</xdr:row>
      <xdr:rowOff>18534</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8401050"/>
          <a:ext cx="8323810" cy="4133334"/>
        </a:xfrm>
        <a:prstGeom prst="rect">
          <a:avLst/>
        </a:prstGeom>
      </xdr:spPr>
    </xdr:pic>
    <xdr:clientData/>
  </xdr:twoCellAnchor>
  <xdr:twoCellAnchor editAs="oneCell">
    <xdr:from>
      <xdr:col>0</xdr:col>
      <xdr:colOff>0</xdr:colOff>
      <xdr:row>74</xdr:row>
      <xdr:rowOff>0</xdr:rowOff>
    </xdr:from>
    <xdr:to>
      <xdr:col>9</xdr:col>
      <xdr:colOff>123039</xdr:colOff>
      <xdr:row>83</xdr:row>
      <xdr:rowOff>47426</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12687300"/>
          <a:ext cx="6295239" cy="1590476"/>
        </a:xfrm>
        <a:prstGeom prst="rect">
          <a:avLst/>
        </a:prstGeom>
      </xdr:spPr>
    </xdr:pic>
    <xdr:clientData/>
  </xdr:twoCellAnchor>
  <xdr:twoCellAnchor editAs="oneCell">
    <xdr:from>
      <xdr:col>0</xdr:col>
      <xdr:colOff>0</xdr:colOff>
      <xdr:row>84</xdr:row>
      <xdr:rowOff>0</xdr:rowOff>
    </xdr:from>
    <xdr:to>
      <xdr:col>12</xdr:col>
      <xdr:colOff>151353</xdr:colOff>
      <xdr:row>109</xdr:row>
      <xdr:rowOff>28036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4401800"/>
          <a:ext cx="8380953" cy="4314286"/>
        </a:xfrm>
        <a:prstGeom prst="rect">
          <a:avLst/>
        </a:prstGeom>
      </xdr:spPr>
    </xdr:pic>
    <xdr:clientData/>
  </xdr:twoCellAnchor>
  <xdr:twoCellAnchor editAs="oneCell">
    <xdr:from>
      <xdr:col>0</xdr:col>
      <xdr:colOff>0</xdr:colOff>
      <xdr:row>110</xdr:row>
      <xdr:rowOff>0</xdr:rowOff>
    </xdr:from>
    <xdr:to>
      <xdr:col>12</xdr:col>
      <xdr:colOff>494210</xdr:colOff>
      <xdr:row>133</xdr:row>
      <xdr:rowOff>28079</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8859500"/>
          <a:ext cx="8723810" cy="3971429"/>
        </a:xfrm>
        <a:prstGeom prst="rect">
          <a:avLst/>
        </a:prstGeom>
      </xdr:spPr>
    </xdr:pic>
    <xdr:clientData/>
  </xdr:twoCellAnchor>
  <xdr:twoCellAnchor editAs="oneCell">
    <xdr:from>
      <xdr:col>0</xdr:col>
      <xdr:colOff>0</xdr:colOff>
      <xdr:row>134</xdr:row>
      <xdr:rowOff>0</xdr:rowOff>
    </xdr:from>
    <xdr:to>
      <xdr:col>9</xdr:col>
      <xdr:colOff>170658</xdr:colOff>
      <xdr:row>144</xdr:row>
      <xdr:rowOff>123595</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22974300"/>
          <a:ext cx="6342858" cy="1838095"/>
        </a:xfrm>
        <a:prstGeom prst="rect">
          <a:avLst/>
        </a:prstGeom>
      </xdr:spPr>
    </xdr:pic>
    <xdr:clientData/>
  </xdr:twoCellAnchor>
  <xdr:twoCellAnchor editAs="oneCell">
    <xdr:from>
      <xdr:col>0</xdr:col>
      <xdr:colOff>0</xdr:colOff>
      <xdr:row>146</xdr:row>
      <xdr:rowOff>0</xdr:rowOff>
    </xdr:from>
    <xdr:to>
      <xdr:col>12</xdr:col>
      <xdr:colOff>379924</xdr:colOff>
      <xdr:row>171</xdr:row>
      <xdr:rowOff>75655</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25031700"/>
          <a:ext cx="8609524" cy="4361905"/>
        </a:xfrm>
        <a:prstGeom prst="rect">
          <a:avLst/>
        </a:prstGeom>
      </xdr:spPr>
    </xdr:pic>
    <xdr:clientData/>
  </xdr:twoCellAnchor>
  <xdr:twoCellAnchor editAs="oneCell">
    <xdr:from>
      <xdr:col>0</xdr:col>
      <xdr:colOff>0</xdr:colOff>
      <xdr:row>172</xdr:row>
      <xdr:rowOff>0</xdr:rowOff>
    </xdr:from>
    <xdr:to>
      <xdr:col>9</xdr:col>
      <xdr:colOff>27800</xdr:colOff>
      <xdr:row>182</xdr:row>
      <xdr:rowOff>85500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29489400"/>
          <a:ext cx="6200000" cy="1800000"/>
        </a:xfrm>
        <a:prstGeom prst="rect">
          <a:avLst/>
        </a:prstGeom>
      </xdr:spPr>
    </xdr:pic>
    <xdr:clientData/>
  </xdr:twoCellAnchor>
  <xdr:twoCellAnchor editAs="oneCell">
    <xdr:from>
      <xdr:col>0</xdr:col>
      <xdr:colOff>0</xdr:colOff>
      <xdr:row>183</xdr:row>
      <xdr:rowOff>0</xdr:rowOff>
    </xdr:from>
    <xdr:to>
      <xdr:col>12</xdr:col>
      <xdr:colOff>284686</xdr:colOff>
      <xdr:row>210</xdr:row>
      <xdr:rowOff>56565</xdr:rowOff>
    </xdr:to>
    <xdr:pic>
      <xdr:nvPicPr>
        <xdr:cNvPr id="18" name="图片 17"/>
        <xdr:cNvPicPr>
          <a:picLocks noChangeAspect="1"/>
        </xdr:cNvPicPr>
      </xdr:nvPicPr>
      <xdr:blipFill>
        <a:blip xmlns:r="http://schemas.openxmlformats.org/officeDocument/2006/relationships" r:embed="rId12"/>
        <a:stretch>
          <a:fillRect/>
        </a:stretch>
      </xdr:blipFill>
      <xdr:spPr>
        <a:xfrm>
          <a:off x="0" y="31375350"/>
          <a:ext cx="8514286" cy="4685715"/>
        </a:xfrm>
        <a:prstGeom prst="rect">
          <a:avLst/>
        </a:prstGeom>
      </xdr:spPr>
    </xdr:pic>
    <xdr:clientData/>
  </xdr:twoCellAnchor>
  <xdr:twoCellAnchor editAs="oneCell">
    <xdr:from>
      <xdr:col>0</xdr:col>
      <xdr:colOff>0</xdr:colOff>
      <xdr:row>212</xdr:row>
      <xdr:rowOff>0</xdr:rowOff>
    </xdr:from>
    <xdr:to>
      <xdr:col>9</xdr:col>
      <xdr:colOff>18277</xdr:colOff>
      <xdr:row>222</xdr:row>
      <xdr:rowOff>114072</xdr:rowOff>
    </xdr:to>
    <xdr:pic>
      <xdr:nvPicPr>
        <xdr:cNvPr id="19" name="图片 18"/>
        <xdr:cNvPicPr>
          <a:picLocks noChangeAspect="1"/>
        </xdr:cNvPicPr>
      </xdr:nvPicPr>
      <xdr:blipFill>
        <a:blip xmlns:r="http://schemas.openxmlformats.org/officeDocument/2006/relationships" r:embed="rId13"/>
        <a:stretch>
          <a:fillRect/>
        </a:stretch>
      </xdr:blipFill>
      <xdr:spPr>
        <a:xfrm>
          <a:off x="0" y="36347400"/>
          <a:ext cx="6190477" cy="1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康正预评字2019-1-0131号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估价对象为北京市房地产，为所有。根据《国有土地使用证》[]，估价对象（分摊）出让国有建设用地使用权面积为0平方米，建筑面积为338.19平方米。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估价对象为北京市房地产,属开发建设的，该项目尚在开发建设中。根据《国有土地使用证》[]，估价对象（分摊）出让国有建设用地使用权面积为0平方米，规划建筑面积为338.19平方米。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2019年3月20日（评估专业人员实地查勘之日）</v>
      </c>
    </row>
    <row r="13" spans="1:2" s="1596" customFormat="1">
      <c r="A13" s="1594" t="s">
        <v>1223</v>
      </c>
      <c r="B13" s="1595" t="str">
        <f>'预评函-1'!A18</f>
        <v>本次估价的“房地产价值”是指在正常市场情况下，在价值时点2019年3月20日，估价对象规划用途为商业，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955</v>
      </c>
    </row>
    <row r="21" spans="1:2" s="1596" customFormat="1">
      <c r="A21" s="1594" t="s">
        <v>1231</v>
      </c>
      <c r="B21" s="1595" t="e">
        <f ca="1">'预评函-2'!D7</f>
        <v>#DIV/0!</v>
      </c>
    </row>
    <row r="22" spans="1:2" s="1596" customFormat="1">
      <c r="A22" s="1594" t="s">
        <v>1232</v>
      </c>
      <c r="B22" s="1595" t="str">
        <f ca="1">'预评函-2'!D6</f>
        <v>玖佰伍拾伍万元整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955</v>
      </c>
    </row>
    <row r="31" spans="1:2" s="1596" customFormat="1">
      <c r="A31" s="1594" t="s">
        <v>1270</v>
      </c>
      <c r="B31" s="1595">
        <f ca="1">'预评函-2'!D15</f>
        <v>28239</v>
      </c>
    </row>
    <row r="32" spans="1:2" s="1596" customFormat="1">
      <c r="A32" s="1594" t="s">
        <v>1237</v>
      </c>
      <c r="B32" s="1595" t="str">
        <f ca="1">'预评函-2'!D14</f>
        <v>玖佰伍拾伍万元整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338.19</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#DIV/0!</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43544</v>
      </c>
      <c r="C3" s="2040" t="s">
        <v>1775</v>
      </c>
      <c r="D3" s="2039">
        <v>43544</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3076</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9" t="s">
        <v>1781</v>
      </c>
      <c r="E8" s="2060"/>
      <c r="F8" s="2061"/>
      <c r="G8" s="2029"/>
      <c r="H8" s="2029"/>
      <c r="I8" s="2029"/>
      <c r="J8" s="2045"/>
      <c r="K8" s="2046"/>
      <c r="L8" s="2031"/>
      <c r="M8" s="2031"/>
      <c r="N8" s="2032"/>
      <c r="O8" s="2033"/>
      <c r="P8" s="2032"/>
      <c r="Q8" s="2032"/>
      <c r="R8" s="2032"/>
    </row>
    <row r="9" spans="1:19" ht="18" customHeight="1" thickBot="1">
      <c r="A9" s="2043" t="s">
        <v>1782</v>
      </c>
      <c r="B9" s="2062" t="s">
        <v>3139</v>
      </c>
      <c r="C9" s="2063"/>
      <c r="D9" s="302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3075</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c r="E13" s="2083">
        <v>53036</v>
      </c>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6" t="s">
        <v>3140</v>
      </c>
      <c r="C16" s="3027"/>
      <c r="D16" s="3028"/>
      <c r="E16" s="2089" t="s">
        <v>1798</v>
      </c>
      <c r="F16" s="3029"/>
      <c r="G16" s="3030"/>
      <c r="H16" s="3030"/>
      <c r="I16" s="3031"/>
      <c r="J16" s="2032"/>
      <c r="K16" s="2086"/>
      <c r="L16" s="2087"/>
      <c r="M16" s="2087"/>
      <c r="N16" s="2088"/>
      <c r="O16" s="2087"/>
      <c r="P16" s="2088"/>
      <c r="Q16" s="2032"/>
      <c r="R16" s="2032"/>
    </row>
    <row r="17" spans="1:22" ht="18" customHeight="1">
      <c r="A17" s="2090" t="s">
        <v>1799</v>
      </c>
      <c r="B17" s="2038" t="s">
        <v>1800</v>
      </c>
      <c r="C17" s="1057">
        <f>'数据-汇总表'!E3</f>
        <v>338.19</v>
      </c>
      <c r="D17" s="2091" t="s">
        <v>1801</v>
      </c>
      <c r="E17" s="3032" t="s">
        <v>1802</v>
      </c>
      <c r="F17" s="3033"/>
      <c r="G17" s="3033"/>
      <c r="H17" s="3033"/>
      <c r="I17" s="303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5" t="s">
        <v>1805</v>
      </c>
      <c r="F18" s="3036"/>
      <c r="G18" s="3036"/>
      <c r="H18" s="3036"/>
      <c r="I18" s="303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2" t="s">
        <v>1810</v>
      </c>
      <c r="C20" s="3023"/>
      <c r="D20" s="3024" t="s">
        <v>1811</v>
      </c>
      <c r="E20" s="3025"/>
      <c r="F20" s="2101" t="s">
        <v>1812</v>
      </c>
      <c r="G20" s="2045"/>
      <c r="H20" s="2045"/>
      <c r="I20" s="2045"/>
      <c r="J20" s="2045"/>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0"/>
      <c r="B30" s="2038" t="s">
        <v>1829</v>
      </c>
      <c r="C30" s="3011"/>
      <c r="D30" s="301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8" t="s">
        <v>1839</v>
      </c>
      <c r="T34" s="2138" t="str">
        <f>NUMBERSTRING(7-K34,1)&amp;"通"</f>
        <v>七通</v>
      </c>
      <c r="U34" s="2032"/>
      <c r="V34" s="2032"/>
    </row>
    <row r="35" spans="1:22" ht="18" customHeight="1">
      <c r="A35" s="2139"/>
      <c r="B35" s="3015" t="s">
        <v>1840</v>
      </c>
      <c r="C35" s="3015"/>
      <c r="D35" s="3015"/>
      <c r="E35" s="301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338.19</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338.19</v>
      </c>
      <c r="H5" s="16">
        <f t="shared" ref="H5:AT5" si="0">SUM(H13:H656)</f>
        <v>338.19</v>
      </c>
      <c r="I5" s="16">
        <f t="shared" si="0"/>
        <v>338.19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338.19</v>
      </c>
      <c r="BA5" s="18">
        <f t="shared" si="1"/>
        <v>338.19</v>
      </c>
      <c r="BB5" s="18">
        <f t="shared" si="1"/>
        <v>338.19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3141</v>
      </c>
      <c r="D13" s="2217" t="s">
        <v>3058</v>
      </c>
      <c r="E13" s="16">
        <f>IF($C$3="是",ROUND($A$3*G13/$B$3,2),ROUND($A$3*(G13-AT13)/$B$3,2))</f>
        <v>0</v>
      </c>
      <c r="F13" s="32"/>
      <c r="G13" s="33">
        <f>H13+AC13+AT13</f>
        <v>338.19</v>
      </c>
      <c r="H13" s="20">
        <f>SUMIF(I$12:AB$12,"总值",I13:AB13)</f>
        <v>338.19</v>
      </c>
      <c r="I13" s="2218">
        <v>338.19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5-6A08</v>
      </c>
      <c r="AY13" s="1809">
        <f>ROUND($AY$6*AZ13/$AZ$5,2)</f>
        <v>0</v>
      </c>
      <c r="AZ13" s="16">
        <f>BA13+BL13</f>
        <v>338.19</v>
      </c>
      <c r="BA13" s="16">
        <f>SUM(BB13:BK13)</f>
        <v>338.19</v>
      </c>
      <c r="BB13" s="16">
        <f>IF($D13="是",I13-J13,0)</f>
        <v>338.19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338.19</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0</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338.19</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338.19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338.19</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3138</v>
      </c>
      <c r="D19" s="48">
        <f>ROUND($D$3*E19/$E$3,2)</f>
        <v>0</v>
      </c>
      <c r="E19" s="56">
        <f t="shared" ref="E19:E26" si="1">SUM(F19:G19)</f>
        <v>338.19</v>
      </c>
      <c r="F19" s="57">
        <f>'数据-基础表'!I5</f>
        <v>338.19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338.19</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338.19</v>
      </c>
      <c r="F27" s="1396">
        <f>IF(SUM(F19:F26)=E8,SUM(F19:F26),"地上面积有误")</f>
        <v>338.19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338.19</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338.19</v>
      </c>
      <c r="F31" s="730">
        <f>F27+F30</f>
        <v>338.19</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43544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53036</v>
      </c>
      <c r="F6" s="72">
        <f>SUMIF(项目基本情况!D$12:I$12,C6,项目基本情况!D$15:I$15)</f>
        <v>26</v>
      </c>
      <c r="G6" s="73">
        <f>IF(ISERROR(ROUND(POWER(1+H6,D6-F6)*(POWER(1+H6,F6)-1)/(POWER(1+H6,D6)-1),3)),0,ROUND(POWER(1+H6,D6-F6)*(POWER(1+H6,F6)-1)/(POWER(1+H6,D6)-1),3))</f>
        <v>0.82299999999999995</v>
      </c>
      <c r="H6" s="802">
        <v>4.4999999999999998E-2</v>
      </c>
      <c r="I6" s="802">
        <v>0.05</v>
      </c>
      <c r="J6" s="74">
        <v>0.08</v>
      </c>
      <c r="K6" s="1254">
        <f>SUMIF('数据-汇总表'!C$19:C$33,A6,'数据-汇总表'!E$19:E$33)</f>
        <v>338.19</v>
      </c>
      <c r="L6" s="803">
        <v>3000</v>
      </c>
      <c r="M6" s="75">
        <f t="shared" ref="M6:M14" si="0">ROUND(K6*L6/10000,0)</f>
        <v>101</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5.5</v>
      </c>
      <c r="V6" s="79">
        <v>2.5000000000000001E-2</v>
      </c>
      <c r="W6" s="79">
        <v>0.05</v>
      </c>
      <c r="X6" s="1264"/>
      <c r="Y6" s="80">
        <v>0.85</v>
      </c>
      <c r="Z6" s="81"/>
      <c r="AA6" s="74"/>
      <c r="AB6" s="74"/>
      <c r="AC6" s="1264"/>
      <c r="AD6" s="82">
        <v>0.85</v>
      </c>
      <c r="AE6" s="1265">
        <f ca="1">IF(AN6="",0,SUMIF(INDIRECT("'"&amp;AN6&amp;"'"&amp;"!E:E"),$AE$5,INDIRECT("'"&amp;AN6&amp;"'"&amp;"!F:F")))</f>
        <v>26</v>
      </c>
      <c r="AF6" s="1807"/>
      <c r="AG6" s="147">
        <f>IF(AF6="",0,AE6-AF6)</f>
        <v>0</v>
      </c>
      <c r="AH6" s="83">
        <f>'数据-汇总表'!E3</f>
        <v>338.19</v>
      </c>
      <c r="AI6" s="85">
        <v>365</v>
      </c>
      <c r="AJ6" s="86"/>
      <c r="AK6" s="87">
        <v>1.4999999999999999E-2</v>
      </c>
      <c r="AL6" s="88">
        <v>1.5E-3</v>
      </c>
      <c r="AM6" s="89">
        <v>0.01</v>
      </c>
      <c r="AN6" s="2313" t="s">
        <v>3062</v>
      </c>
      <c r="AO6" s="55">
        <f ca="1">SUMIF(INDIRECT("'"&amp;AN6&amp;"'"&amp;"!A:A"),"总价",INDIRECT("'"&amp;AN6&amp;"'"&amp;"!B:B"))</f>
        <v>999.73109999999997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0.82299999999999995</v>
      </c>
      <c r="H16" s="99">
        <f>ROUND(SUMPRODUCT(H6:H13,K6:K13)/SUMPRODUCT((H6:H13&gt;0)*(K6:K13)),3)</f>
        <v>4.4999999999999998E-2</v>
      </c>
      <c r="I16" s="100"/>
      <c r="J16" s="100"/>
      <c r="K16" s="101">
        <f>SUM(K6:K15)</f>
        <v>338.19</v>
      </c>
      <c r="L16" s="102">
        <f>ROUND(M16*10000/SUM(K6:K14),0)</f>
        <v>2986</v>
      </c>
      <c r="M16" s="102">
        <f>SUM(M6:M14)</f>
        <v>101</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338.19</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43544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955</v>
      </c>
      <c r="C5" s="1746">
        <f ca="1">ROUND(B5*10000/$B$1,0)</f>
        <v>28239</v>
      </c>
      <c r="D5" s="1746" t="e">
        <f ca="1">ROUND(B5*10000/$B$2,0)</f>
        <v>#DIV/0!</v>
      </c>
      <c r="E5" s="1745"/>
      <c r="F5" s="1743"/>
      <c r="G5" s="1743"/>
    </row>
    <row r="6" spans="1:10" ht="16.5">
      <c r="A6" s="1746" t="s">
        <v>1352</v>
      </c>
      <c r="B6" s="1746">
        <f ca="1">SUM(G14:G23)</f>
        <v>955</v>
      </c>
      <c r="C6" s="1746">
        <f ca="1">ROUND(B6*10000/$B$1,0)</f>
        <v>28239</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'数据-汇总表'!F19</f>
        <v>338.19</v>
      </c>
      <c r="C14" s="1744">
        <f>结果表!C118</f>
        <v>0</v>
      </c>
      <c r="D14" s="1744">
        <f ca="1">结果表!H118</f>
        <v>955</v>
      </c>
      <c r="E14" s="1744">
        <f ca="1">ROUND(D14*10000/B14,0)</f>
        <v>28239</v>
      </c>
      <c r="F14" s="1744" t="e">
        <f ca="1">ROUND(D14*10000/C14,0)</f>
        <v>#DIV/0!</v>
      </c>
      <c r="G14" s="1744">
        <f ca="1">结果表!D122</f>
        <v>955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090" t="str">
        <f>项目基本情况!S2</f>
        <v>北京市房地产</v>
      </c>
      <c r="B2" s="3091"/>
      <c r="C2" s="3091"/>
      <c r="D2" s="3091"/>
      <c r="E2" s="3091"/>
      <c r="F2" s="3091"/>
      <c r="G2" s="3091"/>
      <c r="H2" s="3091"/>
      <c r="I2" s="3092"/>
    </row>
    <row r="3" spans="1:12" ht="12.75">
      <c r="A3" s="3094" t="s">
        <v>2120</v>
      </c>
      <c r="B3" s="3095"/>
      <c r="C3" s="3095"/>
      <c r="D3" s="3095"/>
      <c r="E3" s="3095"/>
      <c r="F3" s="3095"/>
      <c r="G3" s="3095"/>
      <c r="H3" s="3095"/>
      <c r="I3" s="3095"/>
    </row>
    <row r="4" spans="1:12" ht="14.25">
      <c r="A4" s="2430" t="s">
        <v>2121</v>
      </c>
      <c r="B4" s="2431" t="s">
        <v>2122</v>
      </c>
      <c r="C4" s="2432" t="s">
        <v>3062</v>
      </c>
      <c r="D4" s="2432" t="s">
        <v>3063</v>
      </c>
      <c r="E4" s="3087" t="s">
        <v>2123</v>
      </c>
      <c r="F4" s="3088"/>
      <c r="G4" s="3088"/>
      <c r="H4" s="3088"/>
      <c r="I4" s="3096"/>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70" t="s">
        <v>2124</v>
      </c>
      <c r="B5" s="3008">
        <v>25</v>
      </c>
      <c r="C5" s="3073">
        <v>50</v>
      </c>
      <c r="D5" s="3093">
        <f>100-C5</f>
        <v>50</v>
      </c>
      <c r="E5" s="140" t="s">
        <v>2125</v>
      </c>
      <c r="F5" s="2434"/>
      <c r="G5" s="2434"/>
      <c r="H5" s="2434"/>
      <c r="I5" s="1834"/>
    </row>
    <row r="6" spans="1:12" ht="12.75">
      <c r="A6" s="3070"/>
      <c r="B6" s="3008"/>
      <c r="C6" s="3074"/>
      <c r="D6" s="3093"/>
      <c r="E6" s="140" t="s">
        <v>2126</v>
      </c>
      <c r="F6" s="2434"/>
      <c r="G6" s="2434"/>
      <c r="H6" s="2434"/>
      <c r="I6" s="1834"/>
    </row>
    <row r="7" spans="1:12" ht="12.75">
      <c r="A7" s="3070"/>
      <c r="B7" s="3008"/>
      <c r="C7" s="3075"/>
      <c r="D7" s="3093"/>
      <c r="E7" s="140" t="s">
        <v>2127</v>
      </c>
      <c r="F7" s="2434"/>
      <c r="G7" s="2434"/>
      <c r="H7" s="2434"/>
      <c r="I7" s="1834"/>
    </row>
    <row r="8" spans="1:12" ht="12.75">
      <c r="A8" s="3070" t="s">
        <v>2128</v>
      </c>
      <c r="B8" s="3008">
        <v>15</v>
      </c>
      <c r="C8" s="3073"/>
      <c r="D8" s="3093"/>
      <c r="E8" s="140" t="s">
        <v>2129</v>
      </c>
      <c r="F8" s="2434"/>
      <c r="G8" s="2434"/>
      <c r="H8" s="2434"/>
      <c r="I8" s="1834"/>
    </row>
    <row r="9" spans="1:12" ht="12.75">
      <c r="A9" s="3070"/>
      <c r="B9" s="3008"/>
      <c r="C9" s="3075"/>
      <c r="D9" s="3093"/>
      <c r="E9" s="140" t="s">
        <v>2130</v>
      </c>
      <c r="F9" s="2434"/>
      <c r="G9" s="2434"/>
      <c r="H9" s="2434"/>
      <c r="I9" s="1834"/>
    </row>
    <row r="10" spans="1:12" ht="12.75">
      <c r="A10" s="3070" t="s">
        <v>2131</v>
      </c>
      <c r="B10" s="3008">
        <v>15</v>
      </c>
      <c r="C10" s="3073"/>
      <c r="D10" s="3093"/>
      <c r="E10" s="140" t="s">
        <v>2132</v>
      </c>
      <c r="F10" s="2434"/>
      <c r="G10" s="2434"/>
      <c r="H10" s="2434"/>
      <c r="I10" s="1834"/>
    </row>
    <row r="11" spans="1:12" ht="12.75">
      <c r="A11" s="3070"/>
      <c r="B11" s="3008"/>
      <c r="C11" s="3075"/>
      <c r="D11" s="3093"/>
      <c r="E11" s="140" t="s">
        <v>2133</v>
      </c>
      <c r="F11" s="2434"/>
      <c r="G11" s="2434"/>
      <c r="H11" s="2434"/>
      <c r="I11" s="1834"/>
    </row>
    <row r="12" spans="1:12" ht="12.75">
      <c r="A12" s="3070" t="s">
        <v>2134</v>
      </c>
      <c r="B12" s="3008">
        <v>15</v>
      </c>
      <c r="C12" s="3073"/>
      <c r="D12" s="3093"/>
      <c r="E12" s="140" t="s">
        <v>2135</v>
      </c>
      <c r="F12" s="2434"/>
      <c r="G12" s="2434"/>
      <c r="H12" s="2434"/>
      <c r="I12" s="1834"/>
    </row>
    <row r="13" spans="1:12" ht="12.75">
      <c r="A13" s="3070"/>
      <c r="B13" s="3008"/>
      <c r="C13" s="3075"/>
      <c r="D13" s="3093"/>
      <c r="E13" s="140" t="s">
        <v>2136</v>
      </c>
      <c r="F13" s="2434"/>
      <c r="G13" s="2434"/>
      <c r="H13" s="2434"/>
      <c r="I13" s="1834"/>
    </row>
    <row r="14" spans="1:12" ht="12.75">
      <c r="A14" s="3070" t="s">
        <v>2137</v>
      </c>
      <c r="B14" s="3008">
        <v>30</v>
      </c>
      <c r="C14" s="3073"/>
      <c r="D14" s="3093"/>
      <c r="E14" s="140" t="s">
        <v>2138</v>
      </c>
      <c r="F14" s="2434"/>
      <c r="G14" s="2434"/>
      <c r="H14" s="2434"/>
      <c r="I14" s="1834"/>
    </row>
    <row r="15" spans="1:12" ht="12.75">
      <c r="A15" s="3070"/>
      <c r="B15" s="3008"/>
      <c r="C15" s="3074"/>
      <c r="D15" s="3093"/>
      <c r="E15" s="140" t="s">
        <v>2139</v>
      </c>
      <c r="F15" s="2434"/>
      <c r="G15" s="2434"/>
      <c r="H15" s="2434"/>
      <c r="I15" s="1834"/>
    </row>
    <row r="16" spans="1:12" ht="12.75">
      <c r="A16" s="3070"/>
      <c r="B16" s="3008"/>
      <c r="C16" s="3075"/>
      <c r="D16" s="3093"/>
      <c r="E16" s="140" t="s">
        <v>2140</v>
      </c>
      <c r="F16" s="2434"/>
      <c r="G16" s="2434"/>
      <c r="H16" s="2434"/>
      <c r="I16" s="1834"/>
    </row>
    <row r="17" spans="1:35" ht="15">
      <c r="A17" s="2435" t="s">
        <v>2141</v>
      </c>
      <c r="B17" s="64"/>
      <c r="C17" s="141">
        <f>SUM(C5:C16)</f>
        <v>50</v>
      </c>
      <c r="D17" s="141">
        <f>SUM(D5:D16)</f>
        <v>50</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0</v>
      </c>
      <c r="M18" s="2433">
        <f>IF(C1="",'数据-汇总表'!E3,SUMIF(项目类型,C1,'数据-汇总表'!E17:E26))</f>
        <v>0</v>
      </c>
    </row>
    <row r="19" spans="1:35" ht="15">
      <c r="A19" s="2439" t="s">
        <v>2146</v>
      </c>
      <c r="B19" s="2440" t="s">
        <v>2147</v>
      </c>
      <c r="C19" s="143">
        <f ca="1">SUMIF(INDIRECT("'"&amp;C4&amp;"'"&amp;"!A:A"),结果表!B19,INDIRECT("'"&amp;C4&amp;"'"&amp;"!B:B"))</f>
        <v>999.73109999999997</v>
      </c>
      <c r="D19" s="144">
        <f ca="1">SUMIF(INDIRECT("'"&amp;D4&amp;"'"&amp;"!A:A"),结果表!B19,INDIRECT("'"&amp;D4&amp;"'"&amp;"!B:B"))</f>
        <v>911</v>
      </c>
      <c r="E19" s="2439" t="s">
        <v>2148</v>
      </c>
      <c r="F19" s="2440" t="s">
        <v>2147</v>
      </c>
      <c r="G19" s="145">
        <f ca="1">ROUND(C19*$C$18+D19*$D$18,0)</f>
        <v>955</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29561</v>
      </c>
      <c r="D20" s="147">
        <f ca="1">SUMIF(INDIRECT("'"&amp;D4&amp;"'"&amp;"!A:A"),结果表!B20,INDIRECT("'"&amp;D4&amp;"'"&amp;"!B:B"))</f>
        <v>26938</v>
      </c>
      <c r="E20" s="2442"/>
      <c r="F20" s="1250" t="s">
        <v>2151</v>
      </c>
      <c r="G20" s="148">
        <f ca="1">ROUND(C20*$C$18+D20*$D$18,0)</f>
        <v>28250</v>
      </c>
      <c r="H20" s="983" t="s">
        <v>2152</v>
      </c>
      <c r="I20" s="138" t="s">
        <v>3142</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9.7399670691547646E-2</v>
      </c>
      <c r="E22" s="138"/>
      <c r="F22" s="138"/>
      <c r="G22" s="138"/>
      <c r="H22" s="138"/>
      <c r="I22" s="138"/>
      <c r="J22" s="2950" t="s">
        <v>3078</v>
      </c>
      <c r="K22" s="795">
        <f ca="1">ROUND(C20*C18+D20*D18,0)</f>
        <v>28250</v>
      </c>
    </row>
    <row r="23" spans="1:35" ht="13.5" thickBot="1">
      <c r="A23" s="2423"/>
      <c r="B23" s="2423"/>
      <c r="C23" s="2423"/>
      <c r="D23" s="2423"/>
      <c r="E23" s="138"/>
      <c r="F23" s="138"/>
      <c r="G23" s="138"/>
      <c r="H23" s="138"/>
      <c r="I23" s="138"/>
      <c r="K23" s="795">
        <f ca="1">ROUND(K22*'数据-汇总表'!F19,0)</f>
        <v>9553868</v>
      </c>
    </row>
    <row r="24" spans="1:35" ht="14.25">
      <c r="A24" s="3064" t="s">
        <v>2155</v>
      </c>
      <c r="B24" s="2440" t="s">
        <v>2147</v>
      </c>
      <c r="C24" s="145">
        <f>IF(B30=0,0,D30)</f>
        <v>0</v>
      </c>
      <c r="D24" s="2447"/>
      <c r="E24" s="138"/>
      <c r="F24" s="138"/>
      <c r="G24" s="138"/>
      <c r="H24" s="138"/>
      <c r="I24" s="138"/>
    </row>
    <row r="25" spans="1:35" ht="14.25">
      <c r="A25" s="306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955</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2" t="s">
        <v>2169</v>
      </c>
      <c r="B36" s="2466" t="s">
        <v>2170</v>
      </c>
      <c r="C36" s="154"/>
      <c r="D36" s="2467"/>
      <c r="E36" s="2468"/>
      <c r="F36" s="2469"/>
      <c r="G36" s="138"/>
      <c r="H36" s="138"/>
      <c r="I36" s="138"/>
    </row>
    <row r="37" spans="1:15" ht="15.75" thickBot="1">
      <c r="A37" s="3083"/>
      <c r="B37" s="2271" t="s">
        <v>2171</v>
      </c>
      <c r="C37" s="156"/>
      <c r="D37" s="1395"/>
      <c r="E37" s="1395"/>
      <c r="F37" s="2469"/>
      <c r="G37" s="138"/>
      <c r="H37" s="138"/>
      <c r="I37" s="138"/>
    </row>
    <row r="38" spans="1:15" ht="15.75" thickBot="1">
      <c r="A38" s="3084"/>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1" t="s">
        <v>2183</v>
      </c>
      <c r="B45" s="3062"/>
      <c r="C45" s="3063"/>
      <c r="D45" s="164">
        <f ca="1">ROUND(H101*F45,0)</f>
        <v>955</v>
      </c>
      <c r="E45" s="165" t="s">
        <v>2184</v>
      </c>
      <c r="F45" s="166">
        <v>1</v>
      </c>
      <c r="G45" s="167" t="s">
        <v>2185</v>
      </c>
      <c r="H45" s="138"/>
      <c r="I45" s="138"/>
      <c r="J45" s="3121" t="s">
        <v>2186</v>
      </c>
      <c r="K45" s="3121"/>
      <c r="L45" s="3121"/>
      <c r="M45" s="3121"/>
      <c r="N45" s="3121"/>
      <c r="O45" s="3121"/>
    </row>
    <row r="46" spans="1:15" ht="14.25" customHeight="1">
      <c r="A46" s="3058" t="s">
        <v>2187</v>
      </c>
      <c r="B46" s="3059"/>
      <c r="C46" s="3059"/>
      <c r="D46" s="3059"/>
      <c r="E46" s="3059"/>
      <c r="F46" s="3059"/>
      <c r="G46" s="3060"/>
      <c r="H46" s="2485"/>
      <c r="I46" s="168"/>
      <c r="J46" s="1812">
        <v>1</v>
      </c>
      <c r="K46" s="3121" t="s">
        <v>2188</v>
      </c>
      <c r="L46" s="3121"/>
      <c r="M46" s="3141"/>
      <c r="N46" s="3141"/>
      <c r="O46" s="3141"/>
    </row>
    <row r="47" spans="1:15" ht="12" customHeight="1">
      <c r="A47" s="169" t="s">
        <v>2189</v>
      </c>
      <c r="B47" s="170"/>
      <c r="C47" s="171"/>
      <c r="D47" s="172" t="s">
        <v>2190</v>
      </c>
      <c r="E47" s="24" t="s">
        <v>2191</v>
      </c>
      <c r="F47" s="173" t="s">
        <v>2192</v>
      </c>
      <c r="G47" s="174" t="s">
        <v>2193</v>
      </c>
      <c r="H47" s="2485"/>
      <c r="I47" s="168"/>
      <c r="J47" s="1812">
        <v>2</v>
      </c>
      <c r="K47" s="3121" t="s">
        <v>2194</v>
      </c>
      <c r="L47" s="3121"/>
      <c r="M47" s="3142">
        <f>'数据-取费表'!B2</f>
        <v>43544</v>
      </c>
      <c r="N47" s="3142"/>
      <c r="O47" s="3142"/>
    </row>
    <row r="48" spans="1:15" ht="25.5">
      <c r="A48" s="3089" t="s">
        <v>2195</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1" t="s">
        <v>2198</v>
      </c>
      <c r="L48" s="3121"/>
      <c r="M48" s="3143">
        <f ca="1">H101</f>
        <v>955</v>
      </c>
      <c r="N48" s="3143"/>
      <c r="O48" s="3143"/>
    </row>
    <row r="49" spans="1:35" ht="25.5" customHeight="1">
      <c r="A49" s="176" t="s">
        <v>2199</v>
      </c>
      <c r="B49" s="3057" t="s">
        <v>2200</v>
      </c>
      <c r="C49" s="3057"/>
      <c r="D49" s="177">
        <v>0</v>
      </c>
      <c r="E49" s="23" t="s">
        <v>2201</v>
      </c>
      <c r="F49" s="28" t="s">
        <v>34</v>
      </c>
      <c r="G49" s="3127"/>
      <c r="H49" s="138"/>
      <c r="I49" s="2488"/>
      <c r="J49" s="1812">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2202</v>
      </c>
      <c r="C50" s="3057"/>
      <c r="D50" s="179"/>
      <c r="E50" s="31"/>
      <c r="F50" s="180"/>
      <c r="G50" s="3128"/>
      <c r="H50" s="138"/>
      <c r="I50" s="2488"/>
      <c r="J50" s="3121" t="s">
        <v>2203</v>
      </c>
      <c r="K50" s="3121"/>
      <c r="L50" s="3121"/>
      <c r="M50" s="3121"/>
      <c r="N50" s="3121"/>
      <c r="O50" s="3121"/>
    </row>
    <row r="51" spans="1:35" ht="12" customHeight="1">
      <c r="A51" s="181"/>
      <c r="B51" s="3057" t="s">
        <v>2204</v>
      </c>
      <c r="C51" s="3057"/>
      <c r="D51" s="182"/>
      <c r="E51" s="30"/>
      <c r="F51" s="180"/>
      <c r="G51" s="3129"/>
      <c r="H51" s="138"/>
      <c r="I51" s="2488"/>
      <c r="J51" s="2489" t="s">
        <v>2205</v>
      </c>
      <c r="K51" s="3121" t="s">
        <v>2206</v>
      </c>
      <c r="L51" s="3121"/>
      <c r="M51" s="2489" t="s">
        <v>2207</v>
      </c>
      <c r="N51" s="2489" t="s">
        <v>2208</v>
      </c>
      <c r="O51" s="2489" t="s">
        <v>2209</v>
      </c>
    </row>
    <row r="52" spans="1:35" ht="24" customHeight="1">
      <c r="A52" s="183" t="s">
        <v>2210</v>
      </c>
      <c r="B52" s="3057" t="s">
        <v>2211</v>
      </c>
      <c r="C52" s="3057"/>
      <c r="D52" s="182">
        <f ca="1">ROUND(D45*'数据-取费表'!B41/(1+'数据-取费表'!C42),0)</f>
        <v>51</v>
      </c>
      <c r="E52" s="11" t="s">
        <v>2212</v>
      </c>
      <c r="F52" s="184">
        <f>'数据-取费表'!B41</f>
        <v>5.6000000000000001E-2</v>
      </c>
      <c r="G52" s="2490"/>
      <c r="H52" s="138"/>
      <c r="I52" s="2488"/>
      <c r="J52" s="1812">
        <v>1</v>
      </c>
      <c r="K52" s="3122" t="s">
        <v>2213</v>
      </c>
      <c r="L52" s="3122"/>
      <c r="M52" s="1754">
        <f>D48</f>
        <v>0</v>
      </c>
      <c r="N52" s="1812" t="str">
        <f>E48</f>
        <v>销售额×税（费）率</v>
      </c>
      <c r="O52" s="1755" t="str">
        <f>F48</f>
        <v>免征</v>
      </c>
    </row>
    <row r="53" spans="1:35" ht="12" customHeight="1">
      <c r="A53" s="183" t="s">
        <v>2214</v>
      </c>
      <c r="B53" s="3080" t="s">
        <v>2215</v>
      </c>
      <c r="C53" s="3081"/>
      <c r="D53" s="182">
        <f ca="1">ROUND(D45*'数据-取费表'!B41/(1+'数据-取费表'!C42),0)</f>
        <v>51</v>
      </c>
      <c r="E53" s="11" t="s">
        <v>2212</v>
      </c>
      <c r="F53" s="184">
        <f>'数据-取费表'!B41</f>
        <v>5.6000000000000001E-2</v>
      </c>
      <c r="G53" s="2490"/>
      <c r="H53" s="138"/>
      <c r="I53" s="2488"/>
      <c r="J53" s="1812">
        <v>2</v>
      </c>
      <c r="K53" s="3122" t="s">
        <v>2216</v>
      </c>
      <c r="L53" s="3122"/>
      <c r="M53" s="1754">
        <f t="shared" ref="M53:O54" ca="1" si="0">D55</f>
        <v>0</v>
      </c>
      <c r="N53" s="1812" t="str">
        <f t="shared" si="0"/>
        <v>销售额×税（费）率</v>
      </c>
      <c r="O53" s="1755">
        <f t="shared" si="0"/>
        <v>5.0000000000000001E-4</v>
      </c>
    </row>
    <row r="54" spans="1:35" ht="12" customHeight="1">
      <c r="A54" s="183" t="s">
        <v>2217</v>
      </c>
      <c r="B54" s="3080" t="s">
        <v>2218</v>
      </c>
      <c r="C54" s="3081"/>
      <c r="D54" s="182">
        <f ca="1">C68</f>
        <v>51</v>
      </c>
      <c r="E54" s="30" t="s">
        <v>2219</v>
      </c>
      <c r="F54" s="184">
        <f>'数据-取费表'!B41</f>
        <v>5.6000000000000001E-2</v>
      </c>
      <c r="G54" s="2490"/>
      <c r="H54" s="2491"/>
      <c r="I54" s="2488"/>
      <c r="J54" s="1812">
        <v>3</v>
      </c>
      <c r="K54" s="3122" t="s">
        <v>2220</v>
      </c>
      <c r="L54" s="3122"/>
      <c r="M54" s="1754">
        <f t="shared" ca="1" si="0"/>
        <v>541</v>
      </c>
      <c r="N54" s="1812" t="str">
        <f t="shared" si="0"/>
        <v>增值额×税（费）率</v>
      </c>
      <c r="O54" s="1756" t="str">
        <f t="shared" si="0"/>
        <v>——</v>
      </c>
    </row>
    <row r="55" spans="1:35" ht="24" customHeight="1">
      <c r="A55" s="3071" t="s">
        <v>2221</v>
      </c>
      <c r="B55" s="3072"/>
      <c r="C55" s="3072"/>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2224</v>
      </c>
      <c r="B56" s="3072"/>
      <c r="C56" s="3072"/>
      <c r="D56" s="185">
        <f ca="1">IF(H56="个人住宅",D57,D58)</f>
        <v>541</v>
      </c>
      <c r="E56" s="11" t="s">
        <v>2225</v>
      </c>
      <c r="F56" s="184" t="str">
        <f>IF(H56="正常",F58,"免征")</f>
        <v>——</v>
      </c>
      <c r="G56" s="2492" t="s">
        <v>2226</v>
      </c>
      <c r="H56" s="2493" t="s">
        <v>2223</v>
      </c>
      <c r="I56" s="2494"/>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2199</v>
      </c>
      <c r="B57" s="3087" t="s">
        <v>2227</v>
      </c>
      <c r="C57" s="3096"/>
      <c r="D57" s="187">
        <v>0</v>
      </c>
      <c r="E57" s="23" t="s">
        <v>2201</v>
      </c>
      <c r="F57" s="155"/>
      <c r="G57" s="2490"/>
      <c r="H57" s="2494"/>
      <c r="I57" s="2494"/>
      <c r="J57" s="3122">
        <f>IF(AND(J55="",J56=""),4,IF(项目基本情况!K6="上海银行",结果表!J56+1,结果表!J55+1))</f>
        <v>4</v>
      </c>
      <c r="K57" s="3122" t="s">
        <v>2228</v>
      </c>
      <c r="L57" s="2495" t="s">
        <v>2229</v>
      </c>
      <c r="M57" s="1759"/>
      <c r="N57" s="1760">
        <f ca="1">SUMIF(M52:M56,"&lt;9e307")</f>
        <v>541</v>
      </c>
      <c r="O57" s="2496"/>
      <c r="P57" s="1753" t="e">
        <f ca="1">N57/M49</f>
        <v>#VALUE!</v>
      </c>
    </row>
    <row r="58" spans="1:35" ht="24.75">
      <c r="A58" s="183" t="s">
        <v>2210</v>
      </c>
      <c r="B58" s="3087" t="s">
        <v>2230</v>
      </c>
      <c r="C58" s="3088"/>
      <c r="D58" s="185">
        <f ca="1">IF(H58="转让取得",C81,C97)</f>
        <v>541</v>
      </c>
      <c r="E58" s="11" t="s">
        <v>2225</v>
      </c>
      <c r="F58" s="24" t="s">
        <v>34</v>
      </c>
      <c r="G58" s="2490"/>
      <c r="H58" s="2493" t="s">
        <v>2231</v>
      </c>
      <c r="I58" s="2494"/>
      <c r="J58" s="3122"/>
      <c r="K58" s="3122"/>
      <c r="L58" s="2495" t="s">
        <v>2232</v>
      </c>
      <c r="M58" s="1761"/>
      <c r="N58" s="2497" t="str">
        <f ca="1">NUMBERSTRING(INT(N57*10000),2)&amp;"元整"</f>
        <v>伍佰肆拾壹万元整</v>
      </c>
      <c r="O58" s="2498"/>
    </row>
    <row r="59" spans="1:35" ht="24.75" thickBot="1">
      <c r="A59" s="3125" t="s">
        <v>2233</v>
      </c>
      <c r="B59" s="3126"/>
      <c r="C59" s="3126"/>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3">
        <f>J57+1</f>
        <v>5</v>
      </c>
      <c r="K59" s="3122" t="s">
        <v>2235</v>
      </c>
      <c r="L59" s="1812" t="s">
        <v>2229</v>
      </c>
      <c r="M59" s="1762"/>
      <c r="N59" s="1763" t="e">
        <f ca="1">M49-N57</f>
        <v>#VALUE!</v>
      </c>
      <c r="O59" s="2500"/>
    </row>
    <row r="60" spans="1:35" ht="12" customHeight="1">
      <c r="A60" s="2501"/>
      <c r="B60" s="2423"/>
      <c r="C60" s="2423"/>
      <c r="D60" s="2423"/>
      <c r="E60" s="2170"/>
      <c r="F60" s="2494"/>
      <c r="G60" s="2494"/>
      <c r="H60" s="2502"/>
      <c r="I60" s="138"/>
      <c r="J60" s="3124"/>
      <c r="K60" s="3122"/>
      <c r="L60" s="2495" t="s">
        <v>2232</v>
      </c>
      <c r="M60" s="1761"/>
      <c r="N60" s="2497" t="e">
        <f ca="1">NUMBERSTRING(INT(N59*10000),2)&amp;"元整"</f>
        <v>#VALUE!</v>
      </c>
      <c r="O60" s="2498"/>
    </row>
    <row r="61" spans="1:35" ht="13.5" thickBot="1">
      <c r="A61" s="3069" t="s">
        <v>2236</v>
      </c>
      <c r="B61" s="3069"/>
      <c r="C61" s="3069"/>
      <c r="D61" s="3069"/>
      <c r="E61" s="3069"/>
      <c r="F61" s="2494"/>
      <c r="G61" s="2494"/>
      <c r="H61" s="2502"/>
      <c r="I61" s="138"/>
      <c r="J61" s="1812">
        <f>J59+1</f>
        <v>6</v>
      </c>
      <c r="K61" s="3122" t="s">
        <v>2237</v>
      </c>
      <c r="L61" s="3122"/>
      <c r="M61" s="1764"/>
      <c r="N61" s="1765" t="e">
        <f ca="1">ROUND(N59*10000/'数据-汇总表'!E3,0)</f>
        <v>#VALUE!</v>
      </c>
      <c r="O61" s="2503"/>
    </row>
    <row r="62" spans="1:35" ht="12.75">
      <c r="A62" s="3085" t="s">
        <v>2238</v>
      </c>
      <c r="B62" s="3086"/>
      <c r="C62" s="1804"/>
      <c r="D62" s="1804" t="s">
        <v>2239</v>
      </c>
      <c r="E62" s="192" t="s">
        <v>2240</v>
      </c>
      <c r="F62" s="2494"/>
      <c r="G62" s="2494"/>
      <c r="H62" s="2502"/>
      <c r="I62" s="138"/>
    </row>
    <row r="63" spans="1:35" ht="12.75">
      <c r="A63" s="203" t="s">
        <v>775</v>
      </c>
      <c r="B63" s="193" t="s">
        <v>2241</v>
      </c>
      <c r="C63" s="194">
        <f ca="1">ROUND((C64+C65)/(1+'数据-取费表'!C42),0)</f>
        <v>910</v>
      </c>
      <c r="D63" s="195"/>
      <c r="E63" s="196"/>
      <c r="F63" s="2494"/>
      <c r="G63" s="2494"/>
      <c r="H63" s="2502"/>
      <c r="I63" s="138"/>
      <c r="J63" s="314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955</v>
      </c>
      <c r="D64" s="200" t="s">
        <v>32</v>
      </c>
      <c r="E64" s="201"/>
      <c r="F64" s="2494"/>
      <c r="G64" s="2494"/>
      <c r="H64" s="2502"/>
      <c r="I64" s="138"/>
      <c r="J64" s="314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7"/>
      <c r="K66" s="2504" t="s">
        <v>2250</v>
      </c>
      <c r="L66" s="1752" t="e">
        <f>M49*0.5%</f>
        <v>#VALUE!</v>
      </c>
      <c r="M66" s="24" t="e">
        <f>IF(L66&gt;0.5,0.5,ROUND(L66,0))</f>
        <v>#VALUE!</v>
      </c>
      <c r="N66" s="138" t="s">
        <v>2251</v>
      </c>
      <c r="Z66" s="2428"/>
      <c r="AI66" s="2429"/>
    </row>
    <row r="67" spans="1:35" ht="14.25" customHeight="1">
      <c r="A67" s="203" t="s">
        <v>773</v>
      </c>
      <c r="B67" s="204" t="s">
        <v>2252</v>
      </c>
      <c r="C67" s="207">
        <f ca="1">C63-C66</f>
        <v>910</v>
      </c>
      <c r="D67" s="200" t="s">
        <v>32</v>
      </c>
      <c r="E67" s="201"/>
      <c r="F67" s="2494"/>
      <c r="G67" s="2494"/>
      <c r="H67" s="2502"/>
      <c r="I67" s="138"/>
      <c r="J67" s="314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51</v>
      </c>
      <c r="D68" s="211">
        <f>'数据-取费表'!B41</f>
        <v>5.6000000000000001E-2</v>
      </c>
      <c r="E68" s="212"/>
      <c r="F68" s="2494"/>
      <c r="G68" s="2494"/>
      <c r="H68" s="2502"/>
      <c r="I68" s="138"/>
      <c r="J68" s="314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6" t="s">
        <v>2257</v>
      </c>
      <c r="B70" s="3107"/>
      <c r="C70" s="3107"/>
      <c r="D70" s="3107"/>
      <c r="E70" s="3107"/>
      <c r="F70" s="3107"/>
      <c r="G70" s="3107"/>
      <c r="H70" s="310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2238</v>
      </c>
      <c r="B71" s="3086"/>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910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0" t="s">
        <v>2266</v>
      </c>
      <c r="F76" s="3057"/>
      <c r="G76" s="3057"/>
      <c r="H76" s="310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5</v>
      </c>
      <c r="D78" s="226">
        <f>'数据-取费表'!B43</f>
        <v>6.000000000000001E-3</v>
      </c>
      <c r="E78" s="3066" t="s">
        <v>2271</v>
      </c>
      <c r="F78" s="3067"/>
      <c r="G78" s="3067"/>
      <c r="H78" s="307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905</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6" t="s">
        <v>2275</v>
      </c>
      <c r="B83" s="3107"/>
      <c r="C83" s="3107"/>
      <c r="D83" s="3107"/>
      <c r="E83" s="3107"/>
      <c r="F83" s="3107"/>
      <c r="G83" s="3107"/>
      <c r="H83" s="310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2238</v>
      </c>
      <c r="B84" s="3086"/>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910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6" t="s">
        <v>2284</v>
      </c>
      <c r="F91" s="3067"/>
      <c r="G91" s="306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6" t="s">
        <v>2288</v>
      </c>
      <c r="F92" s="3067"/>
      <c r="G92" s="3067"/>
      <c r="H92" s="307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5</v>
      </c>
      <c r="D93" s="226">
        <f>'数据-取费表'!B43</f>
        <v>6.000000000000001E-3</v>
      </c>
      <c r="E93" s="3066" t="s">
        <v>2271</v>
      </c>
      <c r="F93" s="3067"/>
      <c r="G93" s="3067"/>
      <c r="H93" s="307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7" t="s">
        <v>2292</v>
      </c>
      <c r="F94" s="3078"/>
      <c r="G94" s="3078"/>
      <c r="H94" s="307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905</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68"/>
      <c r="E100" s="3052" t="s">
        <v>2295</v>
      </c>
      <c r="F100" s="3052"/>
      <c r="G100" s="3052"/>
      <c r="H100" s="3068"/>
      <c r="I100" s="138"/>
    </row>
    <row r="101" spans="1:35" ht="18.75" customHeight="1">
      <c r="A101" s="3130" t="s">
        <v>2296</v>
      </c>
      <c r="B101" s="3131"/>
      <c r="C101" s="736" t="str">
        <f>C4</f>
        <v>收益法 (元)</v>
      </c>
      <c r="D101" s="737" t="str">
        <f>D4</f>
        <v>成本法 (元)</v>
      </c>
      <c r="E101" s="3144" t="s">
        <v>2297</v>
      </c>
      <c r="F101" s="3098"/>
      <c r="G101" s="2525" t="s">
        <v>2298</v>
      </c>
      <c r="H101" s="1048">
        <f ca="1">H118</f>
        <v>955</v>
      </c>
      <c r="I101" s="138"/>
    </row>
    <row r="102" spans="1:35" ht="18.75" customHeight="1">
      <c r="A102" s="3100" t="s">
        <v>2299</v>
      </c>
      <c r="B102" s="2525" t="s">
        <v>2298</v>
      </c>
      <c r="C102" s="736">
        <f ca="1">C19</f>
        <v>999.73109999999997</v>
      </c>
      <c r="D102" s="737">
        <f ca="1">D19</f>
        <v>911</v>
      </c>
      <c r="E102" s="3144"/>
      <c r="F102" s="3098"/>
      <c r="G102" s="2525" t="s">
        <v>2300</v>
      </c>
      <c r="H102" s="371" t="e">
        <f ca="1">I118</f>
        <v>#DIV/0!</v>
      </c>
      <c r="I102" s="138"/>
    </row>
    <row r="103" spans="1:35" ht="42.75" customHeight="1">
      <c r="A103" s="3100"/>
      <c r="B103" s="2525" t="s">
        <v>2300</v>
      </c>
      <c r="C103" s="738">
        <f ca="1">C20</f>
        <v>29561</v>
      </c>
      <c r="D103" s="739">
        <f ca="1">D20</f>
        <v>26938</v>
      </c>
      <c r="E103" s="3139" t="s">
        <v>2301</v>
      </c>
      <c r="F103" s="3140"/>
      <c r="G103" s="2526" t="s">
        <v>2302</v>
      </c>
      <c r="H103" s="1048">
        <f>IF(D36="正常操作",H104+H105+H106,H105+H106)</f>
        <v>0</v>
      </c>
      <c r="I103" s="138"/>
    </row>
    <row r="104" spans="1:35" ht="18.75" customHeight="1">
      <c r="A104" s="3100" t="s">
        <v>2303</v>
      </c>
      <c r="B104" s="2527" t="s">
        <v>2298</v>
      </c>
      <c r="C104" s="740">
        <f ca="1">H118</f>
        <v>955</v>
      </c>
      <c r="D104" s="741"/>
      <c r="E104" s="2271" t="s">
        <v>2304</v>
      </c>
      <c r="F104" s="2262"/>
      <c r="G104" s="2526" t="s">
        <v>2302</v>
      </c>
      <c r="H104" s="1049">
        <f>IF(D36="同一抵押权人同一抵押物续贷",C36&amp;"（未扣减，详见特别提示）",C36)</f>
        <v>0</v>
      </c>
      <c r="I104" s="138"/>
    </row>
    <row r="105" spans="1:35" ht="18.75" customHeight="1" thickBot="1">
      <c r="A105" s="3101"/>
      <c r="B105" s="2528" t="s">
        <v>2300</v>
      </c>
      <c r="C105" s="742" t="e">
        <f ca="1">I118</f>
        <v>#DIV/0!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7" t="str">
        <f>IF(项目基本情况!E8="已注销","——","3.房地产抵押价值")</f>
        <v>3.房地产抵押价值</v>
      </c>
      <c r="F107" s="3098"/>
      <c r="G107" s="2525" t="s">
        <v>2298</v>
      </c>
      <c r="H107" s="1048">
        <f ca="1">IF(E107="——","——",H101-H103)</f>
        <v>955</v>
      </c>
      <c r="I107" s="138"/>
    </row>
    <row r="108" spans="1:35" ht="18.75" customHeight="1">
      <c r="A108" s="138"/>
      <c r="B108" s="138"/>
      <c r="C108" s="138"/>
      <c r="D108" s="138"/>
      <c r="E108" s="3097"/>
      <c r="F108" s="3098"/>
      <c r="G108" s="2525" t="s">
        <v>2300</v>
      </c>
      <c r="H108" s="371">
        <f ca="1">ROUND(H107*10000/'数据-汇总表'!E3,0)</f>
        <v>28239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5" t="s">
        <v>2298</v>
      </c>
      <c r="H109" s="348" t="str">
        <f>IF(E109="——","——",H101-H105-H106)</f>
        <v>——</v>
      </c>
      <c r="I109" s="138"/>
    </row>
    <row r="110" spans="1:35" ht="18.75" customHeight="1">
      <c r="A110" s="138"/>
      <c r="B110" s="138"/>
      <c r="C110" s="138"/>
      <c r="D110" s="138"/>
      <c r="E110" s="3097"/>
      <c r="F110" s="3098"/>
      <c r="G110" s="2525" t="s">
        <v>2300</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5" t="s">
        <v>2298</v>
      </c>
      <c r="H111" s="1048" t="str">
        <f>IF(E111="——","——",N59)</f>
        <v>——</v>
      </c>
      <c r="I111" s="138"/>
    </row>
    <row r="112" spans="1:35" ht="18.75" customHeight="1" thickBot="1">
      <c r="A112" s="138"/>
      <c r="B112" s="138"/>
      <c r="C112" s="138"/>
      <c r="D112" s="138"/>
      <c r="E112" s="3134"/>
      <c r="F112" s="3135"/>
      <c r="G112" s="2530"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2308</v>
      </c>
      <c r="B115" s="3116"/>
      <c r="C115" s="3116"/>
      <c r="D115" s="3116"/>
      <c r="E115" s="3116"/>
      <c r="F115" s="3116"/>
      <c r="G115" s="3116"/>
      <c r="H115" s="3116"/>
      <c r="I115" s="3117"/>
    </row>
    <row r="116" spans="1:11" ht="27" customHeight="1">
      <c r="A116" s="3008" t="s">
        <v>2309</v>
      </c>
      <c r="B116" s="3103" t="s">
        <v>2310</v>
      </c>
      <c r="C116" s="3103" t="s">
        <v>2311</v>
      </c>
      <c r="D116" s="3119" t="s">
        <v>2312</v>
      </c>
      <c r="E116" s="3120"/>
      <c r="F116" s="3111" t="s">
        <v>2313</v>
      </c>
      <c r="G116" s="3111"/>
      <c r="H116" s="3008" t="s">
        <v>2314</v>
      </c>
      <c r="I116" s="3008"/>
    </row>
    <row r="117" spans="1:11" ht="18.75" customHeight="1">
      <c r="A117" s="3008"/>
      <c r="B117" s="3104"/>
      <c r="C117" s="310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0</v>
      </c>
      <c r="C118" s="1798">
        <f>M19</f>
        <v>0</v>
      </c>
      <c r="D118" s="1798" t="e">
        <f ca="1">ROUND(IF(D32="总价",C34,E118*B118/10000),0)</f>
        <v>#REF!</v>
      </c>
      <c r="E118" s="1798" t="e">
        <f ca="1">ROUND(IF(C33="自定义",IF(D32="楼面单价",C34,D118*10000/B118),I118-G118),0)</f>
        <v>#DIV/0!</v>
      </c>
      <c r="F118" s="1798" t="e">
        <f ca="1">ROUND(IF(D32="总价",C35,G118*B118/10000),0)</f>
        <v>#REF!</v>
      </c>
      <c r="G118" s="1798" t="e">
        <f ca="1">ROUND(IF(D32="楼面单价",C35,F118*10000/B118),0)</f>
        <v>#REF!</v>
      </c>
      <c r="H118" s="1798">
        <f ca="1">ROUND(IF(D32="总价",C32,I118*B118/10000),0)</f>
        <v>955</v>
      </c>
      <c r="I118" s="1798" t="e">
        <f ca="1">ROUND(IF(D32="楼面单价",C32,H118*10000/B118),0)</f>
        <v>#DIV/0!</v>
      </c>
    </row>
    <row r="119" spans="1:11" ht="18.75" customHeight="1">
      <c r="A119" s="3008" t="s">
        <v>2318</v>
      </c>
      <c r="B119" s="3008"/>
      <c r="C119" s="3008"/>
      <c r="D119" s="3108" t="e">
        <f ca="1">NUMBERSTRING(INT(D118*10000),2)&amp;"元整"</f>
        <v>#REF!</v>
      </c>
      <c r="E119" s="3110"/>
      <c r="F119" s="3108" t="e">
        <f ca="1">NUMBERSTRING(INT(F118*10000),2)&amp;"元整"</f>
        <v>#REF!</v>
      </c>
      <c r="G119" s="3110"/>
      <c r="H119" s="3108" t="str">
        <f ca="1">NUMBERSTRING(INT(H118*10000),2)&amp;"元整"</f>
        <v>玖佰伍拾伍万元整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8" t="str">
        <f>IF(D120=0,"故，本次评估不存在"&amp;A120,"故，本次评估"&amp;A120&amp;"为人民币"&amp;D120&amp;"万元整。")</f>
        <v>故，本次评估不存在</v>
      </c>
    </row>
    <row r="121" spans="1:11" ht="18.75" customHeight="1">
      <c r="A121" s="3112" t="s">
        <v>2318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955</v>
      </c>
      <c r="E122" s="3137"/>
      <c r="F122" s="3137"/>
      <c r="G122" s="3137"/>
      <c r="H122" s="3137"/>
      <c r="I122" s="3138"/>
    </row>
    <row r="123" spans="1:11" ht="18.75" customHeight="1">
      <c r="A123" s="3008" t="s">
        <v>2318</v>
      </c>
      <c r="B123" s="3008"/>
      <c r="C123" s="3008"/>
      <c r="D123" s="3108" t="str">
        <f ca="1">NUMBERSTRING(INT(D122*10000),2)&amp;"元整"</f>
        <v>玖佰伍拾伍万元整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2318</v>
      </c>
      <c r="B127" s="3008"/>
      <c r="C127" s="3008"/>
      <c r="D127" s="3108" t="e">
        <f>NUMBERSTRING(INT(D126*10000),2)&amp;"元整"</f>
        <v>#VALUE!</v>
      </c>
      <c r="E127" s="3109"/>
      <c r="F127" s="3109"/>
      <c r="G127" s="3109"/>
      <c r="H127" s="3109"/>
      <c r="I127" s="3110"/>
    </row>
    <row r="128" spans="1:11" ht="21.75" customHeight="1">
      <c r="A128" s="3118" t="s">
        <v>2319</v>
      </c>
      <c r="B128" s="3118"/>
      <c r="C128" s="3118"/>
      <c r="D128" s="3118"/>
      <c r="E128" s="3118"/>
      <c r="F128" s="3118"/>
      <c r="G128" s="3118"/>
      <c r="H128" s="3118"/>
      <c r="I128" s="311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446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13188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8"/>
      <c r="H9" s="1393"/>
      <c r="I9" s="2559" t="s">
        <v>2345</v>
      </c>
    </row>
    <row r="10" spans="1:9" s="258" customFormat="1" ht="13.5" customHeight="1">
      <c r="A10" s="953" t="s">
        <v>801</v>
      </c>
      <c r="B10" s="268" t="s">
        <v>2346</v>
      </c>
      <c r="C10" s="269">
        <f ca="1">ROUND(D10*E10/10000,0)</f>
        <v>7</v>
      </c>
      <c r="D10" s="1035">
        <f ca="1">IF(B1="",'数据-汇总表'!E6,IF(INDIRECT("'数据-取费表'!c"&amp;$G$1)="住宅",INDIRECT("'数据-取费表'!s"&amp;$G$1),INDIRECT("'数据-取费表'!k"&amp;$G$1)+INDIRECT("'数据-取费表'!s"&amp;$G$1)))</f>
        <v>338.19</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7</v>
      </c>
      <c r="D19" s="1039">
        <f ca="1">D9+D10</f>
        <v>338.19</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113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101</v>
      </c>
      <c r="D34" s="261"/>
      <c r="E34" s="264"/>
      <c r="F34" s="301">
        <f ca="1">IF('数据-取费表'!B24=0,1,IF(B1="",'数据-取费表'!N16,INDIRECT("'数据-取费表'!n"&amp;$G$1)))</f>
        <v>1</v>
      </c>
      <c r="G34" s="263" t="s">
        <v>2392</v>
      </c>
    </row>
    <row r="35" spans="1:7" ht="13.5" customHeight="1">
      <c r="A35" s="954" t="s">
        <v>796</v>
      </c>
      <c r="B35" s="259" t="s">
        <v>2393</v>
      </c>
      <c r="C35" s="264">
        <f ca="1">ROUND(C34*F35,0)</f>
        <v>3</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7</v>
      </c>
      <c r="D37" s="261">
        <f ca="1">D19</f>
        <v>338.19</v>
      </c>
      <c r="E37" s="293">
        <f>'数据-取费表'!B35</f>
        <v>200</v>
      </c>
      <c r="F37" s="303"/>
      <c r="G37" s="305" t="s">
        <v>2398</v>
      </c>
    </row>
    <row r="38" spans="1:7" ht="13.5" customHeight="1">
      <c r="A38" s="954"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5</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1E-3</v>
      </c>
      <c r="D44" s="282"/>
      <c r="E44" s="282"/>
      <c r="F44" s="283"/>
      <c r="G44" s="3152"/>
    </row>
    <row r="45" spans="1:7" s="258" customFormat="1" ht="13.5" customHeight="1">
      <c r="A45" s="299" t="s">
        <v>2413</v>
      </c>
      <c r="B45" s="288" t="s">
        <v>2379</v>
      </c>
      <c r="C45" s="289">
        <f ca="1">C46</f>
        <v>29</v>
      </c>
      <c r="D45" s="279">
        <f ca="1">C47</f>
        <v>5.0000000000000001E-3</v>
      </c>
      <c r="E45" s="280" t="s">
        <v>2405</v>
      </c>
      <c r="F45" s="290"/>
      <c r="G45" s="291" t="s">
        <v>2414</v>
      </c>
    </row>
    <row r="46" spans="1:7" s="258" customFormat="1" ht="13.5" customHeight="1">
      <c r="A46" s="954" t="s">
        <v>791</v>
      </c>
      <c r="B46" s="292" t="s">
        <v>2415</v>
      </c>
      <c r="C46" s="293">
        <f ca="1">ROUND((C33+C39)*F27,0)</f>
        <v>29</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162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138</v>
      </c>
      <c r="D51" s="276"/>
      <c r="E51" s="276"/>
      <c r="F51" s="308"/>
      <c r="G51" s="278" t="s">
        <v>2426</v>
      </c>
    </row>
    <row r="52" spans="1:7" s="252" customFormat="1" ht="16.5" thickBot="1">
      <c r="A52" s="309" t="s">
        <v>2427</v>
      </c>
      <c r="B52" s="310"/>
      <c r="C52" s="311">
        <f ca="1">C31+C51</f>
        <v>446</v>
      </c>
      <c r="D52" s="310"/>
      <c r="E52" s="310"/>
      <c r="F52" s="310"/>
      <c r="G52" s="312"/>
    </row>
    <row r="55" spans="1:7" ht="15">
      <c r="B55" s="314" t="s">
        <v>2428</v>
      </c>
      <c r="C55" s="315"/>
    </row>
    <row r="56" spans="1:7">
      <c r="B56" s="317" t="s">
        <v>1509</v>
      </c>
      <c r="C56" s="319">
        <f ca="1">1-C57</f>
        <v>0.69100000000000006</v>
      </c>
    </row>
    <row r="57" spans="1:7">
      <c r="B57" s="317" t="s">
        <v>1510</v>
      </c>
      <c r="C57" s="318">
        <f ca="1">ROUND(C51/C52,3)</f>
        <v>0.309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康正预评字2019-1-0131号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7" sqref="D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IF(C2="——",ROUND(C49*D3/10000,0),ROUND(C49*D3/10000,0)-D2)</f>
        <v>#DIV/0!</v>
      </c>
      <c r="C2" s="2593" t="s">
        <v>70</v>
      </c>
      <c r="D2" s="1368">
        <f ca="1">SUMIF(INDIRECT("'"&amp;F2&amp;"'"&amp;"!A:A"),"承租人权益价值",INDIRECT("'"&amp;F2&amp;"'"&amp;"!c:c"))</f>
        <v>-1049</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IF(C2="——",C49,ROUND(B2*10000/D3,0))</f>
        <v>#DIV/0!</v>
      </c>
      <c r="C3" s="400" t="s">
        <v>2535</v>
      </c>
      <c r="D3" s="399">
        <f>IF(D1="",'数据-汇总表'!E3,SUMIF('数据-汇总表'!$C19:$C33,D1,'数据-汇总表'!$E19:$E33))</f>
        <v>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81" t="s">
        <v>2538</v>
      </c>
      <c r="S4" s="3182"/>
      <c r="T4" s="3181" t="s">
        <v>2539</v>
      </c>
      <c r="U4" s="3182"/>
      <c r="V4" s="3187" t="s">
        <v>2540</v>
      </c>
      <c r="W4" s="3187"/>
      <c r="X4" s="1816"/>
      <c r="Y4" s="3181" t="s">
        <v>2542</v>
      </c>
      <c r="Z4" s="3182"/>
      <c r="AA4" s="3168" t="s">
        <v>2538</v>
      </c>
      <c r="AB4" s="3168" t="s">
        <v>2539</v>
      </c>
      <c r="AC4" s="3168" t="s">
        <v>2540</v>
      </c>
    </row>
    <row r="5" spans="1:29" ht="47.25" customHeight="1" thickBot="1">
      <c r="A5" s="404"/>
      <c r="B5" s="405"/>
      <c r="C5" s="3195" t="s">
        <v>3079</v>
      </c>
      <c r="D5" s="3196"/>
      <c r="E5" s="3190" t="s">
        <v>3080</v>
      </c>
      <c r="F5" s="3191"/>
      <c r="G5" s="3190" t="s">
        <v>3080</v>
      </c>
      <c r="H5" s="3191"/>
      <c r="I5" s="3190" t="s">
        <v>3080</v>
      </c>
      <c r="J5" s="3191"/>
      <c r="K5" s="2604"/>
      <c r="L5" s="1133"/>
      <c r="M5" s="1134"/>
      <c r="N5" s="1134"/>
      <c r="O5" s="1134"/>
      <c r="P5" s="3177"/>
      <c r="Q5" s="3178"/>
      <c r="R5" s="3183"/>
      <c r="S5" s="3184"/>
      <c r="T5" s="3183"/>
      <c r="U5" s="3184"/>
      <c r="V5" s="3187"/>
      <c r="W5" s="3187"/>
      <c r="X5" s="1816"/>
      <c r="Y5" s="3183"/>
      <c r="Z5" s="3184"/>
      <c r="AA5" s="3169"/>
      <c r="AB5" s="3169"/>
      <c r="AC5" s="3169"/>
    </row>
    <row r="6" spans="1:29" ht="15.75" hidden="1" thickBot="1">
      <c r="A6" s="406"/>
      <c r="B6" s="407"/>
      <c r="C6" s="3188" t="s">
        <v>2547</v>
      </c>
      <c r="D6" s="3189"/>
      <c r="E6" s="3197" t="s">
        <v>2547</v>
      </c>
      <c r="F6" s="3198"/>
      <c r="G6" s="3188" t="s">
        <v>2547</v>
      </c>
      <c r="H6" s="3189"/>
      <c r="I6" s="3188" t="s">
        <v>2547</v>
      </c>
      <c r="J6" s="3189"/>
      <c r="K6" s="2604"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v>41089</v>
      </c>
      <c r="F7" s="413">
        <f>SUMIF(58:58,YEAR(E7)&amp;"-"&amp;MONTH(E7),59:59)</f>
        <v>0</v>
      </c>
      <c r="G7" s="412">
        <v>41096</v>
      </c>
      <c r="H7" s="411">
        <f>SUMIF(58:58,YEAR(G7)&amp;"-"&amp;MONTH(G7),59:59)</f>
        <v>0</v>
      </c>
      <c r="I7" s="412">
        <v>41106</v>
      </c>
      <c r="J7" s="411">
        <f>SUMIF(58:58,YEAR(I7)&amp;"-"&amp;MONTH(I7),59:59)</f>
        <v>0</v>
      </c>
      <c r="K7" s="2605"/>
      <c r="L7" s="1135"/>
      <c r="M7" s="1136"/>
      <c r="N7" s="1136"/>
      <c r="O7" s="1136"/>
      <c r="P7" s="3192" t="s">
        <v>2550</v>
      </c>
      <c r="Q7" s="3194"/>
      <c r="R7" s="770" t="s">
        <v>23</v>
      </c>
      <c r="S7" s="771">
        <f t="shared" ref="S7:S15" si="0">F7</f>
        <v>0</v>
      </c>
      <c r="T7" s="770" t="s">
        <v>23</v>
      </c>
      <c r="U7" s="771">
        <f t="shared" ref="U7:U15" si="1">H7</f>
        <v>0</v>
      </c>
      <c r="V7" s="770" t="s">
        <v>23</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2606" t="s">
        <v>3081</v>
      </c>
      <c r="F8" s="413">
        <f>SUMIF(61:61,E8,62:62)-SUMIF(61:61,C8,62:62)+100</f>
        <v>100</v>
      </c>
      <c r="G8" s="414" t="s">
        <v>3081</v>
      </c>
      <c r="H8" s="411">
        <f>SUMIF(61:61,G8,62:62)-SUMIF(61:61,C8,62:62)+100</f>
        <v>100</v>
      </c>
      <c r="I8" s="2606" t="s">
        <v>3081</v>
      </c>
      <c r="J8" s="411">
        <f>SUMIF(61:61,I8,62:62)-SUMIF(61:61,C8,62:62)+100</f>
        <v>100</v>
      </c>
      <c r="K8" s="2605"/>
      <c r="L8" s="1135"/>
      <c r="M8" s="1136"/>
      <c r="N8" s="1136"/>
      <c r="O8" s="1136"/>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c r="A9" s="415" t="s">
        <v>2554</v>
      </c>
      <c r="B9" s="71" t="s">
        <v>2555</v>
      </c>
      <c r="C9" s="2951" t="s">
        <v>3082</v>
      </c>
      <c r="D9" s="135">
        <v>100</v>
      </c>
      <c r="E9" s="2952" t="s">
        <v>3082</v>
      </c>
      <c r="F9" s="418">
        <f>SUMIF(63:63,E9,64:64)-SUMIF(63:63,C9,64:64)+100</f>
        <v>100</v>
      </c>
      <c r="G9" s="2953" t="s">
        <v>3082</v>
      </c>
      <c r="H9" s="135">
        <f>SUMIF(63:63,G9,64:64)-SUMIF(63:63,C9,64:64)+100</f>
        <v>100</v>
      </c>
      <c r="I9" s="2953" t="s">
        <v>3082</v>
      </c>
      <c r="J9" s="135">
        <f>SUMIF(63:63,I9,64:64)-SUMIF(63:63,C9,64:64)+100</f>
        <v>100</v>
      </c>
      <c r="K9" s="2605"/>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75" thickBot="1">
      <c r="A10" s="421"/>
      <c r="B10" s="422" t="s">
        <v>2558</v>
      </c>
      <c r="C10" s="423" t="s">
        <v>3083</v>
      </c>
      <c r="D10" s="136">
        <v>100</v>
      </c>
      <c r="E10" s="424" t="s">
        <v>3083</v>
      </c>
      <c r="F10" s="425">
        <f>SUMIF(65:65,E10,66:66)-SUMIF(65:65,C10,66:66)+100</f>
        <v>100</v>
      </c>
      <c r="G10" s="423" t="s">
        <v>3083</v>
      </c>
      <c r="H10" s="136">
        <f>SUMIF(65:65,G10,66:66)-SUMIF(65:65,C10,66:66)+100</f>
        <v>100</v>
      </c>
      <c r="I10" s="423" t="s">
        <v>3083</v>
      </c>
      <c r="J10" s="136">
        <f>SUMIF(65:65,I10,66:66)-SUMIF(65:65,C10,66:66)+100</f>
        <v>100</v>
      </c>
      <c r="K10" s="426">
        <v>1</v>
      </c>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5" t="s">
        <v>2561</v>
      </c>
      <c r="Q15" s="1813" t="str">
        <f t="shared" si="6"/>
        <v>居住社区成熟度</v>
      </c>
      <c r="R15" s="774" t="s">
        <v>21</v>
      </c>
      <c r="S15" s="775">
        <f t="shared" si="0"/>
        <v>100</v>
      </c>
      <c r="T15" s="774" t="s">
        <v>21</v>
      </c>
      <c r="U15" s="775">
        <f t="shared" si="1"/>
        <v>100</v>
      </c>
      <c r="V15" s="774" t="s">
        <v>21</v>
      </c>
      <c r="W15" s="775">
        <f t="shared" si="2"/>
        <v>100</v>
      </c>
      <c r="X15" s="1816"/>
      <c r="Y15" s="3158" t="s">
        <v>2561</v>
      </c>
      <c r="Z15" s="1817" t="str">
        <f t="shared" si="7"/>
        <v>居住社区成熟度</v>
      </c>
      <c r="AA15" s="1814">
        <f t="shared" si="3"/>
        <v>1</v>
      </c>
      <c r="AB15" s="1814">
        <f t="shared" si="4"/>
        <v>1</v>
      </c>
      <c r="AC15" s="1814">
        <f t="shared" si="5"/>
        <v>1</v>
      </c>
    </row>
    <row r="16" spans="1:29" ht="15">
      <c r="A16" s="428"/>
      <c r="B16" s="446"/>
      <c r="C16" s="447" t="s">
        <v>3085</v>
      </c>
      <c r="D16" s="448"/>
      <c r="E16" s="2611" t="s">
        <v>3085</v>
      </c>
      <c r="F16" s="448"/>
      <c r="G16" s="2612" t="s">
        <v>3085</v>
      </c>
      <c r="H16" s="450"/>
      <c r="I16" s="2612" t="s">
        <v>3085</v>
      </c>
      <c r="J16" s="448"/>
      <c r="K16" s="2613"/>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6"/>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5" t="s">
        <v>3085</v>
      </c>
      <c r="D18" s="450"/>
      <c r="E18" s="2616" t="s">
        <v>3085</v>
      </c>
      <c r="F18" s="450"/>
      <c r="G18" s="2617" t="s">
        <v>3085</v>
      </c>
      <c r="H18" s="448"/>
      <c r="I18" s="2617" t="s">
        <v>3085</v>
      </c>
      <c r="J18" s="448"/>
      <c r="K18" s="2613"/>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t="s">
        <v>3085</v>
      </c>
      <c r="D20" s="448"/>
      <c r="E20" s="2611" t="s">
        <v>3085</v>
      </c>
      <c r="F20" s="448"/>
      <c r="G20" s="2612" t="s">
        <v>3085</v>
      </c>
      <c r="H20" s="448"/>
      <c r="I20" s="2612" t="s">
        <v>3085</v>
      </c>
      <c r="J20" s="448"/>
      <c r="K20" s="2613"/>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t="s">
        <v>3086</v>
      </c>
      <c r="D22" s="448"/>
      <c r="E22" s="447" t="s">
        <v>3086</v>
      </c>
      <c r="F22" s="448"/>
      <c r="G22" s="2618" t="s">
        <v>3086</v>
      </c>
      <c r="H22" s="448"/>
      <c r="I22" s="447" t="s">
        <v>3086</v>
      </c>
      <c r="J22" s="448"/>
      <c r="K22" s="2619"/>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t="s">
        <v>3084</v>
      </c>
      <c r="D24" s="448"/>
      <c r="E24" s="2611" t="s">
        <v>3084</v>
      </c>
      <c r="F24" s="448"/>
      <c r="G24" s="2612" t="s">
        <v>3084</v>
      </c>
      <c r="H24" s="448"/>
      <c r="I24" s="2612" t="s">
        <v>3084</v>
      </c>
      <c r="J24" s="448"/>
      <c r="K24" s="2613"/>
      <c r="L24" s="1143"/>
      <c r="M24" s="1134"/>
      <c r="N24" s="1134"/>
      <c r="O24" s="1134"/>
      <c r="P24" s="3166"/>
      <c r="Q24" s="1813"/>
      <c r="R24" s="774"/>
      <c r="S24" s="775"/>
      <c r="T24" s="774"/>
      <c r="U24" s="775"/>
      <c r="V24" s="774"/>
      <c r="W24" s="775"/>
      <c r="X24" s="1816"/>
      <c r="Y24" s="315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3129</v>
      </c>
      <c r="D26" s="435">
        <v>100</v>
      </c>
      <c r="E26" s="2620" t="s">
        <v>3135</v>
      </c>
      <c r="F26" s="435">
        <f>SUMIF(88:88,E26,89:89)-SUMIF(88:88,C26,89:89)+100</f>
        <v>102</v>
      </c>
      <c r="G26" s="2621" t="s">
        <v>3135</v>
      </c>
      <c r="H26" s="435">
        <f>SUMIF(88:88,G26,89:89)-SUMIF(88:88,C26,89:89)+100</f>
        <v>102</v>
      </c>
      <c r="I26" s="2621" t="s">
        <v>3135</v>
      </c>
      <c r="J26" s="435">
        <f>SUMIF(88:88,I26,89:89)-SUMIF(88:88,C26,89:89)+100</f>
        <v>102</v>
      </c>
      <c r="K26" s="426">
        <v>1</v>
      </c>
      <c r="L26" s="1143"/>
      <c r="M26" s="1134"/>
      <c r="N26" s="1134"/>
      <c r="O26" s="1134"/>
      <c r="P26" s="3166"/>
      <c r="Q26" s="1813" t="str">
        <f t="shared" si="11"/>
        <v>朝向</v>
      </c>
      <c r="R26" s="774" t="s">
        <v>21</v>
      </c>
      <c r="S26" s="775">
        <f t="shared" si="12"/>
        <v>102</v>
      </c>
      <c r="T26" s="774" t="s">
        <v>21</v>
      </c>
      <c r="U26" s="775">
        <f t="shared" si="13"/>
        <v>102</v>
      </c>
      <c r="V26" s="774" t="s">
        <v>21</v>
      </c>
      <c r="W26" s="775">
        <f t="shared" si="14"/>
        <v>102</v>
      </c>
      <c r="X26" s="1816"/>
      <c r="Y26" s="3159"/>
      <c r="Z26" s="1817" t="str">
        <f>Q26</f>
        <v>朝向</v>
      </c>
      <c r="AA26" s="1814">
        <f t="shared" si="15"/>
        <v>0.98039215686274506</v>
      </c>
      <c r="AB26" s="1814">
        <f t="shared" si="16"/>
        <v>0.98039215686274506</v>
      </c>
      <c r="AC26" s="1814">
        <f t="shared" si="17"/>
        <v>0.98039215686274506</v>
      </c>
    </row>
    <row r="27" spans="1:29" s="117" customFormat="1" ht="15">
      <c r="A27" s="431"/>
      <c r="B27" s="2954" t="s">
        <v>3087</v>
      </c>
      <c r="C27" s="465" t="s">
        <v>3136</v>
      </c>
      <c r="D27" s="462">
        <v>100</v>
      </c>
      <c r="E27" s="465" t="s">
        <v>3136</v>
      </c>
      <c r="F27" s="462">
        <f>SUMIF(90:90,E27,91:91)-SUMIF(90:90,C27,91:91)+100</f>
        <v>100</v>
      </c>
      <c r="G27" s="465" t="s">
        <v>3136</v>
      </c>
      <c r="H27" s="462">
        <f>SUMIF(90:90,G27,91:91)-SUMIF(90:90,C27,91:91)+100</f>
        <v>100</v>
      </c>
      <c r="I27" s="465" t="s">
        <v>3136</v>
      </c>
      <c r="J27" s="462">
        <f>SUMIF(90:90,I27,91:91)-SUMIF(90:90,C27,91:91)+100</f>
        <v>100</v>
      </c>
      <c r="K27" s="2608"/>
      <c r="L27" s="1135"/>
      <c r="M27" s="1136"/>
      <c r="N27" s="1136"/>
      <c r="O27" s="1136"/>
      <c r="P27" s="3166"/>
      <c r="Q27" s="1798" t="str">
        <f t="shared" si="11"/>
        <v>楼层</v>
      </c>
      <c r="R27" s="770" t="s">
        <v>21</v>
      </c>
      <c r="S27" s="771">
        <f t="shared" si="12"/>
        <v>100</v>
      </c>
      <c r="T27" s="770" t="s">
        <v>21</v>
      </c>
      <c r="U27" s="771">
        <f t="shared" si="13"/>
        <v>100</v>
      </c>
      <c r="V27" s="770" t="s">
        <v>21</v>
      </c>
      <c r="W27" s="771">
        <f t="shared" si="14"/>
        <v>100</v>
      </c>
      <c r="X27" s="772"/>
      <c r="Y27" s="3159"/>
      <c r="Z27" s="55" t="str">
        <f>Q27</f>
        <v>楼层</v>
      </c>
      <c r="AA27" s="1814">
        <f t="shared" si="15"/>
        <v>1</v>
      </c>
      <c r="AB27" s="1814">
        <f t="shared" si="16"/>
        <v>1</v>
      </c>
      <c r="AC27" s="1814">
        <f t="shared" si="17"/>
        <v>1</v>
      </c>
    </row>
    <row r="28" spans="1:29" ht="27.75" thickBot="1">
      <c r="A28" s="428"/>
      <c r="B28" s="2954" t="s">
        <v>3099</v>
      </c>
      <c r="C28" s="2962" t="s">
        <v>3134</v>
      </c>
      <c r="D28" s="435">
        <v>100</v>
      </c>
      <c r="E28" s="2962" t="s">
        <v>3134</v>
      </c>
      <c r="F28" s="435">
        <f>SUMIF(92:92,E28,93:93)-SUMIF(92:92,C28,93:93)+100</f>
        <v>100</v>
      </c>
      <c r="G28" s="2962" t="s">
        <v>3134</v>
      </c>
      <c r="H28" s="435">
        <f>SUMIF(92:92,G28,93:93)-SUMIF(92:92,C28,93:93)+100</f>
        <v>100</v>
      </c>
      <c r="I28" s="2962" t="s">
        <v>3134</v>
      </c>
      <c r="J28" s="435">
        <f>SUMIF(92:92,I28,93:93)-SUMIF(92:92,C28,93:93)+100</f>
        <v>100</v>
      </c>
      <c r="K28" s="2608"/>
      <c r="L28" s="1143"/>
      <c r="M28" s="1134"/>
      <c r="N28" s="1134"/>
      <c r="O28" s="1134"/>
      <c r="P28" s="3166"/>
      <c r="Q28" s="1813" t="str">
        <f t="shared" si="11"/>
        <v>道路级别</v>
      </c>
      <c r="R28" s="774" t="s">
        <v>21</v>
      </c>
      <c r="S28" s="775">
        <f t="shared" si="12"/>
        <v>100</v>
      </c>
      <c r="T28" s="774" t="s">
        <v>21</v>
      </c>
      <c r="U28" s="775">
        <f t="shared" si="13"/>
        <v>100</v>
      </c>
      <c r="V28" s="774" t="s">
        <v>21</v>
      </c>
      <c r="W28" s="775">
        <f t="shared" si="14"/>
        <v>100</v>
      </c>
      <c r="X28" s="1816"/>
      <c r="Y28" s="315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2564</v>
      </c>
      <c r="B32" s="71" t="s">
        <v>2565</v>
      </c>
      <c r="C32" s="2624" t="s">
        <v>3133</v>
      </c>
      <c r="D32" s="467">
        <v>100</v>
      </c>
      <c r="E32" s="2624" t="s">
        <v>3133</v>
      </c>
      <c r="F32" s="461">
        <f>SUMIF(100:100,E32,101:101)-SUMIF(100:100,C32,101:101)+100</f>
        <v>100</v>
      </c>
      <c r="G32" s="2624" t="s">
        <v>3133</v>
      </c>
      <c r="H32" s="467">
        <f>SUMIF(100:100,G32,101:101)-SUMIF(100:100,C32,101:101)+100</f>
        <v>100</v>
      </c>
      <c r="I32" s="2624" t="s">
        <v>3133</v>
      </c>
      <c r="J32" s="435">
        <f>SUMIF(100:100,I32,101:101)-SUMIF(100:100,C32,101:101)+100</f>
        <v>100</v>
      </c>
      <c r="K32" s="426">
        <v>2</v>
      </c>
      <c r="L32" s="1143"/>
      <c r="M32" s="1134"/>
      <c r="N32" s="1134"/>
      <c r="O32" s="1134"/>
      <c r="P32" s="3160" t="s">
        <v>2566</v>
      </c>
      <c r="Q32" s="1813" t="str">
        <f t="shared" si="11"/>
        <v>建筑类型</v>
      </c>
      <c r="R32" s="774" t="s">
        <v>21</v>
      </c>
      <c r="S32" s="775">
        <f t="shared" si="12"/>
        <v>100</v>
      </c>
      <c r="T32" s="774" t="s">
        <v>21</v>
      </c>
      <c r="U32" s="775">
        <f t="shared" si="13"/>
        <v>100</v>
      </c>
      <c r="V32" s="774" t="s">
        <v>21</v>
      </c>
      <c r="W32" s="775">
        <f t="shared" si="14"/>
        <v>100</v>
      </c>
      <c r="X32" s="1816"/>
      <c r="Y32" s="3163"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338.19</v>
      </c>
      <c r="D33" s="136">
        <v>100</v>
      </c>
      <c r="E33" s="430">
        <v>88.78</v>
      </c>
      <c r="F33" s="425">
        <f>LOOKUP(E33,103:103,104:104)-LOOKUP(C33,103:103,104:104)+100</f>
        <v>110</v>
      </c>
      <c r="G33" s="429">
        <v>88.45</v>
      </c>
      <c r="H33" s="136">
        <f>LOOKUP(G33,103:103,104:104)-LOOKUP(C33,103:103,104:104)+100</f>
        <v>110</v>
      </c>
      <c r="I33" s="430">
        <v>88.45</v>
      </c>
      <c r="J33" s="136">
        <f>LOOKUP(I33,103:103,104:104)-LOOKUP(C33,103:103,104:104)+100</f>
        <v>110</v>
      </c>
      <c r="K33" s="2608"/>
      <c r="L33" s="1141"/>
      <c r="M33" s="1144"/>
      <c r="N33" s="1144"/>
      <c r="O33" s="1144"/>
      <c r="P33" s="3161"/>
      <c r="Q33" s="776" t="str">
        <f t="shared" si="11"/>
        <v>项目建筑规模</v>
      </c>
      <c r="R33" s="777" t="s">
        <v>21</v>
      </c>
      <c r="S33" s="778">
        <f t="shared" si="12"/>
        <v>110</v>
      </c>
      <c r="T33" s="777" t="s">
        <v>21</v>
      </c>
      <c r="U33" s="778">
        <f t="shared" si="13"/>
        <v>110</v>
      </c>
      <c r="V33" s="777" t="s">
        <v>21</v>
      </c>
      <c r="W33" s="778">
        <f t="shared" si="14"/>
        <v>110</v>
      </c>
      <c r="X33" s="779"/>
      <c r="Y33" s="3163"/>
      <c r="Z33" s="780" t="str">
        <f t="shared" si="18"/>
        <v>项目建筑规模</v>
      </c>
      <c r="AA33" s="1814">
        <f t="shared" si="15"/>
        <v>0.90909090909090906</v>
      </c>
      <c r="AB33" s="1814">
        <f t="shared" si="16"/>
        <v>0.90909090909090906</v>
      </c>
      <c r="AC33" s="1814">
        <f t="shared" si="17"/>
        <v>0.90909090909090906</v>
      </c>
    </row>
    <row r="34" spans="1:29" ht="15">
      <c r="A34" s="472"/>
      <c r="B34" s="422" t="s">
        <v>2568</v>
      </c>
      <c r="C34" s="2625" t="s">
        <v>3066</v>
      </c>
      <c r="D34" s="435">
        <v>100</v>
      </c>
      <c r="E34" s="2625" t="s">
        <v>3066</v>
      </c>
      <c r="F34" s="461">
        <f>SUMIF(105:105,E34,106:106)-SUMIF(105:105,C34,106:106)+100</f>
        <v>100</v>
      </c>
      <c r="G34" s="2625" t="s">
        <v>3066</v>
      </c>
      <c r="H34" s="435">
        <f>SUMIF(105:105,G34,106:106)-SUMIF(105:105,C34,106:106)+100</f>
        <v>100</v>
      </c>
      <c r="I34" s="2625" t="s">
        <v>3066</v>
      </c>
      <c r="J34" s="435">
        <f>SUMIF(105:105,I34,106:106)-SUMIF(105:105,C34,106:106)+100</f>
        <v>100</v>
      </c>
      <c r="K34" s="426">
        <v>2</v>
      </c>
      <c r="L34" s="1143"/>
      <c r="M34" s="1134"/>
      <c r="N34" s="1134"/>
      <c r="O34" s="1134"/>
      <c r="P34" s="3161"/>
      <c r="Q34" s="1813" t="str">
        <f t="shared" si="11"/>
        <v>建筑结构</v>
      </c>
      <c r="R34" s="774" t="s">
        <v>21</v>
      </c>
      <c r="S34" s="775">
        <f t="shared" si="12"/>
        <v>100</v>
      </c>
      <c r="T34" s="774" t="s">
        <v>21</v>
      </c>
      <c r="U34" s="775">
        <f t="shared" si="13"/>
        <v>100</v>
      </c>
      <c r="V34" s="774" t="s">
        <v>21</v>
      </c>
      <c r="W34" s="775">
        <f t="shared" si="14"/>
        <v>100</v>
      </c>
      <c r="X34" s="1816"/>
      <c r="Y34" s="316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1"/>
      <c r="Q35" s="1813" t="str">
        <f t="shared" si="11"/>
        <v>建筑品质</v>
      </c>
      <c r="R35" s="774" t="s">
        <v>21</v>
      </c>
      <c r="S35" s="775">
        <f t="shared" si="12"/>
        <v>100</v>
      </c>
      <c r="T35" s="774" t="s">
        <v>21</v>
      </c>
      <c r="U35" s="775">
        <f t="shared" si="13"/>
        <v>100</v>
      </c>
      <c r="V35" s="774" t="s">
        <v>21</v>
      </c>
      <c r="W35" s="775">
        <f t="shared" si="14"/>
        <v>100</v>
      </c>
      <c r="X35" s="1816"/>
      <c r="Y35" s="3163"/>
      <c r="Z35" s="1817" t="str">
        <f t="shared" si="18"/>
        <v>建筑品质</v>
      </c>
      <c r="AA35" s="1814">
        <f t="shared" si="15"/>
        <v>1</v>
      </c>
      <c r="AB35" s="1814">
        <f t="shared" si="16"/>
        <v>1</v>
      </c>
      <c r="AC35" s="1814">
        <f t="shared" si="17"/>
        <v>1</v>
      </c>
    </row>
    <row r="36" spans="1:29" ht="15">
      <c r="A36" s="472"/>
      <c r="B36" s="422" t="s">
        <v>2570</v>
      </c>
      <c r="C36" s="2620" t="s">
        <v>3130</v>
      </c>
      <c r="D36" s="435">
        <v>100</v>
      </c>
      <c r="E36" s="2621" t="s">
        <v>3130</v>
      </c>
      <c r="F36" s="461">
        <f>SUMIF(109:109,E36,110:110)-SUMIF(109:109,C36,110:110)+100</f>
        <v>100</v>
      </c>
      <c r="G36" s="2620" t="s">
        <v>3130</v>
      </c>
      <c r="H36" s="435">
        <f>SUMIF(109:109,G36,110:110)-SUMIF(109:109,C36,110:110)+100</f>
        <v>100</v>
      </c>
      <c r="I36" s="2621" t="s">
        <v>3130</v>
      </c>
      <c r="J36" s="435">
        <f>SUMIF(109:109,I36,110:110)-SUMIF(109:109,C36,110:110)+100</f>
        <v>100</v>
      </c>
      <c r="K36" s="426">
        <v>2</v>
      </c>
      <c r="L36" s="1143"/>
      <c r="M36" s="1134"/>
      <c r="N36" s="1134"/>
      <c r="O36" s="1134"/>
      <c r="P36" s="3161"/>
      <c r="Q36" s="1813" t="str">
        <f t="shared" si="11"/>
        <v>公共部分装修</v>
      </c>
      <c r="R36" s="774" t="s">
        <v>21</v>
      </c>
      <c r="S36" s="775">
        <f t="shared" si="12"/>
        <v>100</v>
      </c>
      <c r="T36" s="774" t="s">
        <v>21</v>
      </c>
      <c r="U36" s="775">
        <f t="shared" si="13"/>
        <v>100</v>
      </c>
      <c r="V36" s="774" t="s">
        <v>21</v>
      </c>
      <c r="W36" s="775">
        <f t="shared" si="14"/>
        <v>100</v>
      </c>
      <c r="X36" s="1816"/>
      <c r="Y36" s="316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1"/>
      <c r="Q37" s="1798"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2572</v>
      </c>
      <c r="C38" s="2620" t="s">
        <v>3132</v>
      </c>
      <c r="D38" s="435">
        <v>100</v>
      </c>
      <c r="E38" s="2621" t="s">
        <v>3132</v>
      </c>
      <c r="F38" s="461">
        <f>SUMIF(114:114,E38,115:115)-SUMIF(114:114,C38,115:115)+100</f>
        <v>100</v>
      </c>
      <c r="G38" s="2620" t="s">
        <v>3132</v>
      </c>
      <c r="H38" s="435">
        <f>SUMIF(114:114,G38,115:115)-SUMIF(114:114,C38,115:115)+100</f>
        <v>100</v>
      </c>
      <c r="I38" s="2621" t="s">
        <v>3132</v>
      </c>
      <c r="J38" s="435">
        <f>SUMIF(114:114,I38,115:115)-SUMIF(114:114,C38,115:115)+100</f>
        <v>100</v>
      </c>
      <c r="K38" s="426">
        <v>1</v>
      </c>
      <c r="L38" s="1143"/>
      <c r="M38" s="1134"/>
      <c r="N38" s="1134"/>
      <c r="O38" s="1134"/>
      <c r="P38" s="3161" t="s">
        <v>2566</v>
      </c>
      <c r="Q38" s="1813" t="str">
        <f t="shared" si="11"/>
        <v>物业管理</v>
      </c>
      <c r="R38" s="774" t="s">
        <v>21</v>
      </c>
      <c r="S38" s="775">
        <f t="shared" si="12"/>
        <v>100</v>
      </c>
      <c r="T38" s="774" t="s">
        <v>21</v>
      </c>
      <c r="U38" s="775">
        <f t="shared" si="13"/>
        <v>100</v>
      </c>
      <c r="V38" s="774" t="s">
        <v>21</v>
      </c>
      <c r="W38" s="775">
        <f t="shared" si="14"/>
        <v>100</v>
      </c>
      <c r="X38" s="1816"/>
      <c r="Y38" s="3163" t="s">
        <v>2566</v>
      </c>
      <c r="Z38" s="1817" t="str">
        <f t="shared" si="18"/>
        <v>物业管理</v>
      </c>
      <c r="AA38" s="1814">
        <f t="shared" si="15"/>
        <v>1</v>
      </c>
      <c r="AB38" s="1814">
        <f t="shared" si="16"/>
        <v>1</v>
      </c>
      <c r="AC38" s="1814">
        <f t="shared" si="17"/>
        <v>1</v>
      </c>
    </row>
    <row r="39" spans="1:29" ht="15">
      <c r="A39" s="472"/>
      <c r="B39" s="422" t="s">
        <v>2573</v>
      </c>
      <c r="C39" s="2620" t="s">
        <v>3086</v>
      </c>
      <c r="D39" s="435">
        <v>100</v>
      </c>
      <c r="E39" s="2621" t="s">
        <v>3086</v>
      </c>
      <c r="F39" s="461">
        <f>SUMIF(116:116,E39,117:117)-SUMIF(116:116,C39,117:117)+100</f>
        <v>100</v>
      </c>
      <c r="G39" s="2620" t="s">
        <v>3086</v>
      </c>
      <c r="H39" s="435">
        <f>SUMIF(116:116,G39,117:117)-SUMIF(116:116,C39,117:117)+100</f>
        <v>100</v>
      </c>
      <c r="I39" s="2621" t="s">
        <v>3086</v>
      </c>
      <c r="J39" s="435">
        <f>SUMIF(116:116,I39,117:117)-SUMIF(116:116,C39,117:117)+100</f>
        <v>100</v>
      </c>
      <c r="K39" s="426">
        <v>1</v>
      </c>
      <c r="L39" s="1143"/>
      <c r="M39" s="1134"/>
      <c r="N39" s="1134"/>
      <c r="O39" s="1134"/>
      <c r="P39" s="3161"/>
      <c r="Q39" s="1813" t="str">
        <f t="shared" si="11"/>
        <v>市政基础设施</v>
      </c>
      <c r="R39" s="774" t="s">
        <v>21</v>
      </c>
      <c r="S39" s="775">
        <f t="shared" si="12"/>
        <v>100</v>
      </c>
      <c r="T39" s="774" t="s">
        <v>21</v>
      </c>
      <c r="U39" s="775">
        <f t="shared" si="13"/>
        <v>100</v>
      </c>
      <c r="V39" s="774" t="s">
        <v>21</v>
      </c>
      <c r="W39" s="775">
        <f t="shared" si="14"/>
        <v>100</v>
      </c>
      <c r="X39" s="1816"/>
      <c r="Y39" s="3163"/>
      <c r="Z39" s="1817" t="str">
        <f t="shared" si="18"/>
        <v>市政基础设施</v>
      </c>
      <c r="AA39" s="1814">
        <f t="shared" si="15"/>
        <v>1</v>
      </c>
      <c r="AB39" s="1814">
        <f t="shared" si="16"/>
        <v>1</v>
      </c>
      <c r="AC39" s="1814">
        <f t="shared" si="17"/>
        <v>1</v>
      </c>
    </row>
    <row r="40" spans="1:29" ht="15">
      <c r="A40" s="472"/>
      <c r="B40" s="422" t="s">
        <v>2574</v>
      </c>
      <c r="C40" s="2620" t="s">
        <v>3131</v>
      </c>
      <c r="D40" s="435">
        <v>100</v>
      </c>
      <c r="E40" s="2621" t="s">
        <v>3131</v>
      </c>
      <c r="F40" s="461">
        <f>SUMIF(118:118,E40,119:119)-SUMIF(118:118,C40,119:119)+100</f>
        <v>100</v>
      </c>
      <c r="G40" s="2620" t="s">
        <v>3131</v>
      </c>
      <c r="H40" s="435">
        <f>SUMIF(118:118,G40,119:119)-SUMIF(118:118,C40,119:119)+100</f>
        <v>100</v>
      </c>
      <c r="I40" s="2621" t="s">
        <v>3131</v>
      </c>
      <c r="J40" s="435">
        <f>SUMIF(118:118,I40,119:119)-SUMIF(118:118,C40,119:119)+100</f>
        <v>100</v>
      </c>
      <c r="K40" s="426">
        <v>2</v>
      </c>
      <c r="L40" s="1143"/>
      <c r="M40" s="1134"/>
      <c r="N40" s="1134"/>
      <c r="O40" s="1134"/>
      <c r="P40" s="3161"/>
      <c r="Q40" s="1813" t="str">
        <f t="shared" si="11"/>
        <v>房型</v>
      </c>
      <c r="R40" s="774" t="s">
        <v>21</v>
      </c>
      <c r="S40" s="775">
        <f t="shared" si="12"/>
        <v>100</v>
      </c>
      <c r="T40" s="774" t="s">
        <v>21</v>
      </c>
      <c r="U40" s="775">
        <f t="shared" si="13"/>
        <v>100</v>
      </c>
      <c r="V40" s="774" t="s">
        <v>21</v>
      </c>
      <c r="W40" s="775">
        <f t="shared" si="14"/>
        <v>100</v>
      </c>
      <c r="X40" s="1816"/>
      <c r="Y40" s="3163"/>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4">
        <f t="shared" si="15"/>
        <v>1</v>
      </c>
      <c r="AB41" s="1814">
        <f t="shared" si="16"/>
        <v>1</v>
      </c>
      <c r="AC41" s="1814">
        <f t="shared" si="17"/>
        <v>1</v>
      </c>
    </row>
    <row r="42" spans="1:29" ht="15">
      <c r="A42" s="472"/>
      <c r="B42" s="422" t="s">
        <v>2576</v>
      </c>
      <c r="C42" s="2620" t="s">
        <v>3130</v>
      </c>
      <c r="D42" s="435">
        <v>100</v>
      </c>
      <c r="E42" s="2621" t="s">
        <v>3130</v>
      </c>
      <c r="F42" s="461">
        <f>SUMIF(122:122,E42,123:123)-SUMIF(122:122,C42,123:123)+100</f>
        <v>100</v>
      </c>
      <c r="G42" s="2620" t="s">
        <v>3130</v>
      </c>
      <c r="H42" s="435">
        <f>SUMIF(122:122,G42,123:123)-SUMIF(122:122,C42,123:123)+100</f>
        <v>100</v>
      </c>
      <c r="I42" s="2621" t="s">
        <v>3130</v>
      </c>
      <c r="J42" s="435">
        <f>SUMIF(122:122,I42,123:123)-SUMIF(122:122,C42,123:123)+100</f>
        <v>100</v>
      </c>
      <c r="K42" s="426">
        <v>2</v>
      </c>
      <c r="L42" s="1143"/>
      <c r="M42" s="1134"/>
      <c r="N42" s="1134"/>
      <c r="O42" s="1134"/>
      <c r="P42" s="3161"/>
      <c r="Q42" s="1813" t="str">
        <f t="shared" si="11"/>
        <v>内部装修</v>
      </c>
      <c r="R42" s="774" t="s">
        <v>21</v>
      </c>
      <c r="S42" s="775">
        <f t="shared" si="12"/>
        <v>100</v>
      </c>
      <c r="T42" s="774" t="s">
        <v>21</v>
      </c>
      <c r="U42" s="775">
        <f t="shared" si="13"/>
        <v>100</v>
      </c>
      <c r="V42" s="774" t="s">
        <v>21</v>
      </c>
      <c r="W42" s="775">
        <f t="shared" si="14"/>
        <v>100</v>
      </c>
      <c r="X42" s="1816"/>
      <c r="Y42" s="3163"/>
      <c r="Z42" s="1817" t="str">
        <f t="shared" si="18"/>
        <v>内部装修</v>
      </c>
      <c r="AA42" s="1814">
        <f t="shared" si="15"/>
        <v>1</v>
      </c>
      <c r="AB42" s="1814">
        <f t="shared" si="16"/>
        <v>1</v>
      </c>
      <c r="AC42" s="1814">
        <f t="shared" si="17"/>
        <v>1</v>
      </c>
    </row>
    <row r="43" spans="1:29" ht="15">
      <c r="A43" s="472"/>
      <c r="B43" s="422" t="s">
        <v>2577</v>
      </c>
      <c r="C43" s="2620" t="s">
        <v>3074</v>
      </c>
      <c r="D43" s="435">
        <v>100</v>
      </c>
      <c r="E43" s="2621" t="s">
        <v>3074</v>
      </c>
      <c r="F43" s="461">
        <f>SUMIF(124:124,E43,125:125)-SUMIF(124:124,C43,125:125)+100</f>
        <v>100</v>
      </c>
      <c r="G43" s="2620" t="s">
        <v>3074</v>
      </c>
      <c r="H43" s="435">
        <f>SUMIF(124:124,G43,125:125)-SUMIF(124:124,C43,125:125)+100</f>
        <v>100</v>
      </c>
      <c r="I43" s="2621" t="s">
        <v>3074</v>
      </c>
      <c r="J43" s="435">
        <f>SUMIF(124:124,I43,125:125)-SUMIF(124:124,C43,125:125)+100</f>
        <v>100</v>
      </c>
      <c r="K43" s="426">
        <v>2</v>
      </c>
      <c r="L43" s="1143"/>
      <c r="M43" s="1134"/>
      <c r="N43" s="1134"/>
      <c r="O43" s="1134"/>
      <c r="P43" s="3161"/>
      <c r="Q43" s="1813" t="str">
        <f t="shared" si="11"/>
        <v>内部装修维护情况</v>
      </c>
      <c r="R43" s="774" t="s">
        <v>21</v>
      </c>
      <c r="S43" s="775">
        <f t="shared" si="12"/>
        <v>100</v>
      </c>
      <c r="T43" s="774" t="s">
        <v>21</v>
      </c>
      <c r="U43" s="775">
        <f t="shared" si="13"/>
        <v>100</v>
      </c>
      <c r="V43" s="774" t="s">
        <v>21</v>
      </c>
      <c r="W43" s="775">
        <f t="shared" si="14"/>
        <v>100</v>
      </c>
      <c r="X43" s="1816"/>
      <c r="Y43" s="3163"/>
      <c r="Z43" s="1817" t="str">
        <f t="shared" si="18"/>
        <v>内部装修维护情况</v>
      </c>
      <c r="AA43" s="1814">
        <f t="shared" si="15"/>
        <v>1</v>
      </c>
      <c r="AB43" s="1814">
        <f t="shared" si="16"/>
        <v>1</v>
      </c>
      <c r="AC43" s="1814">
        <f t="shared" si="17"/>
        <v>1</v>
      </c>
    </row>
    <row r="44" spans="1:29" s="117" customFormat="1" ht="15.75" thickBot="1">
      <c r="A44" s="473"/>
      <c r="B44" s="2954" t="s">
        <v>3128</v>
      </c>
      <c r="C44" s="469">
        <v>2011</v>
      </c>
      <c r="D44" s="136">
        <v>100</v>
      </c>
      <c r="E44" s="469">
        <v>2011</v>
      </c>
      <c r="F44" s="425">
        <f>SUMIF(126:126,E44,127:127)-SUMIF(126:126,C44,127:127)+100</f>
        <v>100</v>
      </c>
      <c r="G44" s="469">
        <v>2011</v>
      </c>
      <c r="H44" s="136">
        <f>SUMIF(126:126,G44,127:127)-SUMIF(126:126,C44,127:127)+100</f>
        <v>100</v>
      </c>
      <c r="I44" s="469">
        <v>2011</v>
      </c>
      <c r="J44" s="136">
        <f>SUMIF(126:126,I44,127:127)-SUMIF(126:126,C44,127:127)+100</f>
        <v>100</v>
      </c>
      <c r="K44" s="2608"/>
      <c r="L44" s="1135"/>
      <c r="M44" s="1136"/>
      <c r="N44" s="1136"/>
      <c r="O44" s="1136"/>
      <c r="P44" s="3161"/>
      <c r="Q44" s="1798" t="str">
        <f t="shared" si="11"/>
        <v>建成年代</v>
      </c>
      <c r="R44" s="770" t="s">
        <v>21</v>
      </c>
      <c r="S44" s="771">
        <f t="shared" si="12"/>
        <v>100</v>
      </c>
      <c r="T44" s="770" t="s">
        <v>21</v>
      </c>
      <c r="U44" s="771">
        <f t="shared" si="13"/>
        <v>100</v>
      </c>
      <c r="V44" s="770" t="s">
        <v>21</v>
      </c>
      <c r="W44" s="771">
        <f t="shared" si="14"/>
        <v>100</v>
      </c>
      <c r="X44" s="772"/>
      <c r="Y44" s="3163"/>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1"/>
      <c r="Q45" s="1813">
        <f t="shared" si="11"/>
        <v>111</v>
      </c>
      <c r="R45" s="774" t="s">
        <v>21</v>
      </c>
      <c r="S45" s="775">
        <f t="shared" si="12"/>
        <v>100</v>
      </c>
      <c r="T45" s="774" t="s">
        <v>21</v>
      </c>
      <c r="U45" s="775">
        <f t="shared" si="13"/>
        <v>100</v>
      </c>
      <c r="V45" s="774" t="s">
        <v>21</v>
      </c>
      <c r="W45" s="775">
        <f t="shared" si="14"/>
        <v>100</v>
      </c>
      <c r="X45" s="1816"/>
      <c r="Y45" s="316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2"/>
      <c r="Q46" s="1813">
        <f t="shared" si="11"/>
        <v>111</v>
      </c>
      <c r="R46" s="774" t="s">
        <v>20</v>
      </c>
      <c r="S46" s="775">
        <f t="shared" si="12"/>
        <v>100</v>
      </c>
      <c r="T46" s="774" t="s">
        <v>20</v>
      </c>
      <c r="U46" s="775">
        <f t="shared" si="13"/>
        <v>100</v>
      </c>
      <c r="V46" s="774" t="s">
        <v>20</v>
      </c>
      <c r="W46" s="775">
        <f t="shared" si="14"/>
        <v>100</v>
      </c>
      <c r="X46" s="1816"/>
      <c r="Y46" s="3164"/>
      <c r="Z46" s="1817">
        <f t="shared" si="18"/>
        <v>111</v>
      </c>
      <c r="AA46" s="1814">
        <f t="shared" si="15"/>
        <v>1</v>
      </c>
      <c r="AB46" s="1814">
        <f t="shared" si="16"/>
        <v>1</v>
      </c>
      <c r="AC46" s="1814">
        <f t="shared" si="17"/>
        <v>1</v>
      </c>
    </row>
    <row r="47" spans="1:29" ht="15">
      <c r="A47" s="479" t="s">
        <v>2578</v>
      </c>
      <c r="B47" s="480"/>
      <c r="C47" s="1410" t="s">
        <v>19</v>
      </c>
      <c r="D47" s="1411"/>
      <c r="E47" s="1412">
        <v>11931</v>
      </c>
      <c r="F47" s="1413"/>
      <c r="G47" s="1414">
        <v>12125</v>
      </c>
      <c r="H47" s="1415"/>
      <c r="I47" s="1412">
        <v>12222</v>
      </c>
      <c r="J47" s="1415"/>
      <c r="K47" s="2626"/>
      <c r="L47" s="1146"/>
      <c r="M47" s="1147"/>
      <c r="N47" s="1134"/>
      <c r="O47" s="1147"/>
      <c r="P47" s="3156" t="str">
        <f>A47</f>
        <v>成交单价（元/平方米）</v>
      </c>
      <c r="Q47" s="3156"/>
      <c r="R47" s="3157">
        <f>E47</f>
        <v>11931</v>
      </c>
      <c r="S47" s="3157"/>
      <c r="T47" s="3157">
        <f>G47</f>
        <v>12125</v>
      </c>
      <c r="U47" s="3157"/>
      <c r="V47" s="3157">
        <f>I47</f>
        <v>12222</v>
      </c>
      <c r="W47" s="315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7"/>
      <c r="L48" s="1146"/>
      <c r="M48" s="1147"/>
      <c r="N48" s="1147"/>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8"/>
      <c r="L49" s="1146"/>
      <c r="M49" s="1147"/>
      <c r="N49" s="1147"/>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f>IF(E47&lt;G47,G47/E47-1,E47/G47-1)</f>
        <v>1.6260162601626105E-2</v>
      </c>
      <c r="F54" s="500" t="str">
        <f>IF(OR(E54&gt;=0.3,E54&lt;=-0.3),"超过30%","")</f>
        <v/>
      </c>
      <c r="G54" s="499">
        <f>IF(G47&lt;I47,I47/G47-1,G47/I47-1)</f>
        <v>8.0000000000000071E-3</v>
      </c>
      <c r="H54" s="500" t="str">
        <f>IF(OR(G54&gt;=0.3,G54&lt;=-0.3),"超过30%","")</f>
        <v/>
      </c>
      <c r="I54" s="499">
        <f>IF(I47&lt;E47,E47/I47-1,I47/E47-1)</f>
        <v>2.4390243902439046E-2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3088</v>
      </c>
      <c r="D88" s="2955" t="s">
        <v>3089</v>
      </c>
      <c r="E88" s="2955" t="s">
        <v>3090</v>
      </c>
      <c r="F88" s="2955" t="s">
        <v>3091</v>
      </c>
      <c r="G88" s="2955" t="s">
        <v>3092</v>
      </c>
      <c r="H88" s="2955" t="s">
        <v>3093</v>
      </c>
      <c r="I88" s="2955" t="s">
        <v>3094</v>
      </c>
      <c r="J88" s="2955" t="s">
        <v>3095</v>
      </c>
      <c r="K88" s="2956" t="s">
        <v>3096</v>
      </c>
      <c r="L88" s="2956" t="s">
        <v>3097</v>
      </c>
      <c r="M88" s="2957" t="s">
        <v>3098</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t="str">
        <f>B28</f>
        <v>道路级别</v>
      </c>
      <c r="C92" s="2955" t="s">
        <v>3100</v>
      </c>
      <c r="D92" s="2955" t="s">
        <v>3101</v>
      </c>
      <c r="E92" s="2955" t="s">
        <v>3102</v>
      </c>
      <c r="F92" s="2955" t="s">
        <v>3103</v>
      </c>
      <c r="G92" s="2955" t="s">
        <v>3104</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3105</v>
      </c>
      <c r="D100" s="2958" t="s">
        <v>3106</v>
      </c>
      <c r="E100" s="2959" t="s">
        <v>3107</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0(含)-30</v>
      </c>
      <c r="D102" s="578" t="str">
        <f t="shared" ref="D102:L102" si="27">D103&amp;"(含)"&amp;"-"&amp;E103</f>
        <v>30(含)-60</v>
      </c>
      <c r="E102" s="578" t="str">
        <f t="shared" si="27"/>
        <v>60(含)-80</v>
      </c>
      <c r="F102" s="578" t="str">
        <f t="shared" si="27"/>
        <v>80(含)-90</v>
      </c>
      <c r="G102" s="578" t="str">
        <f t="shared" si="27"/>
        <v>90(含)-100</v>
      </c>
      <c r="H102" s="578" t="str">
        <f t="shared" si="27"/>
        <v>100(含)-110</v>
      </c>
      <c r="I102" s="578" t="str">
        <f t="shared" si="27"/>
        <v>110(含)-120</v>
      </c>
      <c r="J102" s="578" t="str">
        <f t="shared" si="27"/>
        <v>120(含)-170</v>
      </c>
      <c r="K102" s="578" t="str">
        <f>K103&amp;"(含)"&amp;"-"&amp;L103</f>
        <v>170(含)-</v>
      </c>
      <c r="L102" s="578" t="str">
        <f t="shared" si="27"/>
        <v>(含)-</v>
      </c>
      <c r="M102" s="578" t="str">
        <f>M103&amp;"(含)"&amp;"-"&amp;P103</f>
        <v>(含)-</v>
      </c>
      <c r="N102" s="1154"/>
      <c r="O102" s="1154"/>
      <c r="P102" s="2635"/>
      <c r="Q102" s="504"/>
    </row>
    <row r="103" spans="1:17" s="471" customFormat="1">
      <c r="A103" s="593"/>
      <c r="B103" s="594"/>
      <c r="C103" s="595">
        <v>0</v>
      </c>
      <c r="D103" s="595">
        <v>30</v>
      </c>
      <c r="E103" s="595">
        <v>60</v>
      </c>
      <c r="F103" s="595">
        <v>80</v>
      </c>
      <c r="G103" s="595">
        <v>90</v>
      </c>
      <c r="H103" s="595">
        <v>100</v>
      </c>
      <c r="I103" s="595">
        <v>110</v>
      </c>
      <c r="J103" s="596">
        <v>120</v>
      </c>
      <c r="K103" s="596">
        <v>170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3108</v>
      </c>
      <c r="D105" s="2955" t="s">
        <v>3109</v>
      </c>
      <c r="E105" s="2960" t="s">
        <v>3110</v>
      </c>
      <c r="F105" s="2960" t="s">
        <v>3111</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3112</v>
      </c>
      <c r="D109" s="2955" t="s">
        <v>3113</v>
      </c>
      <c r="E109" s="2955" t="s">
        <v>3114</v>
      </c>
      <c r="F109" s="2960" t="s">
        <v>3115</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3116</v>
      </c>
      <c r="D114" s="2955" t="s">
        <v>3117</v>
      </c>
      <c r="E114" s="2961" t="s">
        <v>3118</v>
      </c>
      <c r="F114" s="2961" t="s">
        <v>3119</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3120</v>
      </c>
      <c r="D116" s="2955" t="s">
        <v>3121</v>
      </c>
      <c r="E116" s="2955" t="s">
        <v>3122</v>
      </c>
      <c r="F116" s="2955" t="s">
        <v>3123</v>
      </c>
      <c r="G116" s="2955" t="s">
        <v>3124</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3125</v>
      </c>
      <c r="E118" s="2961" t="s">
        <v>3126</v>
      </c>
      <c r="F118" s="2960" t="s">
        <v>3127</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3112</v>
      </c>
      <c r="D122" s="2955" t="s">
        <v>3113</v>
      </c>
      <c r="E122" s="2955" t="s">
        <v>3114</v>
      </c>
      <c r="F122" s="2960" t="s">
        <v>3115</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ROUND(C40/10000,4)</f>
        <v>999.73109999999997</v>
      </c>
      <c r="C2" s="1848" t="s">
        <v>1587</v>
      </c>
      <c r="D2" s="1941">
        <f ca="1">C40+J29+L46</f>
        <v>9997311</v>
      </c>
      <c r="E2" s="1849" t="s">
        <v>1588</v>
      </c>
      <c r="F2" s="1850"/>
      <c r="G2" s="1851"/>
      <c r="H2" s="1843"/>
      <c r="I2" s="1843"/>
      <c r="J2" s="1843"/>
      <c r="K2" s="1844"/>
      <c r="L2" s="1843"/>
      <c r="M2" s="1843"/>
    </row>
    <row r="3" spans="1:37" ht="18" customHeight="1" thickBot="1">
      <c r="A3" s="1852" t="s">
        <v>1589</v>
      </c>
      <c r="B3" s="1853">
        <f ca="1">IF(ISERROR(D2/F43),0,ROUND(D2/F43,0))</f>
        <v>29561</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647390</v>
      </c>
      <c r="D5" s="1825" t="s">
        <v>1597</v>
      </c>
      <c r="E5" s="1296"/>
      <c r="F5" s="1297"/>
      <c r="G5" s="1854"/>
      <c r="H5" s="344">
        <v>1</v>
      </c>
      <c r="I5" s="345" t="s">
        <v>1596</v>
      </c>
      <c r="J5" s="1295">
        <f ca="1">J6+J10+J12</f>
        <v>0</v>
      </c>
      <c r="K5" s="1825" t="s">
        <v>1597</v>
      </c>
      <c r="L5" s="1296"/>
      <c r="M5" s="1297"/>
    </row>
    <row r="6" spans="1:37" ht="18" customHeight="1">
      <c r="A6" s="1294" t="s">
        <v>1032</v>
      </c>
      <c r="B6" s="3199" t="s">
        <v>1399</v>
      </c>
      <c r="C6" s="1299">
        <f ca="1">ROUND(F6*F8*F7*(1-F9),0)</f>
        <v>644971</v>
      </c>
      <c r="D6" s="164" t="s">
        <v>3029</v>
      </c>
      <c r="E6" s="347" t="s">
        <v>1401</v>
      </c>
      <c r="F6" s="348">
        <f ca="1">INDIRECT("'数据-取费表'!u"&amp;$G$1)</f>
        <v>5.5</v>
      </c>
      <c r="G6" s="1854"/>
      <c r="H6" s="1294" t="s">
        <v>1032</v>
      </c>
      <c r="I6" s="3199" t="s">
        <v>1399</v>
      </c>
      <c r="J6" s="346">
        <f ca="1">ROUND(M6*M8*M7*(1-M9),0)</f>
        <v>0</v>
      </c>
      <c r="K6" s="1837" t="s">
        <v>3030</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338.19</v>
      </c>
      <c r="G7" s="1854"/>
      <c r="H7" s="349"/>
      <c r="I7" s="3200"/>
      <c r="J7" s="351"/>
      <c r="K7" s="352"/>
      <c r="L7" s="347" t="s">
        <v>1402</v>
      </c>
      <c r="M7" s="348">
        <f ca="1">F7</f>
        <v>338.19</v>
      </c>
    </row>
    <row r="8" spans="1:37" ht="18" customHeight="1">
      <c r="A8" s="349"/>
      <c r="B8" s="3200"/>
      <c r="C8" s="351"/>
      <c r="D8" s="352"/>
      <c r="E8" s="347" t="s">
        <v>1403</v>
      </c>
      <c r="F8" s="348">
        <f ca="1">INDIRECT("'数据-取费表'!ai"&amp;$G$1)</f>
        <v>365</v>
      </c>
      <c r="G8" s="1854"/>
      <c r="H8" s="349"/>
      <c r="I8" s="3200"/>
      <c r="J8" s="351"/>
      <c r="K8" s="352"/>
      <c r="L8" s="347" t="s">
        <v>1403</v>
      </c>
      <c r="M8" s="348">
        <f ca="1">INDIRECT("'数据-取费表'!ai"&amp;$G$1)</f>
        <v>365</v>
      </c>
    </row>
    <row r="9" spans="1:37" ht="18" customHeight="1">
      <c r="A9" s="349"/>
      <c r="B9" s="3201"/>
      <c r="C9" s="351"/>
      <c r="D9" s="352"/>
      <c r="E9" s="347" t="s">
        <v>1404</v>
      </c>
      <c r="F9" s="357">
        <f ca="1">INDIRECT("'数据-取费表'!w"&amp;$G$1)</f>
        <v>0.05</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2419</v>
      </c>
      <c r="D10" s="1827" t="s">
        <v>3040</v>
      </c>
      <c r="E10" s="358" t="s">
        <v>1406</v>
      </c>
      <c r="F10" s="1369" t="s">
        <v>3065</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1378050</v>
      </c>
      <c r="D13" s="1334" t="s">
        <v>1411</v>
      </c>
      <c r="E13" s="1334" t="s">
        <v>1412</v>
      </c>
      <c r="F13" s="1335">
        <f ca="1">INDIRECT("'数据-取费表'!y"&amp;$G$1)</f>
        <v>0.85</v>
      </c>
      <c r="G13" s="1854"/>
      <c r="H13" s="1332">
        <v>2</v>
      </c>
      <c r="I13" s="1333" t="s">
        <v>1410</v>
      </c>
      <c r="J13" s="1293">
        <f ca="1">ROUND(J14*J15,0)</f>
        <v>1378050</v>
      </c>
      <c r="K13" s="1340" t="s">
        <v>1411</v>
      </c>
      <c r="L13" s="1855"/>
      <c r="M13" s="1856"/>
    </row>
    <row r="14" spans="1:37" ht="18" customHeight="1">
      <c r="A14" s="1204" t="s">
        <v>1031</v>
      </c>
      <c r="B14" s="347" t="s">
        <v>1413</v>
      </c>
      <c r="C14" s="363">
        <f ca="1">ROUND(INDIRECT("'数据-取费表'!l"&amp;$G$1)*F43+'数据-取费表'!L14*INDIRECT("'数据-取费表'!S"&amp;$G$1),0)</f>
        <v>1014570</v>
      </c>
      <c r="D14" s="1803" t="s">
        <v>1414</v>
      </c>
      <c r="E14" s="1797"/>
      <c r="F14" s="364"/>
      <c r="G14" s="1854"/>
      <c r="H14" s="1204" t="s">
        <v>1032</v>
      </c>
      <c r="I14" s="347" t="s">
        <v>1415</v>
      </c>
      <c r="J14" s="24">
        <f ca="1">C29</f>
        <v>1621235</v>
      </c>
      <c r="K14" s="15"/>
      <c r="L14" s="982"/>
      <c r="M14" s="983"/>
    </row>
    <row r="15" spans="1:37" s="1861" customFormat="1" ht="18" customHeight="1" thickBot="1">
      <c r="A15" s="1204" t="s">
        <v>1033</v>
      </c>
      <c r="B15" s="347" t="s">
        <v>1416</v>
      </c>
      <c r="C15" s="24">
        <f ca="1">ROUND(C14*F15,0)</f>
        <v>30437</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26386</v>
      </c>
      <c r="K16" s="1340" t="s">
        <v>1421</v>
      </c>
      <c r="L16" s="1341"/>
      <c r="M16" s="1297"/>
    </row>
    <row r="17" spans="1:37" s="1861" customFormat="1" ht="18" customHeight="1">
      <c r="A17" s="1204" t="s">
        <v>1386</v>
      </c>
      <c r="B17" s="347" t="s">
        <v>1422</v>
      </c>
      <c r="C17" s="24">
        <f ca="1">ROUND(F17*(F43+INDIRECT("'数据-取费表'!S"&amp;$G$1)),0)</f>
        <v>67638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15219</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1127864</v>
      </c>
      <c r="D19" s="140" t="s">
        <v>1432</v>
      </c>
      <c r="E19" s="1821"/>
      <c r="F19" s="26"/>
      <c r="G19" s="1854"/>
      <c r="H19" s="1204" t="s">
        <v>1033</v>
      </c>
      <c r="I19" s="347" t="s">
        <v>1433</v>
      </c>
      <c r="J19" s="24">
        <f ca="1">IF(K19="按租金收入计税",ROUND(J5*M19,0),ROUND(C29*M19*0.7,0))</f>
        <v>13618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22557</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24319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54645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2067</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-26386</v>
      </c>
      <c r="K25" s="1348" t="s">
        <v>1460</v>
      </c>
      <c r="L25" s="1349"/>
      <c r="M25" s="1350"/>
    </row>
    <row r="26" spans="1:37" ht="18" customHeight="1">
      <c r="A26" s="1204" t="s">
        <v>1031</v>
      </c>
      <c r="B26" s="347" t="s">
        <v>1461</v>
      </c>
      <c r="C26" s="24">
        <f ca="1">ROUND((C19+C20)*F26,0)</f>
        <v>287605</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1621235</v>
      </c>
      <c r="D29" s="1345"/>
      <c r="E29" s="1343"/>
      <c r="F29" s="1346"/>
      <c r="G29" s="1857"/>
      <c r="H29" s="380" t="s">
        <v>1030</v>
      </c>
      <c r="I29" s="381" t="s">
        <v>1475</v>
      </c>
      <c r="J29" s="382">
        <f ca="1">ROUND(J26/(1+F40)^F41,0)</f>
        <v>0</v>
      </c>
      <c r="K29" s="383" t="s">
        <v>1476</v>
      </c>
      <c r="L29" s="384"/>
      <c r="M29" s="385">
        <f ca="1">INDIRECT("'数据-取费表'!k"&amp;$G$1)</f>
        <v>338.19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110547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77687</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24319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2067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6473.9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536843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9997311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26</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29561</v>
      </c>
      <c r="D43" s="383" t="s">
        <v>1484</v>
      </c>
      <c r="E43" s="384" t="s">
        <v>1485</v>
      </c>
      <c r="F43" s="385">
        <f ca="1">INDIRECT("'数据-取费表'!k"&amp;$G$1)</f>
        <v>338.19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-10488682</v>
      </c>
      <c r="D45" s="1943" t="s">
        <v>1600</v>
      </c>
      <c r="E45" s="1869"/>
      <c r="F45" s="1869"/>
      <c r="O45" s="1872" t="s">
        <v>1515</v>
      </c>
      <c r="P45" s="1842"/>
      <c r="Q45" s="1842"/>
      <c r="R45" s="1842"/>
    </row>
    <row r="46" spans="1:18" s="1845" customFormat="1" ht="13.5" thickBot="1">
      <c r="A46" s="1873" t="s">
        <v>1516</v>
      </c>
      <c r="C46" s="1874">
        <f ca="1">ROUND(C45/10000,0)</f>
        <v>-1049</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9997311</v>
      </c>
      <c r="R47" s="1889" t="s">
        <v>1525</v>
      </c>
    </row>
    <row r="48" spans="1:18" s="1845" customFormat="1" ht="28.5" thickBot="1">
      <c r="A48" s="1363" t="s">
        <v>1132</v>
      </c>
      <c r="B48" s="345" t="s">
        <v>1397</v>
      </c>
      <c r="C48" s="1820">
        <f ca="1">C49+C53+C55</f>
        <v>0</v>
      </c>
      <c r="D48" s="1365"/>
      <c r="E48" s="1366"/>
      <c r="F48" s="1184"/>
      <c r="G48" s="792"/>
      <c r="H48" s="793"/>
      <c r="I48" s="1890" t="s">
        <v>1526</v>
      </c>
      <c r="J48" s="1891" t="s">
        <v>3067</v>
      </c>
      <c r="K48" s="1892" t="s">
        <v>1527</v>
      </c>
      <c r="L48" s="1893">
        <f ca="1">INDIRECT("'数据-取费表'!f"&amp;$G$1)</f>
        <v>26</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1621235</v>
      </c>
      <c r="R49" s="1889" t="s">
        <v>1525</v>
      </c>
    </row>
    <row r="50" spans="1:18" s="1845" customFormat="1" ht="13.5" thickBot="1">
      <c r="A50" s="1198"/>
      <c r="B50" s="1201"/>
      <c r="C50" s="1202"/>
      <c r="D50" s="1175"/>
      <c r="E50" s="1280" t="s">
        <v>1402</v>
      </c>
      <c r="F50" s="1281">
        <f ca="1">F7</f>
        <v>338.19</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41</v>
      </c>
      <c r="K51" s="1903" t="s">
        <v>1537</v>
      </c>
      <c r="L51" s="1904">
        <f ca="1">ROUND(-PV(INDIRECT("'数据-取费表'!h"&amp;$G$1),L48,(C39-C13*C76),0),0)</f>
        <v>6461529</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26</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t="s">
        <v>3150</v>
      </c>
      <c r="I53" s="1908" t="s">
        <v>1543</v>
      </c>
      <c r="J53" s="1909">
        <f ca="1">IF(M47="住宅",IF(D1="——",MAX(J51,L48),IF(D1="在建（套用方法）",MAX(J51,L48-'数据-取费表'!B24),MAX(J51,L48-'数据-取费表'!B20))),IF(D1="——",MIN(J51,L48),IF(D1="在建（套用方法）",MIN(J51,L48-'数据-取费表'!B24),IF(D1="土地（套用方法）",MIN(J51,L48-'数据-取费表'!B20)))))</f>
        <v>26</v>
      </c>
      <c r="K53" s="3202" t="s">
        <v>1544</v>
      </c>
      <c r="L53" s="3203"/>
      <c r="O53" s="1887" t="s">
        <v>1043</v>
      </c>
      <c r="P53" s="1888" t="s">
        <v>1545</v>
      </c>
      <c r="Q53" s="1889">
        <f ca="1">Q47+Q48</f>
        <v>9997311</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1378050</v>
      </c>
      <c r="D56" s="1917"/>
      <c r="E56" s="1918"/>
      <c r="F56" s="1910"/>
      <c r="I56" s="1919" t="s">
        <v>1550</v>
      </c>
      <c r="J56" s="1920" t="s">
        <v>3058</v>
      </c>
      <c r="K56" s="1890" t="s">
        <v>1551</v>
      </c>
      <c r="L56" s="1893" t="str">
        <f ca="1">IF(L48&lt;J51,"——",L48-J51)</f>
        <v>——</v>
      </c>
      <c r="O56" s="1887" t="s">
        <v>1037</v>
      </c>
      <c r="P56" s="1888" t="s">
        <v>1524</v>
      </c>
      <c r="Q56" s="1889">
        <f ca="1">C40+J29</f>
        <v>9997311</v>
      </c>
      <c r="R56" s="1889" t="s">
        <v>1525</v>
      </c>
    </row>
    <row r="57" spans="1:18" s="1845" customFormat="1" ht="24.75" thickBot="1">
      <c r="A57" s="1921"/>
      <c r="B57" s="1172" t="s">
        <v>1474</v>
      </c>
      <c r="C57" s="282">
        <f ca="1">C29</f>
        <v>1621235</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26386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9997311</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24319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2067</v>
      </c>
      <c r="D65" s="1186" t="s">
        <v>1450</v>
      </c>
      <c r="E65" s="1172" t="s">
        <v>1451</v>
      </c>
      <c r="F65" s="376">
        <f t="shared" ca="1" si="0"/>
        <v>1.5E-3</v>
      </c>
      <c r="I65" s="1932" t="s">
        <v>1575</v>
      </c>
      <c r="J65" s="1933">
        <v>40</v>
      </c>
      <c r="K65" s="1933">
        <v>30</v>
      </c>
      <c r="L65" s="1933">
        <v>50</v>
      </c>
      <c r="M65" s="1935">
        <v>0.02</v>
      </c>
      <c r="O65" s="1887" t="s">
        <v>1037</v>
      </c>
      <c r="P65" s="1888" t="s">
        <v>1576</v>
      </c>
      <c r="Q65" s="1889">
        <f ca="1">C40+J29</f>
        <v>9997311</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-26386</v>
      </c>
      <c r="D67" s="1185" t="s">
        <v>1460</v>
      </c>
      <c r="E67" s="1190"/>
      <c r="F67" s="1191"/>
      <c r="O67" s="1897" t="s">
        <v>1039</v>
      </c>
      <c r="P67" s="1888" t="s">
        <v>1558</v>
      </c>
      <c r="Q67" s="1936">
        <f ca="1">L51</f>
        <v>6461529</v>
      </c>
      <c r="R67" s="1889" t="s">
        <v>1578</v>
      </c>
    </row>
    <row r="68" spans="1:18" s="1845" customFormat="1" ht="16.5" thickBot="1">
      <c r="A68" s="1169" t="s">
        <v>1029</v>
      </c>
      <c r="B68" s="1170" t="s">
        <v>1481</v>
      </c>
      <c r="C68" s="346">
        <f ca="1">ROUND(C67*(1-((1+F70)/(1+F68))^F69)/(F68-F70),0)</f>
        <v>-491371</v>
      </c>
      <c r="D68" s="1187" t="s">
        <v>1465</v>
      </c>
      <c r="E68" s="1172" t="s">
        <v>1466</v>
      </c>
      <c r="F68" s="357">
        <f ca="1">F40</f>
        <v>0.05</v>
      </c>
      <c r="O68" s="1897" t="s">
        <v>1040</v>
      </c>
      <c r="P68" s="1937" t="s">
        <v>1579</v>
      </c>
      <c r="Q68" s="1889">
        <f ca="1">ROUND(Q69-Q70*Q71,0)</f>
        <v>426599</v>
      </c>
      <c r="R68" s="1889" t="s">
        <v>1048</v>
      </c>
    </row>
    <row r="69" spans="1:18" s="1845" customFormat="1" ht="13.5" thickBot="1">
      <c r="A69" s="1173"/>
      <c r="B69" s="1174"/>
      <c r="C69" s="351"/>
      <c r="D69" s="1192" t="s">
        <v>1469</v>
      </c>
      <c r="E69" s="1172" t="s">
        <v>1470</v>
      </c>
      <c r="F69" s="379">
        <f ca="1">F41</f>
        <v>26</v>
      </c>
      <c r="O69" s="1897" t="s">
        <v>1045</v>
      </c>
      <c r="P69" s="1937" t="s">
        <v>1580</v>
      </c>
      <c r="Q69" s="1889">
        <f ca="1">C39</f>
        <v>536843</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1378050</v>
      </c>
      <c r="R70" s="1889" t="s">
        <v>1525</v>
      </c>
    </row>
    <row r="71" spans="1:18" s="1845" customFormat="1" ht="13.5" thickBot="1">
      <c r="A71" s="1193" t="s">
        <v>1030</v>
      </c>
      <c r="B71" s="1194" t="s">
        <v>1483</v>
      </c>
      <c r="C71" s="382">
        <f ca="1">ROUND(C68/F71,0)</f>
        <v>-1453</v>
      </c>
      <c r="D71" s="1195" t="s">
        <v>1484</v>
      </c>
      <c r="E71" s="1196" t="s">
        <v>1485</v>
      </c>
      <c r="F71" s="385">
        <f ca="1">F43</f>
        <v>338.19</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110244</v>
      </c>
      <c r="D75" s="1845"/>
      <c r="E75" s="1845"/>
      <c r="F75" s="1845"/>
      <c r="K75" s="1871"/>
      <c r="L75" s="1845"/>
      <c r="O75" s="1887" t="s">
        <v>1043</v>
      </c>
      <c r="P75" s="1888" t="s">
        <v>1545</v>
      </c>
      <c r="Q75" s="1889">
        <f ca="1">Q65+Q66</f>
        <v>9997311</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0.79500000000000004</v>
      </c>
    </row>
    <row r="80" spans="1:18">
      <c r="B80" s="386" t="s">
        <v>1507</v>
      </c>
      <c r="C80" s="318">
        <f ca="1">ROUND(C75/C39,3)</f>
        <v>0.20499999999999999</v>
      </c>
    </row>
    <row r="81" spans="2:3">
      <c r="B81" s="314" t="s">
        <v>1508</v>
      </c>
      <c r="C81" s="282"/>
    </row>
    <row r="82" spans="2:3">
      <c r="B82" s="317" t="s">
        <v>1509</v>
      </c>
      <c r="C82" s="319">
        <f ca="1">1-C83</f>
        <v>0.86199999999999999</v>
      </c>
    </row>
    <row r="83" spans="2:3">
      <c r="B83" s="317" t="s">
        <v>1510</v>
      </c>
      <c r="C83" s="318">
        <f ca="1">ROUND(C13/C40,3)</f>
        <v>0.13800000000000001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topLeftCell="B28" workbookViewId="0">
      <selection activeCell="E9" sqref="E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f>MATCH(B1,'数据-取费表'!A6:A16,0)+5</f>
        <v>6</v>
      </c>
      <c r="H1" s="1285" t="str">
        <f>IF(ISERROR(FIND("住宅",B1)),"非住宅","住宅")</f>
        <v>非住宅</v>
      </c>
    </row>
    <row r="2" spans="1:8" s="244" customFormat="1" ht="18" customHeight="1">
      <c r="A2" s="245" t="s">
        <v>2328</v>
      </c>
      <c r="B2" s="246">
        <f ca="1">ROUND(IF(D2="——",C52/10000,C52/10000-E2),0)</f>
        <v>911</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f ca="1">ROUND(B2*10000/(IF(B1="",'数据-汇总表'!E3,INDIRECT("'数据-取费表'!k"&amp;$G$1))),0)</f>
        <v>26938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5185082</v>
      </c>
      <c r="D5" s="255" t="s">
        <v>2335</v>
      </c>
      <c r="E5" s="256" t="s">
        <v>2336</v>
      </c>
      <c r="F5" s="256" t="s">
        <v>2337</v>
      </c>
      <c r="G5" s="257"/>
    </row>
    <row r="6" spans="1:8" s="258" customFormat="1" ht="13.5" customHeight="1">
      <c r="A6" s="952" t="s">
        <v>2338</v>
      </c>
      <c r="B6" s="259" t="s">
        <v>2339</v>
      </c>
      <c r="C6" s="260">
        <f ca="1">ROUND(基准地价修正!C29*基准地价修正!D29,0)</f>
        <v>4965982</v>
      </c>
      <c r="D6" s="261"/>
      <c r="E6" s="262"/>
      <c r="F6" s="262"/>
      <c r="G6" s="263"/>
    </row>
    <row r="7" spans="1:8" s="258" customFormat="1" ht="13.5" customHeight="1">
      <c r="A7" s="952" t="s">
        <v>2340</v>
      </c>
      <c r="B7" s="259" t="s">
        <v>2341</v>
      </c>
      <c r="C7" s="264">
        <f ca="1">ROUND(C6*F7,0)</f>
        <v>151462</v>
      </c>
      <c r="D7" s="264"/>
      <c r="E7" s="262"/>
      <c r="F7" s="265">
        <f>'数据-取费表'!B48+'数据-取费表'!B49</f>
        <v>3.0499999999999999E-2</v>
      </c>
      <c r="G7" s="263"/>
    </row>
    <row r="8" spans="1:8" s="267" customFormat="1">
      <c r="A8" s="952" t="s">
        <v>2342</v>
      </c>
      <c r="B8" s="259" t="s">
        <v>2343</v>
      </c>
      <c r="C8" s="264">
        <f ca="1">IF(G8="已包含在土地购买价格中",0,C9+C10)</f>
        <v>67638</v>
      </c>
      <c r="D8" s="266"/>
      <c r="E8" s="264"/>
      <c r="F8" s="265"/>
      <c r="G8" s="2557" t="s">
        <v>3073</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67638</v>
      </c>
      <c r="D10" s="1035">
        <f ca="1">IF(B1="",'数据-汇总表'!E6,IF(INDIRECT("'数据-取费表'!c"&amp;$G$1)="住宅",INDIRECT("'数据-取费表'!s"&amp;$G$1),INDIRECT("'数据-取费表'!k"&amp;$G$1)+INDIRECT("'数据-取费表'!s"&amp;$G$1)))</f>
        <v>338.19</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338.19</v>
      </c>
      <c r="E19" s="255">
        <f>'数据-取费表'!B31</f>
        <v>200</v>
      </c>
      <c r="F19" s="275"/>
      <c r="G19" s="2557" t="s">
        <v>3151</v>
      </c>
    </row>
    <row r="20" spans="1:7" s="258" customFormat="1" ht="13.5" customHeight="1">
      <c r="A20" s="299" t="s">
        <v>2440</v>
      </c>
      <c r="B20" s="254" t="s">
        <v>2441</v>
      </c>
      <c r="C20" s="276">
        <f ca="1">ROUND((C5+C19)*F20,0)</f>
        <v>103702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509208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504282</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4926</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1322196</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1322196</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7733451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1127864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1014570</v>
      </c>
      <c r="D34" s="261"/>
      <c r="E34" s="264"/>
      <c r="F34" s="301"/>
      <c r="G34" s="263"/>
    </row>
    <row r="35" spans="1:7" ht="13.5" customHeight="1">
      <c r="A35" s="954" t="s">
        <v>796</v>
      </c>
      <c r="B35" s="259" t="s">
        <v>2393</v>
      </c>
      <c r="C35" s="264">
        <f ca="1">ROUND(C34*F35,0)</f>
        <v>30437</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67638</v>
      </c>
      <c r="D37" s="261">
        <f ca="1">D19</f>
        <v>338.19</v>
      </c>
      <c r="E37" s="293">
        <f>'数据-取费表'!B35</f>
        <v>200</v>
      </c>
      <c r="F37" s="303"/>
      <c r="G37" s="305"/>
    </row>
    <row r="38" spans="1:7" ht="13.5" customHeight="1">
      <c r="A38" s="954" t="s">
        <v>799</v>
      </c>
      <c r="B38" s="259" t="s">
        <v>2399</v>
      </c>
      <c r="C38" s="264">
        <f ca="1">ROUND(C34*F38,0)</f>
        <v>15219</v>
      </c>
      <c r="D38" s="264"/>
      <c r="E38" s="264"/>
      <c r="F38" s="303">
        <f>'数据-取费表'!B36</f>
        <v>1.4999999999999999E-2</v>
      </c>
      <c r="G38" s="263" t="s">
        <v>2394</v>
      </c>
    </row>
    <row r="39" spans="1:7" s="258" customFormat="1" ht="13.5" customHeight="1">
      <c r="A39" s="299" t="s">
        <v>2400</v>
      </c>
      <c r="B39" s="254" t="s">
        <v>2401</v>
      </c>
      <c r="C39" s="276">
        <f ca="1">ROUND(C33*F20,0)</f>
        <v>22557</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54645</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53574</v>
      </c>
      <c r="D42" s="282"/>
      <c r="E42" s="282"/>
      <c r="F42" s="283"/>
      <c r="G42" s="3150" t="s">
        <v>2457</v>
      </c>
    </row>
    <row r="43" spans="1:7" ht="13.5" customHeight="1">
      <c r="A43" s="954" t="s">
        <v>792</v>
      </c>
      <c r="B43" s="259" t="s">
        <v>2411</v>
      </c>
      <c r="C43" s="282">
        <f ca="1">ROUND(IF('数据-取费表'!B22&lt;=1,C39*F22*'数据-取费表'!B20/2,C39*(POWER((1+F22),'数据-取费表'!B20/2)-1)),0)</f>
        <v>1071</v>
      </c>
      <c r="D43" s="282"/>
      <c r="E43" s="282"/>
      <c r="F43" s="283"/>
      <c r="G43" s="3151"/>
    </row>
    <row r="44" spans="1:7" ht="13.5" customHeight="1">
      <c r="A44" s="954" t="s">
        <v>793</v>
      </c>
      <c r="B44" s="259" t="s">
        <v>2412</v>
      </c>
      <c r="C44" s="282">
        <f ca="1">ROUND(IF('数据-取费表'!B22&lt;=1,C40*F22*'数据-取费表'!B20/2,C40*(POWER((1+F22),'数据-取费表'!B20/2)-1)),4)</f>
        <v>1E-3</v>
      </c>
      <c r="D44" s="282"/>
      <c r="E44" s="282"/>
      <c r="F44" s="283"/>
      <c r="G44" s="3152"/>
    </row>
    <row r="45" spans="1:7" s="258" customFormat="1" ht="13.5" customHeight="1">
      <c r="A45" s="299" t="s">
        <v>2413</v>
      </c>
      <c r="B45" s="288" t="s">
        <v>2379</v>
      </c>
      <c r="C45" s="289">
        <f ca="1">C46</f>
        <v>287605</v>
      </c>
      <c r="D45" s="279">
        <f ca="1">C47</f>
        <v>5.0000000000000001E-3</v>
      </c>
      <c r="E45" s="280" t="s">
        <v>2405</v>
      </c>
      <c r="F45" s="290"/>
      <c r="G45" s="291" t="s">
        <v>2414</v>
      </c>
    </row>
    <row r="46" spans="1:7" s="258" customFormat="1" ht="13.5" customHeight="1">
      <c r="A46" s="954" t="s">
        <v>791</v>
      </c>
      <c r="B46" s="292" t="s">
        <v>2415</v>
      </c>
      <c r="C46" s="293">
        <f ca="1">ROUND((C33+C39)*F27,0)</f>
        <v>287605</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1621235</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1378050</v>
      </c>
      <c r="D51" s="276"/>
      <c r="E51" s="276"/>
      <c r="F51" s="308"/>
      <c r="G51" s="278" t="s">
        <v>2426</v>
      </c>
    </row>
    <row r="52" spans="1:7" s="252" customFormat="1" ht="16.5" thickBot="1">
      <c r="A52" s="309" t="s">
        <v>2427</v>
      </c>
      <c r="B52" s="310"/>
      <c r="C52" s="311">
        <f ca="1">C31+C51</f>
        <v>9111501</v>
      </c>
      <c r="D52" s="310"/>
      <c r="E52" s="310"/>
      <c r="F52" s="310"/>
      <c r="G52" s="312"/>
    </row>
    <row r="54" spans="1:7">
      <c r="E54" s="2949" t="s">
        <v>3077</v>
      </c>
      <c r="F54" s="295">
        <f ca="1">ROUND(C52/292.44,0)</f>
        <v>31157</v>
      </c>
    </row>
    <row r="55" spans="1:7" ht="15">
      <c r="B55" s="314" t="s">
        <v>2428</v>
      </c>
      <c r="C55" s="315"/>
    </row>
    <row r="56" spans="1:7">
      <c r="B56" s="317" t="s">
        <v>1509</v>
      </c>
      <c r="C56" s="319">
        <f ca="1">1-C57</f>
        <v>0.84899999999999998</v>
      </c>
    </row>
    <row r="57" spans="1:7">
      <c r="B57" s="317" t="s">
        <v>1510</v>
      </c>
      <c r="C57" s="318">
        <f ca="1">ROUND(C51/C52,3)</f>
        <v>0.151</v>
      </c>
    </row>
  </sheetData>
  <sheetProtection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239</v>
      </c>
      <c r="C2" s="320" t="s">
        <v>2461</v>
      </c>
      <c r="D2" s="320"/>
      <c r="E2" s="320"/>
      <c r="F2" s="320"/>
      <c r="G2" s="320"/>
      <c r="H2" s="320"/>
      <c r="I2" s="320"/>
      <c r="J2" s="320"/>
      <c r="K2" s="320"/>
    </row>
    <row r="3" spans="1:33" ht="18" customHeight="1" thickBot="1">
      <c r="A3" s="247" t="s">
        <v>2330</v>
      </c>
      <c r="B3" s="248">
        <f ca="1">ROUND(B2*10000/IF(C1="",'数据-汇总表'!E3,INDIRECT("'数据-取费表'!K"&amp;$K$1)),0)</f>
        <v>7067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338.19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338.19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-193</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7</v>
      </c>
      <c r="D20" s="1036">
        <f ca="1">IF(C1="",'数据-汇总表'!E6,IF(INDIRECT("'数据-取费表'!c"&amp;$K$1)="住宅",INDIRECT("'数据-取费表'!s"&amp;$K$1),INDIRECT("'数据-取费表'!k"&amp;$K$1)+INDIRECT("'数据-取费表'!s"&amp;$K$1)))</f>
        <v>338.19</v>
      </c>
      <c r="E20" s="24">
        <f>'数据-取费表'!B28</f>
        <v>200</v>
      </c>
      <c r="F20" s="979"/>
      <c r="G20" s="15"/>
      <c r="H20" s="984"/>
      <c r="I20" s="984"/>
      <c r="J20" s="984"/>
      <c r="K20" s="985"/>
    </row>
    <row r="21" spans="1:33" s="978" customFormat="1" ht="13.5" customHeight="1">
      <c r="A21" s="964" t="s">
        <v>802</v>
      </c>
      <c r="B21" s="988" t="s">
        <v>2497</v>
      </c>
      <c r="C21" s="989">
        <f ca="1">C16+C17+C18</f>
        <v>-193</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-49</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239</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C49" sqref="C4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338.19</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497</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37112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14696</v>
      </c>
      <c r="C3" s="2726" t="s">
        <v>2820</v>
      </c>
      <c r="D3" s="2727" t="s">
        <v>2821</v>
      </c>
      <c r="E3" s="2732" t="s">
        <v>3149</v>
      </c>
      <c r="F3" s="2733" t="s">
        <v>3068</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26639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7"/>
      <c r="B4" s="3208"/>
      <c r="C4" s="3208"/>
      <c r="D4" s="3209"/>
      <c r="E4" s="3209"/>
      <c r="F4" s="3209"/>
      <c r="G4" s="3209"/>
      <c r="H4" s="3209"/>
      <c r="I4" s="3209"/>
      <c r="J4" s="3210"/>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f t="shared" ca="1" si="0"/>
        <v>21491</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17244</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14684</v>
      </c>
      <c r="U6" s="1606"/>
      <c r="V6" s="1605">
        <f t="shared" ca="1" si="1"/>
        <v>0</v>
      </c>
      <c r="W6" s="1609"/>
      <c r="X6" s="1609"/>
      <c r="Y6" s="1609"/>
      <c r="Z6" s="1609"/>
      <c r="AA6" s="1609"/>
      <c r="AB6" s="1609"/>
      <c r="AC6" s="2740"/>
      <c r="AD6" s="2741"/>
      <c r="AE6" s="2741"/>
      <c r="AF6" s="2741"/>
      <c r="AG6" s="2741"/>
      <c r="AH6" s="2741"/>
      <c r="AI6" s="2741"/>
      <c r="AJ6" s="2742"/>
    </row>
    <row r="7" spans="1:36" ht="24">
      <c r="A7" s="3211"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12913</v>
      </c>
      <c r="U7" s="1606"/>
      <c r="V7" s="1605">
        <f t="shared" ca="1" si="1"/>
        <v>0</v>
      </c>
      <c r="W7" s="1819" t="s">
        <v>2835</v>
      </c>
      <c r="X7" s="1607" t="str">
        <f>G2</f>
        <v>四级</v>
      </c>
      <c r="Y7" s="1607" t="s">
        <v>2836</v>
      </c>
      <c r="Z7" s="1608">
        <f>G3</f>
        <v>2.5</v>
      </c>
      <c r="AA7" s="1609"/>
      <c r="AB7" s="1609"/>
      <c r="AC7" s="1610"/>
      <c r="AD7" s="1611"/>
      <c r="AE7" s="1611"/>
      <c r="AF7" s="1611"/>
      <c r="AG7" s="1611"/>
      <c r="AH7" s="1611"/>
      <c r="AI7" s="1611"/>
      <c r="AJ7" s="1612"/>
    </row>
    <row r="8" spans="1:36" ht="25.5">
      <c r="A8" s="3212"/>
      <c r="B8" s="198" t="s">
        <v>2837</v>
      </c>
      <c r="C8" s="2755" t="s">
        <v>3069</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4" t="s">
        <v>2840</v>
      </c>
      <c r="X8" s="320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2"/>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2"/>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2"/>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1"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0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3"/>
      <c r="B14" s="2773"/>
      <c r="C14" s="2774" t="s">
        <v>3070</v>
      </c>
      <c r="D14" s="2775" t="s">
        <v>3070</v>
      </c>
      <c r="E14" s="2775" t="s">
        <v>3070</v>
      </c>
      <c r="F14" s="2776" t="s">
        <v>3143</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4"/>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1" t="s">
        <v>2883</v>
      </c>
      <c r="B16" s="2750" t="s">
        <v>2884</v>
      </c>
      <c r="C16" s="1804">
        <f>ROUND(SUM(G17:J17)/C17,0)</f>
        <v>36</v>
      </c>
      <c r="D16" s="2784" t="s">
        <v>2885</v>
      </c>
      <c r="E16" s="2785" t="s">
        <v>3144</v>
      </c>
      <c r="F16" s="2786" t="s">
        <v>3145</v>
      </c>
      <c r="G16" s="2787" t="s">
        <v>3146</v>
      </c>
      <c r="H16" s="2787" t="s">
        <v>3147</v>
      </c>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2"/>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1.3372999999999999</v>
      </c>
      <c r="D19" s="2802" t="s">
        <v>2893</v>
      </c>
      <c r="E19" s="928">
        <v>41640</v>
      </c>
      <c r="F19" s="2802" t="s">
        <v>2894</v>
      </c>
      <c r="G19" s="929">
        <f>'数据-取费表'!B2</f>
        <v>43544</v>
      </c>
      <c r="H19" s="2803" t="s">
        <v>3071</v>
      </c>
      <c r="I19" s="930" t="str">
        <f>IF(H19="季度增幅（自定义）",SUMIF(N21:N24,E2,O21:O24),"")</f>
        <v/>
      </c>
      <c r="J19" s="2800"/>
      <c r="K19" s="1380"/>
      <c r="L19" s="2804" t="s">
        <v>2895</v>
      </c>
      <c r="M19" s="1737">
        <f>ROUND(SUMIF(地价!B2:F2,E2,地价!B25:F25),0)</f>
        <v>258</v>
      </c>
      <c r="N19" s="2805"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0.8488</v>
      </c>
      <c r="D20" s="2811" t="s">
        <v>2898</v>
      </c>
      <c r="E20" s="1771">
        <f ca="1">存贷款利率!D4/100</f>
        <v>4.3499999999999997E-2</v>
      </c>
      <c r="F20" s="2811" t="s">
        <v>2890</v>
      </c>
      <c r="G20" s="937">
        <f ca="1">SUMIF(M15:P15,E2,M17:P17)</f>
        <v>5.3999999999999999E-2</v>
      </c>
      <c r="H20" s="2811" t="s">
        <v>2899</v>
      </c>
      <c r="I20" s="938">
        <f>SUMIF('数据-取费表'!C6:C15,E2,'数据-取费表'!F6:F15)/COUNTIF('数据-取费表'!C6:C15,E2)</f>
        <v>26</v>
      </c>
      <c r="J20" s="939">
        <f>IF(E2="住宅",70,IF(E2="商业",40,50))</f>
        <v>40</v>
      </c>
      <c r="K20" s="1380"/>
      <c r="L20" s="2812" t="s">
        <v>2900</v>
      </c>
      <c r="M20" s="1738">
        <f>ROUND(SUMPRODUCT((地价!A4:A25=YEAR(G19)&amp;"-"&amp;ROUNDUP(MONTH(G19)/3,0))*(地价!B2:F2=E2)*(地价!B4:F25)),0)</f>
        <v>345</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3148</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1.0602</v>
      </c>
      <c r="D24" s="2798"/>
      <c r="E24" s="2828"/>
      <c r="F24" s="2828"/>
      <c r="G24" s="2828"/>
      <c r="H24" s="2828"/>
      <c r="I24" s="2828"/>
      <c r="J24" s="2829"/>
      <c r="K24" s="1380"/>
      <c r="N24" s="2830"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2916</v>
      </c>
      <c r="C26" s="206">
        <f ca="1">E29+SUM(E33:E39)</f>
        <v>497</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14684</v>
      </c>
      <c r="D29" s="2850">
        <f>'数据-汇总表'!E19</f>
        <v>338.19</v>
      </c>
      <c r="E29" s="945">
        <f ca="1">ROUND(C29*D29/10000,0)</f>
        <v>497</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3671</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1" t="s">
        <v>2930</v>
      </c>
      <c r="B33" s="2866" t="s">
        <v>2931</v>
      </c>
      <c r="C33" s="206">
        <f ca="1">ROUND(D5*C19*C20*C24*F33,0)</f>
        <v>13945</v>
      </c>
      <c r="D33" s="2850"/>
      <c r="E33" s="200">
        <f ca="1">ROUND(C33*D33/10000,0)</f>
        <v>0</v>
      </c>
      <c r="F33" s="200">
        <f>SUMIF(修正!A45:A56,G2,修正!B45:B56)</f>
        <v>0.7</v>
      </c>
      <c r="G33" s="200">
        <f t="shared" ref="G33" ca="1" si="6">ROUND(IF(E2="工业",C33*$M$39,C33*$M$38),0)</f>
        <v>3486</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70" t="s">
        <v>2932</v>
      </c>
      <c r="C34" s="206">
        <f ca="1">ROUND(D5*C19*C20*C24*F34,0)</f>
        <v>7969</v>
      </c>
      <c r="D34" s="2850"/>
      <c r="E34" s="200">
        <f t="shared" ref="E34:E39" ca="1" si="7">ROUND(C34*D34/10000,0)</f>
        <v>0</v>
      </c>
      <c r="F34" s="200">
        <f>SUMIF(修正!A45:A56,G2,修正!C45:C56)</f>
        <v>0.4</v>
      </c>
      <c r="G34" s="200">
        <f ca="1">ROUND(IF(E2="工业",C34*$M$39,C34*$M$38),0)</f>
        <v>1992</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70" t="s">
        <v>2933</v>
      </c>
      <c r="C35" s="206">
        <f ca="1">ROUND(D5*C19*C20*C24*F35,0)</f>
        <v>5578</v>
      </c>
      <c r="D35" s="2850"/>
      <c r="E35" s="200">
        <f t="shared" ca="1" si="7"/>
        <v>0</v>
      </c>
      <c r="F35" s="200">
        <f>SUMIF(修正!A45:A56,G2,修正!D45:D56)</f>
        <v>0.28000000000000003</v>
      </c>
      <c r="G35" s="200">
        <f ca="1">ROUND(IF(E2="工业",C35*$M$39,C35*$M$38),0)</f>
        <v>1395</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3"/>
      <c r="B36" s="2770" t="s">
        <v>2934</v>
      </c>
      <c r="C36" s="206">
        <f ca="1">ROUND(D5*C19*C20*C24*F36,0)</f>
        <v>4980</v>
      </c>
      <c r="D36" s="2850"/>
      <c r="E36" s="200">
        <f t="shared" ca="1" si="7"/>
        <v>0</v>
      </c>
      <c r="F36" s="200">
        <f>SUMIF(修正!A45:A56,G2,修正!E45:E56)</f>
        <v>0.25</v>
      </c>
      <c r="G36" s="200">
        <f ca="1">ROUND(IF(E2="工业",C36*$M$39,C36*$M$38),0)</f>
        <v>1245</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ROUND(D5*C19*C20*C24*F37,0)</f>
        <v>4980</v>
      </c>
      <c r="D37" s="2850"/>
      <c r="E37" s="200">
        <f t="shared" ca="1" si="7"/>
        <v>0</v>
      </c>
      <c r="F37" s="206">
        <f>SUMIF(修正!A45:A56,G2,修正!F45:F56)</f>
        <v>0.25</v>
      </c>
      <c r="G37" s="200">
        <f ca="1">ROUND(IF(E2="工业",C37*$M$39,C37*$M$38),0)</f>
        <v>1245</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1.0602</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3074</v>
      </c>
      <c r="D48" s="1289">
        <f t="shared" ref="D48:D56" si="10">SUMIF($J$47:$N$47,C48,J48:N48)</f>
        <v>1.6299999999999999E-2</v>
      </c>
      <c r="E48" s="821">
        <f>ROUND(SUM(D48:D56),4)</f>
        <v>6.0199999999999997E-2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3072</v>
      </c>
      <c r="D49" s="1289">
        <f t="shared" si="10"/>
        <v>2.46E-2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3074</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3074</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3072</v>
      </c>
      <c r="D52" s="1289">
        <f t="shared" si="10"/>
        <v>7.7999999999999996E-3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3074</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3074</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3085</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3074</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3072</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3072</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3074</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3074</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3074</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3072</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3074</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3074</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3074</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15" t="s">
        <v>2972</v>
      </c>
      <c r="B90" s="3215"/>
      <c r="C90" s="3215"/>
      <c r="D90" s="3215"/>
      <c r="E90" s="3215"/>
      <c r="F90" s="3215"/>
      <c r="G90" s="3215"/>
      <c r="H90" s="3215"/>
      <c r="I90" s="3215"/>
      <c r="J90" s="3215"/>
      <c r="K90" s="2897"/>
      <c r="L90" s="2897"/>
      <c r="M90" s="2897"/>
      <c r="N90" s="2897"/>
    </row>
    <row r="91" spans="1:37">
      <c r="A91" s="3217" t="s">
        <v>2973</v>
      </c>
      <c r="B91" s="3217" t="s">
        <v>2974</v>
      </c>
      <c r="C91" s="2851" t="s">
        <v>2975</v>
      </c>
      <c r="D91" s="2852"/>
      <c r="E91" s="2852"/>
      <c r="F91" s="2852"/>
      <c r="G91" s="2852"/>
      <c r="H91" s="2852"/>
      <c r="I91" s="2852"/>
      <c r="J91" s="2898"/>
      <c r="K91" s="2899"/>
      <c r="L91" s="2899"/>
      <c r="M91" s="2899"/>
      <c r="N91" s="2899"/>
    </row>
    <row r="92" spans="1:37">
      <c r="A92" s="3217"/>
      <c r="B92" s="321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9"/>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20"/>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18"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9"/>
      <c r="B108" s="3123"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20"/>
      <c r="B109" s="3124"/>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16" t="s">
        <v>2980</v>
      </c>
      <c r="B110" s="3216"/>
      <c r="C110" s="3216"/>
      <c r="D110" s="3216"/>
      <c r="E110" s="3216"/>
      <c r="F110" s="3216"/>
      <c r="G110" s="3216"/>
      <c r="H110" s="3216"/>
      <c r="I110" s="3216"/>
      <c r="J110" s="3216"/>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999.73109999999997</v>
      </c>
      <c r="C2" s="2573" t="s">
        <v>2520</v>
      </c>
      <c r="D2" s="2574" t="s">
        <v>2521</v>
      </c>
      <c r="E2" s="2575">
        <f>SUM(E6:E13)</f>
        <v>338.19</v>
      </c>
    </row>
    <row r="3" spans="1:6" ht="15.75">
      <c r="A3" s="2571" t="s">
        <v>1391</v>
      </c>
      <c r="B3" s="2572">
        <f ca="1">ROUND(B2*10000/E2,0)</f>
        <v>29561</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999.73109999999997</v>
      </c>
      <c r="C6" s="2573" t="s">
        <v>2520</v>
      </c>
      <c r="D6" s="2576"/>
      <c r="E6" s="2584">
        <f>IF(OR(A6=0,F6="否"),0,'数据-取费表'!K6+'数据-取费表'!S6)</f>
        <v>338.19</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28">
        <f>C27-C30-C31-C32</f>
        <v>0</v>
      </c>
      <c r="F26" s="3228"/>
      <c r="G26" s="3228"/>
      <c r="H26" s="1740" t="s">
        <v>1336</v>
      </c>
    </row>
    <row r="27" spans="1:9">
      <c r="A27" s="1327">
        <v>1</v>
      </c>
      <c r="B27" s="1328" t="s">
        <v>1115</v>
      </c>
      <c r="C27" s="1328">
        <f>C28+C29</f>
        <v>0</v>
      </c>
      <c r="D27" s="1328"/>
      <c r="E27" s="3229"/>
      <c r="F27" s="3229"/>
      <c r="G27" s="3229"/>
    </row>
    <row r="28" spans="1:9">
      <c r="A28" s="1329" t="s">
        <v>1116</v>
      </c>
      <c r="B28" s="1328" t="s">
        <v>1117</v>
      </c>
      <c r="C28" s="1328"/>
      <c r="D28" s="1328"/>
      <c r="E28" s="3229"/>
      <c r="F28" s="3229"/>
      <c r="G28" s="322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25" t="s">
        <v>1126</v>
      </c>
      <c r="B33" s="3226"/>
      <c r="C33" s="3226"/>
      <c r="D33" s="3227"/>
      <c r="E33" s="3228"/>
      <c r="F33" s="3228"/>
      <c r="G33" s="3228"/>
    </row>
    <row r="34" spans="1:7" hidden="1">
      <c r="A34" s="1331">
        <v>1</v>
      </c>
      <c r="B34" s="1328" t="s">
        <v>1127</v>
      </c>
      <c r="C34" s="1328"/>
      <c r="D34" s="1328"/>
      <c r="E34" s="3229"/>
      <c r="F34" s="3229"/>
      <c r="G34" s="3229"/>
    </row>
    <row r="35" spans="1:7" hidden="1">
      <c r="A35" s="1331">
        <v>2</v>
      </c>
      <c r="B35" s="1328" t="s">
        <v>1128</v>
      </c>
      <c r="C35" s="1328"/>
      <c r="D35" s="1328"/>
      <c r="E35" s="3229"/>
      <c r="F35" s="3229"/>
      <c r="G35" s="3229"/>
    </row>
    <row r="36" spans="1:7" hidden="1">
      <c r="A36" s="1331">
        <v>3</v>
      </c>
      <c r="B36" s="1328" t="s">
        <v>1129</v>
      </c>
      <c r="C36" s="1328"/>
      <c r="D36" s="1328"/>
      <c r="E36" s="3229"/>
      <c r="F36" s="3229"/>
      <c r="G36" s="3229"/>
    </row>
    <row r="37" spans="1:7" hidden="1">
      <c r="A37" s="1331">
        <v>4</v>
      </c>
      <c r="B37" s="1328" t="s">
        <v>1130</v>
      </c>
      <c r="C37" s="1328"/>
      <c r="D37" s="1328"/>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338.19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87"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87"/>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87"/>
      <c r="AC6" s="3170"/>
    </row>
    <row r="7" spans="1:29" s="117" customFormat="1" ht="15.75" thickBot="1">
      <c r="A7" s="408" t="s">
        <v>2549</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2561</v>
      </c>
      <c r="Q15" s="1813" t="str">
        <f t="shared" si="6"/>
        <v>商业繁华度</v>
      </c>
      <c r="R15" s="774" t="s">
        <v>17</v>
      </c>
      <c r="S15" s="775">
        <f t="shared" si="0"/>
        <v>100</v>
      </c>
      <c r="T15" s="774" t="s">
        <v>17</v>
      </c>
      <c r="U15" s="775">
        <f t="shared" si="1"/>
        <v>100</v>
      </c>
      <c r="V15" s="774" t="s">
        <v>17</v>
      </c>
      <c r="W15" s="775">
        <f t="shared" si="2"/>
        <v>100</v>
      </c>
      <c r="X15" s="1816"/>
      <c r="Y15" s="31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0" t="s">
        <v>2566</v>
      </c>
      <c r="Q32" s="1813" t="str">
        <f t="shared" si="11"/>
        <v>商业类型</v>
      </c>
      <c r="R32" s="774" t="s">
        <v>17</v>
      </c>
      <c r="S32" s="775">
        <f t="shared" si="12"/>
        <v>100</v>
      </c>
      <c r="T32" s="774" t="s">
        <v>17</v>
      </c>
      <c r="U32" s="775">
        <f t="shared" si="13"/>
        <v>100</v>
      </c>
      <c r="V32" s="774" t="s">
        <v>17</v>
      </c>
      <c r="W32" s="775">
        <f t="shared" si="14"/>
        <v>100</v>
      </c>
      <c r="X32" s="1816"/>
      <c r="Y32" s="316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1"/>
      <c r="Q34" s="1813" t="str">
        <f t="shared" si="11"/>
        <v>建筑结构</v>
      </c>
      <c r="R34" s="774" t="s">
        <v>17</v>
      </c>
      <c r="S34" s="775">
        <f t="shared" si="12"/>
        <v>100</v>
      </c>
      <c r="T34" s="774" t="s">
        <v>17</v>
      </c>
      <c r="U34" s="775">
        <f t="shared" si="13"/>
        <v>100</v>
      </c>
      <c r="V34" s="774" t="s">
        <v>17</v>
      </c>
      <c r="W34" s="775">
        <f t="shared" si="14"/>
        <v>100</v>
      </c>
      <c r="X34" s="1816"/>
      <c r="Y34" s="316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1"/>
      <c r="Q35" s="1813" t="str">
        <f t="shared" si="11"/>
        <v>公共部分装修</v>
      </c>
      <c r="R35" s="774" t="s">
        <v>17</v>
      </c>
      <c r="S35" s="775">
        <f t="shared" si="12"/>
        <v>100</v>
      </c>
      <c r="T35" s="774" t="s">
        <v>17</v>
      </c>
      <c r="U35" s="775">
        <f t="shared" si="13"/>
        <v>100</v>
      </c>
      <c r="V35" s="774" t="s">
        <v>17</v>
      </c>
      <c r="W35" s="775">
        <f t="shared" si="14"/>
        <v>100</v>
      </c>
      <c r="X35" s="1816"/>
      <c r="Y35" s="316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1"/>
      <c r="Q36" s="1813" t="str">
        <f t="shared" si="11"/>
        <v>成新度</v>
      </c>
      <c r="R36" s="774" t="s">
        <v>17</v>
      </c>
      <c r="S36" s="775" t="e">
        <f t="shared" si="12"/>
        <v>#N/A</v>
      </c>
      <c r="T36" s="774" t="s">
        <v>17</v>
      </c>
      <c r="U36" s="775" t="e">
        <f t="shared" si="13"/>
        <v>#N/A</v>
      </c>
      <c r="V36" s="774" t="s">
        <v>17</v>
      </c>
      <c r="W36" s="775" t="e">
        <f t="shared" si="14"/>
        <v>#N/A</v>
      </c>
      <c r="X36" s="1816"/>
      <c r="Y36" s="316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1"/>
      <c r="Q37" s="1798"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1" t="s">
        <v>2566</v>
      </c>
      <c r="Q38" s="1813" t="str">
        <f t="shared" si="11"/>
        <v>业态</v>
      </c>
      <c r="R38" s="774" t="s">
        <v>17</v>
      </c>
      <c r="S38" s="775">
        <f t="shared" si="12"/>
        <v>100</v>
      </c>
      <c r="T38" s="774" t="s">
        <v>17</v>
      </c>
      <c r="U38" s="775">
        <f t="shared" si="13"/>
        <v>100</v>
      </c>
      <c r="V38" s="774" t="s">
        <v>17</v>
      </c>
      <c r="W38" s="775">
        <f t="shared" si="14"/>
        <v>100</v>
      </c>
      <c r="X38" s="1816"/>
      <c r="Y38" s="316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1"/>
      <c r="Q39" s="1813" t="str">
        <f t="shared" si="11"/>
        <v>层高</v>
      </c>
      <c r="R39" s="774" t="s">
        <v>17</v>
      </c>
      <c r="S39" s="775">
        <f t="shared" si="12"/>
        <v>100</v>
      </c>
      <c r="T39" s="774" t="s">
        <v>17</v>
      </c>
      <c r="U39" s="775">
        <f t="shared" si="13"/>
        <v>100</v>
      </c>
      <c r="V39" s="774" t="s">
        <v>17</v>
      </c>
      <c r="W39" s="775">
        <f t="shared" si="14"/>
        <v>100</v>
      </c>
      <c r="X39" s="1816"/>
      <c r="Y39" s="316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1"/>
      <c r="Q40" s="1813" t="str">
        <f t="shared" si="11"/>
        <v>单套建筑面积</v>
      </c>
      <c r="R40" s="774" t="s">
        <v>17</v>
      </c>
      <c r="S40" s="775">
        <f t="shared" si="12"/>
        <v>100</v>
      </c>
      <c r="T40" s="774" t="s">
        <v>17</v>
      </c>
      <c r="U40" s="775">
        <f t="shared" si="13"/>
        <v>100</v>
      </c>
      <c r="V40" s="774" t="s">
        <v>17</v>
      </c>
      <c r="W40" s="775">
        <f t="shared" si="14"/>
        <v>100</v>
      </c>
      <c r="X40" s="1816"/>
      <c r="Y40" s="316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1"/>
      <c r="Q42" s="1813" t="str">
        <f t="shared" si="11"/>
        <v>内部装修</v>
      </c>
      <c r="R42" s="774" t="s">
        <v>17</v>
      </c>
      <c r="S42" s="775">
        <f t="shared" si="12"/>
        <v>100</v>
      </c>
      <c r="T42" s="774" t="s">
        <v>17</v>
      </c>
      <c r="U42" s="775">
        <f t="shared" si="13"/>
        <v>100</v>
      </c>
      <c r="V42" s="774" t="s">
        <v>17</v>
      </c>
      <c r="W42" s="775">
        <f t="shared" si="14"/>
        <v>100</v>
      </c>
      <c r="X42" s="1816"/>
      <c r="Y42" s="316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1"/>
      <c r="Q43" s="1813" t="str">
        <f t="shared" si="11"/>
        <v>内部装修维护情况</v>
      </c>
      <c r="R43" s="774" t="s">
        <v>17</v>
      </c>
      <c r="S43" s="775">
        <f t="shared" si="12"/>
        <v>100</v>
      </c>
      <c r="T43" s="774" t="s">
        <v>17</v>
      </c>
      <c r="U43" s="775">
        <f t="shared" si="13"/>
        <v>100</v>
      </c>
      <c r="V43" s="774" t="s">
        <v>17</v>
      </c>
      <c r="W43" s="775">
        <f t="shared" si="14"/>
        <v>100</v>
      </c>
      <c r="X43" s="1816"/>
      <c r="Y43" s="316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1"/>
      <c r="Q44" s="1798">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1"/>
      <c r="Q45" s="1813">
        <f t="shared" si="11"/>
        <v>111</v>
      </c>
      <c r="R45" s="774" t="s">
        <v>17</v>
      </c>
      <c r="S45" s="775">
        <f t="shared" si="12"/>
        <v>100</v>
      </c>
      <c r="T45" s="774" t="s">
        <v>17</v>
      </c>
      <c r="U45" s="775">
        <f t="shared" si="13"/>
        <v>100</v>
      </c>
      <c r="V45" s="774" t="s">
        <v>17</v>
      </c>
      <c r="W45" s="775">
        <f t="shared" si="14"/>
        <v>100</v>
      </c>
      <c r="X45" s="1816"/>
      <c r="Y45" s="316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338.19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3" t="s">
        <v>2652</v>
      </c>
      <c r="Q4" s="3254"/>
      <c r="R4" s="3257" t="s">
        <v>2648</v>
      </c>
      <c r="S4" s="3258"/>
      <c r="T4" s="3257" t="s">
        <v>2649</v>
      </c>
      <c r="U4" s="3258"/>
      <c r="V4" s="3259" t="s">
        <v>2650</v>
      </c>
      <c r="W4" s="3259"/>
      <c r="X4" s="2675"/>
      <c r="Y4" s="3257" t="s">
        <v>2652</v>
      </c>
      <c r="Z4" s="3258"/>
      <c r="AA4" s="3261" t="s">
        <v>2648</v>
      </c>
      <c r="AB4" s="3261" t="s">
        <v>2649</v>
      </c>
      <c r="AC4" s="3250" t="s">
        <v>2650</v>
      </c>
    </row>
    <row r="5" spans="1:29" ht="15">
      <c r="A5" s="404"/>
      <c r="B5" s="405"/>
      <c r="C5" s="3195" t="s">
        <v>2543</v>
      </c>
      <c r="D5" s="3196"/>
      <c r="E5" s="3246" t="s">
        <v>2544</v>
      </c>
      <c r="F5" s="3191"/>
      <c r="G5" s="3195" t="s">
        <v>2545</v>
      </c>
      <c r="H5" s="3196"/>
      <c r="I5" s="3195" t="s">
        <v>2546</v>
      </c>
      <c r="J5" s="3196"/>
      <c r="K5" s="610"/>
      <c r="L5" s="1133"/>
      <c r="M5" s="1134"/>
      <c r="N5" s="1134"/>
      <c r="O5" s="1134"/>
      <c r="P5" s="3255"/>
      <c r="Q5" s="3178"/>
      <c r="R5" s="3183"/>
      <c r="S5" s="3184"/>
      <c r="T5" s="3183"/>
      <c r="U5" s="3184"/>
      <c r="V5" s="3187"/>
      <c r="W5" s="3187"/>
      <c r="X5" s="1816"/>
      <c r="Y5" s="3183"/>
      <c r="Z5" s="3184"/>
      <c r="AA5" s="3169"/>
      <c r="AB5" s="3169"/>
      <c r="AC5" s="3251"/>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256"/>
      <c r="Q6" s="3180"/>
      <c r="R6" s="3183"/>
      <c r="S6" s="3184"/>
      <c r="T6" s="3185"/>
      <c r="U6" s="3186"/>
      <c r="V6" s="3187"/>
      <c r="W6" s="3187"/>
      <c r="X6" s="1816"/>
      <c r="Y6" s="3185"/>
      <c r="Z6" s="3186"/>
      <c r="AA6" s="3170"/>
      <c r="AB6" s="3170"/>
      <c r="AC6" s="3252"/>
    </row>
    <row r="7" spans="1:29" s="117" customFormat="1" ht="15.75" thickBot="1">
      <c r="A7" s="408" t="s">
        <v>2549</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0"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0"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2561</v>
      </c>
      <c r="Q15" s="1813" t="str">
        <f t="shared" si="6"/>
        <v>办公集聚程度</v>
      </c>
      <c r="R15" s="774" t="s">
        <v>17</v>
      </c>
      <c r="S15" s="775">
        <f t="shared" si="0"/>
        <v>100</v>
      </c>
      <c r="T15" s="774" t="s">
        <v>17</v>
      </c>
      <c r="U15" s="775">
        <f t="shared" si="1"/>
        <v>100</v>
      </c>
      <c r="V15" s="774" t="s">
        <v>17</v>
      </c>
      <c r="W15" s="775">
        <f t="shared" si="2"/>
        <v>100</v>
      </c>
      <c r="X15" s="1816"/>
      <c r="Y15" s="3158"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6"/>
      <c r="Q22" s="1813"/>
      <c r="R22" s="774"/>
      <c r="S22" s="775"/>
      <c r="T22" s="774"/>
      <c r="U22" s="775"/>
      <c r="V22" s="774"/>
      <c r="W22" s="775"/>
      <c r="X22" s="1816"/>
      <c r="Y22" s="315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5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0" t="s">
        <v>2566</v>
      </c>
      <c r="Q33" s="1813" t="str">
        <f t="shared" si="11"/>
        <v>建筑类型</v>
      </c>
      <c r="R33" s="774" t="s">
        <v>17</v>
      </c>
      <c r="S33" s="775">
        <f t="shared" si="12"/>
        <v>100</v>
      </c>
      <c r="T33" s="774" t="s">
        <v>17</v>
      </c>
      <c r="U33" s="775">
        <f t="shared" si="13"/>
        <v>100</v>
      </c>
      <c r="V33" s="774" t="s">
        <v>17</v>
      </c>
      <c r="W33" s="775">
        <f t="shared" si="14"/>
        <v>100</v>
      </c>
      <c r="X33" s="1816"/>
      <c r="Y33" s="316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1"/>
      <c r="Q35" s="1813" t="str">
        <f t="shared" si="11"/>
        <v>建筑结构</v>
      </c>
      <c r="R35" s="774" t="s">
        <v>17</v>
      </c>
      <c r="S35" s="775">
        <f t="shared" si="12"/>
        <v>100</v>
      </c>
      <c r="T35" s="774" t="s">
        <v>17</v>
      </c>
      <c r="U35" s="775">
        <f t="shared" si="13"/>
        <v>100</v>
      </c>
      <c r="V35" s="774" t="s">
        <v>17</v>
      </c>
      <c r="W35" s="775">
        <f t="shared" si="14"/>
        <v>100</v>
      </c>
      <c r="X35" s="1816"/>
      <c r="Y35" s="316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1"/>
      <c r="Q36" s="1813" t="str">
        <f t="shared" si="11"/>
        <v>公共部分装修</v>
      </c>
      <c r="R36" s="774" t="s">
        <v>17</v>
      </c>
      <c r="S36" s="775">
        <f t="shared" si="12"/>
        <v>100</v>
      </c>
      <c r="T36" s="774" t="s">
        <v>17</v>
      </c>
      <c r="U36" s="775">
        <f t="shared" si="13"/>
        <v>100</v>
      </c>
      <c r="V36" s="774" t="s">
        <v>17</v>
      </c>
      <c r="W36" s="775">
        <f t="shared" si="14"/>
        <v>100</v>
      </c>
      <c r="X36" s="1816"/>
      <c r="Y36" s="316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1"/>
      <c r="Q37" s="1813" t="str">
        <f t="shared" si="11"/>
        <v>成新度</v>
      </c>
      <c r="R37" s="774" t="s">
        <v>17</v>
      </c>
      <c r="S37" s="775" t="e">
        <f t="shared" si="12"/>
        <v>#N/A</v>
      </c>
      <c r="T37" s="774" t="s">
        <v>17</v>
      </c>
      <c r="U37" s="775" t="e">
        <f t="shared" si="13"/>
        <v>#N/A</v>
      </c>
      <c r="V37" s="774" t="s">
        <v>17</v>
      </c>
      <c r="W37" s="775" t="e">
        <f t="shared" si="14"/>
        <v>#N/A</v>
      </c>
      <c r="X37" s="1816"/>
      <c r="Y37" s="316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1"/>
      <c r="Q38" s="1798"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1" t="s">
        <v>2566</v>
      </c>
      <c r="Q39" s="1813" t="str">
        <f t="shared" si="11"/>
        <v>物业管理</v>
      </c>
      <c r="R39" s="774" t="s">
        <v>17</v>
      </c>
      <c r="S39" s="775">
        <f t="shared" si="12"/>
        <v>100</v>
      </c>
      <c r="T39" s="774" t="s">
        <v>17</v>
      </c>
      <c r="U39" s="775">
        <f t="shared" si="13"/>
        <v>100</v>
      </c>
      <c r="V39" s="774" t="s">
        <v>17</v>
      </c>
      <c r="W39" s="775">
        <f t="shared" si="14"/>
        <v>100</v>
      </c>
      <c r="X39" s="1816"/>
      <c r="Y39" s="316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1"/>
      <c r="Q40" s="1813" t="str">
        <f t="shared" si="11"/>
        <v>市政基础设施</v>
      </c>
      <c r="R40" s="774" t="s">
        <v>17</v>
      </c>
      <c r="S40" s="775">
        <f t="shared" si="12"/>
        <v>100</v>
      </c>
      <c r="T40" s="774" t="s">
        <v>17</v>
      </c>
      <c r="U40" s="775">
        <f t="shared" si="13"/>
        <v>100</v>
      </c>
      <c r="V40" s="774" t="s">
        <v>17</v>
      </c>
      <c r="W40" s="775">
        <f t="shared" si="14"/>
        <v>100</v>
      </c>
      <c r="X40" s="1816"/>
      <c r="Y40" s="316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1"/>
      <c r="Q41" s="1813" t="str">
        <f t="shared" si="11"/>
        <v>层高</v>
      </c>
      <c r="R41" s="774" t="s">
        <v>17</v>
      </c>
      <c r="S41" s="775">
        <f t="shared" si="12"/>
        <v>100</v>
      </c>
      <c r="T41" s="774" t="s">
        <v>17</v>
      </c>
      <c r="U41" s="775">
        <f t="shared" si="13"/>
        <v>100</v>
      </c>
      <c r="V41" s="774" t="s">
        <v>17</v>
      </c>
      <c r="W41" s="775">
        <f t="shared" si="14"/>
        <v>100</v>
      </c>
      <c r="X41" s="1816"/>
      <c r="Y41" s="316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1"/>
      <c r="Q43" s="1813" t="str">
        <f t="shared" si="11"/>
        <v>内部装修</v>
      </c>
      <c r="R43" s="774" t="s">
        <v>17</v>
      </c>
      <c r="S43" s="775">
        <f t="shared" si="12"/>
        <v>100</v>
      </c>
      <c r="T43" s="774" t="s">
        <v>17</v>
      </c>
      <c r="U43" s="775">
        <f t="shared" si="13"/>
        <v>100</v>
      </c>
      <c r="V43" s="774" t="s">
        <v>17</v>
      </c>
      <c r="W43" s="775">
        <f t="shared" si="14"/>
        <v>100</v>
      </c>
      <c r="X43" s="1816"/>
      <c r="Y43" s="3163"/>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1"/>
      <c r="Q44" s="1813" t="str">
        <f t="shared" si="11"/>
        <v>内部装修维护情况</v>
      </c>
      <c r="R44" s="774" t="s">
        <v>17</v>
      </c>
      <c r="S44" s="775">
        <f t="shared" si="12"/>
        <v>100</v>
      </c>
      <c r="T44" s="774" t="s">
        <v>17</v>
      </c>
      <c r="U44" s="775">
        <f t="shared" si="13"/>
        <v>100</v>
      </c>
      <c r="V44" s="774" t="s">
        <v>17</v>
      </c>
      <c r="W44" s="775">
        <f t="shared" si="14"/>
        <v>100</v>
      </c>
      <c r="X44" s="1816"/>
      <c r="Y44" s="316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1"/>
      <c r="Q45" s="1798">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2"/>
      <c r="Q47" s="1813">
        <f t="shared" si="11"/>
        <v>111</v>
      </c>
      <c r="R47" s="774" t="s">
        <v>17</v>
      </c>
      <c r="S47" s="775">
        <f t="shared" si="12"/>
        <v>100</v>
      </c>
      <c r="T47" s="774" t="s">
        <v>17</v>
      </c>
      <c r="U47" s="775">
        <f t="shared" si="13"/>
        <v>100</v>
      </c>
      <c r="V47" s="774" t="s">
        <v>17</v>
      </c>
      <c r="W47" s="775">
        <f t="shared" si="14"/>
        <v>100</v>
      </c>
      <c r="X47" s="1816"/>
      <c r="Y47" s="316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7" t="str">
        <f>A50</f>
        <v>估价对象XX用房的比较价值（楼面单价，元/平方米）</v>
      </c>
      <c r="Q50" s="3248"/>
      <c r="R50" s="3249" t="e">
        <f>IF(F1="售价",ROUND(AVERAGE(R49:V49),0),ROUND(AVERAGE(R49:V49),1))</f>
        <v>#DIV/0!</v>
      </c>
      <c r="S50" s="3249"/>
      <c r="T50" s="3249"/>
      <c r="U50" s="3249"/>
      <c r="V50" s="3249"/>
      <c r="W50" s="3249"/>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估价对象为北京市房地产，为所有。根据《国有土地使用证》[]，估价对象（分摊）出让国有建设用地使用权面积为0平方米，建筑面积为338.19平方米。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估价对象为北京市房地产,属开发建设的，该项目尚在开发建设中。根据《国有土地使用证》[]，估价对象（分摊）出让国有建设用地使用权面积为0平方米，规划建筑面积为338.19平方米。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2019年3月20日（评估专业人员实地查勘之日）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商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338.19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2" t="s">
        <v>2566</v>
      </c>
      <c r="Q29" s="1813" t="str">
        <f t="shared" si="11"/>
        <v>建筑类型</v>
      </c>
      <c r="R29" s="774" t="s">
        <v>17</v>
      </c>
      <c r="S29" s="775">
        <f t="shared" si="12"/>
        <v>100</v>
      </c>
      <c r="T29" s="774" t="s">
        <v>17</v>
      </c>
      <c r="U29" s="775">
        <f t="shared" si="13"/>
        <v>100</v>
      </c>
      <c r="V29" s="774" t="s">
        <v>17</v>
      </c>
      <c r="W29" s="775">
        <f t="shared" si="14"/>
        <v>100</v>
      </c>
      <c r="X29" s="1816"/>
      <c r="Y29" s="316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3" t="str">
        <f t="shared" si="11"/>
        <v>建筑结构</v>
      </c>
      <c r="R31" s="774" t="s">
        <v>17</v>
      </c>
      <c r="S31" s="775">
        <f t="shared" si="12"/>
        <v>100</v>
      </c>
      <c r="T31" s="774" t="s">
        <v>17</v>
      </c>
      <c r="U31" s="775">
        <f t="shared" si="13"/>
        <v>100</v>
      </c>
      <c r="V31" s="774" t="s">
        <v>17</v>
      </c>
      <c r="W31" s="775">
        <f t="shared" si="14"/>
        <v>100</v>
      </c>
      <c r="X31" s="1816"/>
      <c r="Y31" s="316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3" t="str">
        <f t="shared" si="11"/>
        <v>公共部分装修</v>
      </c>
      <c r="R32" s="774" t="s">
        <v>17</v>
      </c>
      <c r="S32" s="775">
        <f t="shared" si="12"/>
        <v>100</v>
      </c>
      <c r="T32" s="774" t="s">
        <v>17</v>
      </c>
      <c r="U32" s="775">
        <f t="shared" si="13"/>
        <v>100</v>
      </c>
      <c r="V32" s="774" t="s">
        <v>17</v>
      </c>
      <c r="W32" s="775">
        <f t="shared" si="14"/>
        <v>100</v>
      </c>
      <c r="X32" s="1816"/>
      <c r="Y32" s="316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3" t="str">
        <f t="shared" si="11"/>
        <v>成新度</v>
      </c>
      <c r="R33" s="774" t="s">
        <v>17</v>
      </c>
      <c r="S33" s="775" t="e">
        <f t="shared" si="12"/>
        <v>#N/A</v>
      </c>
      <c r="T33" s="774" t="s">
        <v>17</v>
      </c>
      <c r="U33" s="775" t="e">
        <f t="shared" si="13"/>
        <v>#N/A</v>
      </c>
      <c r="V33" s="774" t="s">
        <v>17</v>
      </c>
      <c r="W33" s="775" t="e">
        <f t="shared" si="14"/>
        <v>#N/A</v>
      </c>
      <c r="X33" s="1816"/>
      <c r="Y33" s="316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8"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2566</v>
      </c>
      <c r="Q35" s="1813" t="str">
        <f t="shared" si="11"/>
        <v>市政基础设施</v>
      </c>
      <c r="R35" s="774" t="s">
        <v>17</v>
      </c>
      <c r="S35" s="775">
        <f t="shared" si="12"/>
        <v>100</v>
      </c>
      <c r="T35" s="774" t="s">
        <v>17</v>
      </c>
      <c r="U35" s="775">
        <f t="shared" si="13"/>
        <v>100</v>
      </c>
      <c r="V35" s="774" t="s">
        <v>17</v>
      </c>
      <c r="W35" s="775">
        <f t="shared" si="14"/>
        <v>100</v>
      </c>
      <c r="X35" s="1816"/>
      <c r="Y35" s="316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3" t="str">
        <f t="shared" si="11"/>
        <v>内部装修</v>
      </c>
      <c r="R36" s="774" t="s">
        <v>17</v>
      </c>
      <c r="S36" s="775">
        <f t="shared" si="12"/>
        <v>100</v>
      </c>
      <c r="T36" s="774" t="s">
        <v>17</v>
      </c>
      <c r="U36" s="775">
        <f t="shared" si="13"/>
        <v>100</v>
      </c>
      <c r="V36" s="774" t="s">
        <v>17</v>
      </c>
      <c r="W36" s="775">
        <f t="shared" si="14"/>
        <v>100</v>
      </c>
      <c r="X36" s="1816"/>
      <c r="Y36" s="316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3" t="str">
        <f t="shared" si="11"/>
        <v>内部装修状况</v>
      </c>
      <c r="R37" s="774" t="s">
        <v>17</v>
      </c>
      <c r="S37" s="775">
        <f t="shared" si="12"/>
        <v>100</v>
      </c>
      <c r="T37" s="774" t="s">
        <v>17</v>
      </c>
      <c r="U37" s="775">
        <f t="shared" si="13"/>
        <v>100</v>
      </c>
      <c r="V37" s="774" t="s">
        <v>17</v>
      </c>
      <c r="W37" s="775">
        <f t="shared" si="14"/>
        <v>100</v>
      </c>
      <c r="X37" s="1816"/>
      <c r="Y37" s="316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3">
        <f t="shared" si="11"/>
        <v>111</v>
      </c>
      <c r="R39" s="774" t="s">
        <v>17</v>
      </c>
      <c r="S39" s="775">
        <f t="shared" si="12"/>
        <v>100</v>
      </c>
      <c r="T39" s="774" t="s">
        <v>17</v>
      </c>
      <c r="U39" s="775">
        <f t="shared" si="13"/>
        <v>100</v>
      </c>
      <c r="V39" s="774" t="s">
        <v>17</v>
      </c>
      <c r="W39" s="775">
        <f t="shared" si="14"/>
        <v>100</v>
      </c>
      <c r="X39" s="1816"/>
      <c r="Y39" s="316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4"/>
      <c r="Q40" s="1813">
        <f t="shared" si="11"/>
        <v>111</v>
      </c>
      <c r="R40" s="774" t="s">
        <v>17</v>
      </c>
      <c r="S40" s="775">
        <f t="shared" si="12"/>
        <v>100</v>
      </c>
      <c r="T40" s="774" t="s">
        <v>17</v>
      </c>
      <c r="U40" s="775">
        <f t="shared" si="13"/>
        <v>100</v>
      </c>
      <c r="V40" s="774" t="s">
        <v>17</v>
      </c>
      <c r="W40" s="775">
        <f t="shared" si="14"/>
        <v>100</v>
      </c>
      <c r="X40" s="1816"/>
      <c r="Y40" s="316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2"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3" t="str">
        <f t="shared" si="11"/>
        <v>公共部分装修</v>
      </c>
      <c r="R28" s="774" t="s">
        <v>17</v>
      </c>
      <c r="S28" s="775">
        <f t="shared" si="12"/>
        <v>100</v>
      </c>
      <c r="T28" s="774" t="s">
        <v>17</v>
      </c>
      <c r="U28" s="775">
        <f t="shared" si="13"/>
        <v>100</v>
      </c>
      <c r="V28" s="774" t="s">
        <v>17</v>
      </c>
      <c r="W28" s="775">
        <f t="shared" si="14"/>
        <v>100</v>
      </c>
      <c r="X28" s="1816"/>
      <c r="Y28" s="316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3" t="str">
        <f t="shared" si="11"/>
        <v>成新率</v>
      </c>
      <c r="R29" s="774" t="s">
        <v>17</v>
      </c>
      <c r="S29" s="775" t="e">
        <f t="shared" si="12"/>
        <v>#N/A</v>
      </c>
      <c r="T29" s="774" t="s">
        <v>17</v>
      </c>
      <c r="U29" s="775" t="e">
        <f t="shared" si="13"/>
        <v>#N/A</v>
      </c>
      <c r="V29" s="774" t="s">
        <v>17</v>
      </c>
      <c r="W29" s="775" t="e">
        <f t="shared" si="14"/>
        <v>#N/A</v>
      </c>
      <c r="X29" s="1816"/>
      <c r="Y29" s="316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3" t="str">
        <f t="shared" si="11"/>
        <v>物业等级</v>
      </c>
      <c r="R30" s="774" t="s">
        <v>17</v>
      </c>
      <c r="S30" s="775">
        <f t="shared" si="12"/>
        <v>100</v>
      </c>
      <c r="T30" s="774" t="s">
        <v>17</v>
      </c>
      <c r="U30" s="775">
        <f t="shared" si="13"/>
        <v>100</v>
      </c>
      <c r="V30" s="774" t="s">
        <v>17</v>
      </c>
      <c r="W30" s="775">
        <f t="shared" si="14"/>
        <v>100</v>
      </c>
      <c r="X30" s="1816"/>
      <c r="Y30" s="316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8"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2566</v>
      </c>
      <c r="Q32" s="1813" t="str">
        <f t="shared" si="11"/>
        <v>车位类型</v>
      </c>
      <c r="R32" s="774" t="s">
        <v>17</v>
      </c>
      <c r="S32" s="775">
        <f t="shared" si="12"/>
        <v>100</v>
      </c>
      <c r="T32" s="774" t="s">
        <v>17</v>
      </c>
      <c r="U32" s="775">
        <f t="shared" si="13"/>
        <v>100</v>
      </c>
      <c r="V32" s="774" t="s">
        <v>17</v>
      </c>
      <c r="W32" s="775">
        <f t="shared" si="14"/>
        <v>100</v>
      </c>
      <c r="X32" s="1816"/>
      <c r="Y32" s="316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3" t="str">
        <f t="shared" si="11"/>
        <v>是否直接入户</v>
      </c>
      <c r="R33" s="774" t="s">
        <v>17</v>
      </c>
      <c r="S33" s="775">
        <f t="shared" si="12"/>
        <v>100</v>
      </c>
      <c r="T33" s="774" t="s">
        <v>17</v>
      </c>
      <c r="U33" s="775">
        <f t="shared" si="13"/>
        <v>100</v>
      </c>
      <c r="V33" s="774" t="s">
        <v>17</v>
      </c>
      <c r="W33" s="775">
        <f t="shared" si="14"/>
        <v>100</v>
      </c>
      <c r="X33" s="1816"/>
      <c r="Y33" s="316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3">
        <f t="shared" si="11"/>
        <v>111</v>
      </c>
      <c r="R36" s="774" t="s">
        <v>17</v>
      </c>
      <c r="S36" s="775">
        <f t="shared" si="12"/>
        <v>100</v>
      </c>
      <c r="T36" s="774" t="s">
        <v>17</v>
      </c>
      <c r="U36" s="775">
        <f t="shared" si="13"/>
        <v>100</v>
      </c>
      <c r="V36" s="774" t="s">
        <v>17</v>
      </c>
      <c r="W36" s="775">
        <f t="shared" si="14"/>
        <v>100</v>
      </c>
      <c r="X36" s="1816"/>
      <c r="Y36" s="316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2"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3" t="str">
        <f t="shared" si="11"/>
        <v>物业等级</v>
      </c>
      <c r="R28" s="774" t="s">
        <v>17</v>
      </c>
      <c r="S28" s="775">
        <f t="shared" si="12"/>
        <v>100</v>
      </c>
      <c r="T28" s="774" t="s">
        <v>17</v>
      </c>
      <c r="U28" s="775">
        <f t="shared" si="13"/>
        <v>100</v>
      </c>
      <c r="V28" s="774" t="s">
        <v>17</v>
      </c>
      <c r="W28" s="775">
        <f t="shared" si="14"/>
        <v>100</v>
      </c>
      <c r="X28" s="1816"/>
      <c r="Y28" s="316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3" t="str">
        <f t="shared" si="11"/>
        <v>有无电梯</v>
      </c>
      <c r="R29" s="774" t="s">
        <v>17</v>
      </c>
      <c r="S29" s="775">
        <f t="shared" si="12"/>
        <v>100</v>
      </c>
      <c r="T29" s="774" t="s">
        <v>17</v>
      </c>
      <c r="U29" s="775">
        <f t="shared" si="13"/>
        <v>100</v>
      </c>
      <c r="V29" s="774" t="s">
        <v>17</v>
      </c>
      <c r="W29" s="775">
        <f t="shared" si="14"/>
        <v>100</v>
      </c>
      <c r="X29" s="1816"/>
      <c r="Y29" s="316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3" t="str">
        <f t="shared" si="11"/>
        <v>建筑面积</v>
      </c>
      <c r="R30" s="774" t="s">
        <v>17</v>
      </c>
      <c r="S30" s="775" t="e">
        <f t="shared" si="12"/>
        <v>#N/A</v>
      </c>
      <c r="T30" s="774" t="s">
        <v>17</v>
      </c>
      <c r="U30" s="775" t="e">
        <f t="shared" si="13"/>
        <v>#N/A</v>
      </c>
      <c r="V30" s="774" t="s">
        <v>17</v>
      </c>
      <c r="W30" s="775" t="e">
        <f t="shared" si="14"/>
        <v>#N/A</v>
      </c>
      <c r="X30" s="1816"/>
      <c r="Y30" s="316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8"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2566</v>
      </c>
      <c r="Q32" s="1813">
        <f t="shared" si="11"/>
        <v>111</v>
      </c>
      <c r="R32" s="774" t="s">
        <v>17</v>
      </c>
      <c r="S32" s="775">
        <f t="shared" si="12"/>
        <v>100</v>
      </c>
      <c r="T32" s="774" t="s">
        <v>17</v>
      </c>
      <c r="U32" s="775">
        <f t="shared" si="13"/>
        <v>100</v>
      </c>
      <c r="V32" s="774" t="s">
        <v>17</v>
      </c>
      <c r="W32" s="775">
        <f t="shared" si="14"/>
        <v>100</v>
      </c>
      <c r="X32" s="1816"/>
      <c r="Y32" s="316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3">
        <f t="shared" si="11"/>
        <v>111</v>
      </c>
      <c r="R33" s="774" t="s">
        <v>17</v>
      </c>
      <c r="S33" s="775">
        <f t="shared" si="12"/>
        <v>100</v>
      </c>
      <c r="T33" s="774" t="s">
        <v>17</v>
      </c>
      <c r="U33" s="775">
        <f t="shared" si="13"/>
        <v>100</v>
      </c>
      <c r="V33" s="774" t="s">
        <v>17</v>
      </c>
      <c r="W33" s="775">
        <f t="shared" si="14"/>
        <v>100</v>
      </c>
      <c r="X33" s="1816"/>
      <c r="Y33" s="3163"/>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30"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30"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30" s="117" customFormat="1" ht="15.75" thickBot="1">
      <c r="A7" s="408" t="s">
        <v>2549</v>
      </c>
      <c r="B7" s="409"/>
      <c r="C7" s="410">
        <f>'数据-取费表'!B2</f>
        <v>43544</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122</v>
      </c>
      <c r="G10" s="463"/>
      <c r="H10" s="136">
        <f>ROUND(100/'数据-取费表'!G16,0)</f>
        <v>122</v>
      </c>
      <c r="I10" s="463"/>
      <c r="J10" s="136">
        <f>ROUND(100/'数据-取费表'!G16,0)</f>
        <v>122</v>
      </c>
      <c r="K10" s="672"/>
      <c r="L10" s="1138"/>
      <c r="M10" s="1139"/>
      <c r="N10" s="1139"/>
      <c r="O10" s="1140"/>
      <c r="P10" s="3156"/>
      <c r="Q10" s="1798" t="str">
        <f t="shared" si="6"/>
        <v>土地使用年限（年）</v>
      </c>
      <c r="R10" s="770" t="s">
        <v>17</v>
      </c>
      <c r="S10" s="771">
        <f t="shared" si="0"/>
        <v>122</v>
      </c>
      <c r="T10" s="770" t="s">
        <v>17</v>
      </c>
      <c r="U10" s="771">
        <f t="shared" si="1"/>
        <v>122</v>
      </c>
      <c r="V10" s="770" t="s">
        <v>17</v>
      </c>
      <c r="W10" s="771">
        <f t="shared" si="2"/>
        <v>122</v>
      </c>
      <c r="X10" s="772"/>
      <c r="Y10" s="3008"/>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2561</v>
      </c>
      <c r="Q15" s="1813" t="str">
        <f t="shared" si="6"/>
        <v>居住社区成熟度</v>
      </c>
      <c r="R15" s="774" t="s">
        <v>17</v>
      </c>
      <c r="S15" s="775">
        <f t="shared" si="0"/>
        <v>100</v>
      </c>
      <c r="T15" s="774" t="s">
        <v>17</v>
      </c>
      <c r="U15" s="775">
        <f t="shared" si="1"/>
        <v>100</v>
      </c>
      <c r="V15" s="774" t="s">
        <v>17</v>
      </c>
      <c r="W15" s="775">
        <f t="shared" si="2"/>
        <v>100</v>
      </c>
      <c r="X15" s="1816"/>
      <c r="Y15" s="315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2" t="s">
        <v>2566</v>
      </c>
      <c r="Q36" s="1813">
        <f t="shared" si="8"/>
        <v>111</v>
      </c>
      <c r="R36" s="774" t="s">
        <v>17</v>
      </c>
      <c r="S36" s="775">
        <f t="shared" si="10"/>
        <v>100</v>
      </c>
      <c r="T36" s="774" t="s">
        <v>17</v>
      </c>
      <c r="U36" s="775">
        <f t="shared" si="11"/>
        <v>100</v>
      </c>
      <c r="V36" s="774" t="s">
        <v>17</v>
      </c>
      <c r="W36" s="775">
        <f t="shared" si="12"/>
        <v>100</v>
      </c>
      <c r="X36" s="1816"/>
      <c r="Y36" s="316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3">
        <f t="shared" si="8"/>
        <v>111</v>
      </c>
      <c r="R37" s="777" t="s">
        <v>17</v>
      </c>
      <c r="S37" s="778">
        <f t="shared" si="10"/>
        <v>100</v>
      </c>
      <c r="T37" s="777" t="s">
        <v>17</v>
      </c>
      <c r="U37" s="778">
        <f t="shared" si="11"/>
        <v>100</v>
      </c>
      <c r="V37" s="777" t="s">
        <v>17</v>
      </c>
      <c r="W37" s="778">
        <f t="shared" si="12"/>
        <v>100</v>
      </c>
      <c r="X37" s="779"/>
      <c r="Y37" s="316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3"/>
      <c r="Q38" s="1813" t="str">
        <f>B38</f>
        <v>宗地面积</v>
      </c>
      <c r="R38" s="774" t="s">
        <v>17</v>
      </c>
      <c r="S38" s="775" t="e">
        <f t="shared" si="10"/>
        <v>#N/A</v>
      </c>
      <c r="T38" s="774" t="s">
        <v>17</v>
      </c>
      <c r="U38" s="775" t="e">
        <f t="shared" si="11"/>
        <v>#N/A</v>
      </c>
      <c r="V38" s="774" t="s">
        <v>17</v>
      </c>
      <c r="W38" s="775" t="e">
        <f t="shared" si="12"/>
        <v>#N/A</v>
      </c>
      <c r="X38" s="1816"/>
      <c r="Y38" s="316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3"/>
      <c r="Q39" s="1813" t="str">
        <f t="shared" ref="Q39:Q45" si="14">B39</f>
        <v>宗地形状</v>
      </c>
      <c r="R39" s="774" t="s">
        <v>17</v>
      </c>
      <c r="S39" s="775">
        <f t="shared" si="10"/>
        <v>100</v>
      </c>
      <c r="T39" s="774" t="s">
        <v>17</v>
      </c>
      <c r="U39" s="775">
        <f t="shared" si="11"/>
        <v>100</v>
      </c>
      <c r="V39" s="774" t="s">
        <v>17</v>
      </c>
      <c r="W39" s="775">
        <f t="shared" si="12"/>
        <v>100</v>
      </c>
      <c r="X39" s="1816"/>
      <c r="Y39" s="316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3"/>
      <c r="Q40" s="1813" t="str">
        <f t="shared" si="14"/>
        <v>临街宽度及深度</v>
      </c>
      <c r="R40" s="774" t="s">
        <v>17</v>
      </c>
      <c r="S40" s="775">
        <f t="shared" si="10"/>
        <v>100</v>
      </c>
      <c r="T40" s="774" t="s">
        <v>17</v>
      </c>
      <c r="U40" s="775">
        <f t="shared" si="11"/>
        <v>100</v>
      </c>
      <c r="V40" s="774" t="s">
        <v>17</v>
      </c>
      <c r="W40" s="775">
        <f t="shared" si="12"/>
        <v>100</v>
      </c>
      <c r="X40" s="1816"/>
      <c r="Y40" s="316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3"/>
      <c r="Q41" s="1813"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3" t="s">
        <v>2566</v>
      </c>
      <c r="Q42" s="1813" t="str">
        <f t="shared" si="14"/>
        <v>工程地质条件</v>
      </c>
      <c r="R42" s="774" t="s">
        <v>17</v>
      </c>
      <c r="S42" s="775">
        <f t="shared" si="10"/>
        <v>100</v>
      </c>
      <c r="T42" s="774" t="s">
        <v>17</v>
      </c>
      <c r="U42" s="775">
        <f t="shared" si="11"/>
        <v>100</v>
      </c>
      <c r="V42" s="774" t="s">
        <v>17</v>
      </c>
      <c r="W42" s="775">
        <f t="shared" si="12"/>
        <v>100</v>
      </c>
      <c r="X42" s="1816"/>
      <c r="Y42" s="316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3">
        <f t="shared" si="14"/>
        <v>111</v>
      </c>
      <c r="R43" s="774" t="s">
        <v>17</v>
      </c>
      <c r="S43" s="775">
        <f t="shared" si="10"/>
        <v>100</v>
      </c>
      <c r="T43" s="774" t="s">
        <v>17</v>
      </c>
      <c r="U43" s="775">
        <f t="shared" si="11"/>
        <v>100</v>
      </c>
      <c r="V43" s="774" t="s">
        <v>17</v>
      </c>
      <c r="W43" s="775">
        <f t="shared" si="12"/>
        <v>100</v>
      </c>
      <c r="X43" s="1816"/>
      <c r="Y43" s="316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3">
        <f t="shared" si="14"/>
        <v>111</v>
      </c>
      <c r="R44" s="774" t="s">
        <v>17</v>
      </c>
      <c r="S44" s="775">
        <f t="shared" si="10"/>
        <v>100</v>
      </c>
      <c r="T44" s="774" t="s">
        <v>17</v>
      </c>
      <c r="U44" s="775">
        <f t="shared" si="11"/>
        <v>100</v>
      </c>
      <c r="V44" s="774" t="s">
        <v>17</v>
      </c>
      <c r="W44" s="775">
        <f t="shared" si="12"/>
        <v>100</v>
      </c>
      <c r="X44" s="1816"/>
      <c r="Y44" s="316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3">
        <f t="shared" si="14"/>
        <v>111</v>
      </c>
      <c r="R45" s="777" t="s">
        <v>17</v>
      </c>
      <c r="S45" s="778">
        <f t="shared" si="10"/>
        <v>100</v>
      </c>
      <c r="T45" s="777" t="s">
        <v>17</v>
      </c>
      <c r="U45" s="778">
        <f t="shared" si="11"/>
        <v>100</v>
      </c>
      <c r="V45" s="777" t="s">
        <v>17</v>
      </c>
      <c r="W45" s="778">
        <f t="shared" si="12"/>
        <v>100</v>
      </c>
      <c r="X45" s="779"/>
      <c r="Y45" s="316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264" t="e">
        <f>ROUND(AVERAGE(R47:V47),0)</f>
        <v>#DIV/0!</v>
      </c>
      <c r="S48" s="3264"/>
      <c r="T48" s="3264"/>
      <c r="U48" s="3264"/>
      <c r="V48" s="3264"/>
      <c r="W48" s="32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5"/>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338.19</v>
      </c>
      <c r="F56" s="1106" t="e">
        <f t="shared" ref="F56:F65" si="15">ROUND(B56*E56/10000,0)</f>
        <v>#DIV/0!</v>
      </c>
      <c r="G56" s="3167"/>
      <c r="H56" s="3156"/>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6"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6"/>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6"/>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6"/>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338.19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195" t="s">
        <v>2543</v>
      </c>
      <c r="D5" s="3196"/>
      <c r="E5" s="3246" t="s">
        <v>2544</v>
      </c>
      <c r="F5" s="3191"/>
      <c r="G5" s="3195" t="s">
        <v>2545</v>
      </c>
      <c r="H5" s="3196"/>
      <c r="I5" s="3195"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267" t="s">
        <v>2798</v>
      </c>
      <c r="D6" s="3268"/>
      <c r="E6" s="3269" t="s">
        <v>2798</v>
      </c>
      <c r="F6" s="3270"/>
      <c r="G6" s="3267" t="s">
        <v>2798</v>
      </c>
      <c r="H6" s="3268"/>
      <c r="I6" s="3267" t="s">
        <v>2798</v>
      </c>
      <c r="J6" s="3268"/>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43544</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122</v>
      </c>
      <c r="G10" s="432"/>
      <c r="H10" s="136">
        <f>ROUND(100/'数据-取费表'!G16,0)</f>
        <v>122</v>
      </c>
      <c r="I10" s="432"/>
      <c r="J10" s="136">
        <f>ROUND(100/'数据-取费表'!G16,0)</f>
        <v>122</v>
      </c>
      <c r="K10" s="672"/>
      <c r="L10" s="1138"/>
      <c r="M10" s="1139"/>
      <c r="N10" s="1139"/>
      <c r="O10" s="1140"/>
      <c r="P10" s="3156"/>
      <c r="Q10" s="1798" t="str">
        <f t="shared" si="6"/>
        <v>土地使用年限（年）</v>
      </c>
      <c r="R10" s="770" t="s">
        <v>17</v>
      </c>
      <c r="S10" s="771">
        <f t="shared" si="0"/>
        <v>122</v>
      </c>
      <c r="T10" s="770" t="s">
        <v>17</v>
      </c>
      <c r="U10" s="771">
        <f t="shared" si="1"/>
        <v>122</v>
      </c>
      <c r="V10" s="770" t="s">
        <v>17</v>
      </c>
      <c r="W10" s="771">
        <f t="shared" si="2"/>
        <v>122</v>
      </c>
      <c r="X10" s="772"/>
      <c r="Y10" s="3008"/>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9"/>
      <c r="Q20" s="1813"/>
      <c r="R20" s="774"/>
      <c r="S20" s="775"/>
      <c r="T20" s="774"/>
      <c r="U20" s="775"/>
      <c r="V20" s="774"/>
      <c r="W20" s="775"/>
      <c r="X20" s="1816"/>
      <c r="Y20" s="315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2" t="s">
        <v>2566</v>
      </c>
      <c r="Q32" s="1813">
        <f t="shared" si="8"/>
        <v>111</v>
      </c>
      <c r="R32" s="774" t="s">
        <v>17</v>
      </c>
      <c r="S32" s="775">
        <f t="shared" si="10"/>
        <v>100</v>
      </c>
      <c r="T32" s="774" t="s">
        <v>17</v>
      </c>
      <c r="U32" s="775">
        <f t="shared" si="11"/>
        <v>100</v>
      </c>
      <c r="V32" s="774" t="s">
        <v>17</v>
      </c>
      <c r="W32" s="775">
        <f t="shared" si="12"/>
        <v>100</v>
      </c>
      <c r="X32" s="1816"/>
      <c r="Y32" s="316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3">
        <f t="shared" si="8"/>
        <v>111</v>
      </c>
      <c r="R33" s="777" t="s">
        <v>17</v>
      </c>
      <c r="S33" s="778">
        <f t="shared" si="10"/>
        <v>100</v>
      </c>
      <c r="T33" s="777" t="s">
        <v>17</v>
      </c>
      <c r="U33" s="778">
        <f t="shared" si="11"/>
        <v>100</v>
      </c>
      <c r="V33" s="777" t="s">
        <v>17</v>
      </c>
      <c r="W33" s="778">
        <f t="shared" si="12"/>
        <v>100</v>
      </c>
      <c r="X33" s="779"/>
      <c r="Y33" s="316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3" t="str">
        <f>B34</f>
        <v>宗地面积</v>
      </c>
      <c r="R34" s="774" t="s">
        <v>17</v>
      </c>
      <c r="S34" s="775" t="e">
        <f t="shared" si="10"/>
        <v>#N/A</v>
      </c>
      <c r="T34" s="774" t="s">
        <v>17</v>
      </c>
      <c r="U34" s="775" t="e">
        <f t="shared" si="11"/>
        <v>#N/A</v>
      </c>
      <c r="V34" s="774" t="s">
        <v>17</v>
      </c>
      <c r="W34" s="775" t="e">
        <f t="shared" si="12"/>
        <v>#N/A</v>
      </c>
      <c r="X34" s="1816"/>
      <c r="Y34" s="316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3"/>
      <c r="Q35" s="1813" t="str">
        <f t="shared" ref="Q35:Q40" si="14">B35</f>
        <v>宗地形状</v>
      </c>
      <c r="R35" s="774" t="s">
        <v>17</v>
      </c>
      <c r="S35" s="775">
        <f t="shared" si="10"/>
        <v>100</v>
      </c>
      <c r="T35" s="774" t="s">
        <v>17</v>
      </c>
      <c r="U35" s="775">
        <f t="shared" si="11"/>
        <v>100</v>
      </c>
      <c r="V35" s="774" t="s">
        <v>17</v>
      </c>
      <c r="W35" s="775">
        <f t="shared" si="12"/>
        <v>100</v>
      </c>
      <c r="X35" s="1816"/>
      <c r="Y35" s="316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3"/>
      <c r="Q36" s="1813"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3" t="s">
        <v>2566</v>
      </c>
      <c r="Q37" s="1813" t="str">
        <f t="shared" si="14"/>
        <v>工程地质条件</v>
      </c>
      <c r="R37" s="774" t="s">
        <v>17</v>
      </c>
      <c r="S37" s="775">
        <f t="shared" si="10"/>
        <v>100</v>
      </c>
      <c r="T37" s="774" t="s">
        <v>17</v>
      </c>
      <c r="U37" s="775">
        <f t="shared" si="11"/>
        <v>100</v>
      </c>
      <c r="V37" s="774" t="s">
        <v>17</v>
      </c>
      <c r="W37" s="775">
        <f t="shared" si="12"/>
        <v>100</v>
      </c>
      <c r="X37" s="1816"/>
      <c r="Y37" s="316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3">
        <f t="shared" si="14"/>
        <v>111</v>
      </c>
      <c r="R38" s="774" t="s">
        <v>17</v>
      </c>
      <c r="S38" s="775">
        <f t="shared" si="10"/>
        <v>100</v>
      </c>
      <c r="T38" s="774" t="s">
        <v>17</v>
      </c>
      <c r="U38" s="775">
        <f t="shared" si="11"/>
        <v>100</v>
      </c>
      <c r="V38" s="774" t="s">
        <v>17</v>
      </c>
      <c r="W38" s="775">
        <f t="shared" si="12"/>
        <v>100</v>
      </c>
      <c r="X38" s="1816"/>
      <c r="Y38" s="316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3">
        <f t="shared" si="14"/>
        <v>111</v>
      </c>
      <c r="R39" s="774" t="s">
        <v>17</v>
      </c>
      <c r="S39" s="775">
        <f t="shared" si="10"/>
        <v>100</v>
      </c>
      <c r="T39" s="774" t="s">
        <v>17</v>
      </c>
      <c r="U39" s="775">
        <f t="shared" si="11"/>
        <v>100</v>
      </c>
      <c r="V39" s="774" t="s">
        <v>17</v>
      </c>
      <c r="W39" s="775">
        <f t="shared" si="12"/>
        <v>100</v>
      </c>
      <c r="X39" s="1816"/>
      <c r="Y39" s="316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3">
        <f t="shared" si="14"/>
        <v>111</v>
      </c>
      <c r="R40" s="777" t="s">
        <v>17</v>
      </c>
      <c r="S40" s="778">
        <f t="shared" si="10"/>
        <v>100</v>
      </c>
      <c r="T40" s="777" t="s">
        <v>17</v>
      </c>
      <c r="U40" s="778">
        <f t="shared" si="11"/>
        <v>100</v>
      </c>
      <c r="V40" s="777" t="s">
        <v>17</v>
      </c>
      <c r="W40" s="778">
        <f t="shared" si="12"/>
        <v>100</v>
      </c>
      <c r="X40" s="779"/>
      <c r="Y40" s="316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6" t="str">
        <f>A42</f>
        <v>比较价值（元/平方米）</v>
      </c>
      <c r="Q42" s="3156"/>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264" t="e">
        <f>ROUND(AVERAGE(R42:V42),0)</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5"/>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338.19</v>
      </c>
      <c r="F51" s="691" t="e">
        <f t="shared" ref="F51:F60" si="15">ROUND(B51*E51/10000,0)</f>
        <v>#DIV/0!</v>
      </c>
      <c r="G51" s="3167"/>
      <c r="H51" s="3156"/>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6"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6"/>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6"/>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6"/>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f ca="1">SUMIF(B6:B13,"&lt;&gt;#ref!",B6:B13)</f>
        <v>497</v>
      </c>
      <c r="C2" s="2915" t="s">
        <v>2996</v>
      </c>
      <c r="D2" s="2915" t="s">
        <v>2997</v>
      </c>
      <c r="E2" s="2916">
        <f ca="1">SUMIF(E6:E13,"&lt;&gt;#ref!",E6:E13)</f>
        <v>338.19</v>
      </c>
    </row>
    <row r="3" spans="1:5" ht="15.75">
      <c r="A3" s="2915" t="s">
        <v>2998</v>
      </c>
      <c r="B3" s="2916">
        <f ca="1">ROUND(B2*10000/E2,0)</f>
        <v>14696</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497</v>
      </c>
      <c r="C6" s="2915" t="s">
        <v>2996</v>
      </c>
      <c r="D6" s="2917"/>
      <c r="E6" s="2582">
        <f ca="1">SUMIF(INDIRECT("'"&amp;A6&amp;"'"&amp;"!C:C"),"建筑面积",INDIRECT("'"&amp;A6&amp;"'"&amp;"!D:D"))</f>
        <v>338.19</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955</v>
      </c>
      <c r="E5" s="1962"/>
    </row>
    <row r="6" spans="1:5" ht="15.75">
      <c r="A6" s="1962"/>
      <c r="B6" s="2966"/>
      <c r="C6" s="1965" t="s">
        <v>1620</v>
      </c>
      <c r="D6" s="1043" t="str">
        <f ca="1">NUMBERSTRING(INT(D5*10000),2)&amp;"元整"</f>
        <v>玖佰伍拾伍万元整</v>
      </c>
      <c r="E6" s="1962"/>
    </row>
    <row r="7" spans="1:5" ht="15.75">
      <c r="A7" s="1962"/>
      <c r="B7" s="2971"/>
      <c r="C7" s="1966" t="s">
        <v>1621</v>
      </c>
      <c r="D7" s="1044" t="e">
        <f ca="1">结果表!H102</f>
        <v>#DIV/0!</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955</v>
      </c>
      <c r="E13" s="1962"/>
    </row>
    <row r="14" spans="1:5" ht="15.75">
      <c r="A14" s="1962"/>
      <c r="B14" s="2966"/>
      <c r="C14" s="1965" t="s">
        <v>1620</v>
      </c>
      <c r="D14" s="1043" t="str">
        <f ca="1">NUMBERSTRING(INT(D13*10000),2)&amp;"元整"</f>
        <v>玖佰伍拾伍万元整</v>
      </c>
      <c r="E14" s="1962"/>
    </row>
    <row r="15" spans="1:5" ht="15">
      <c r="A15" s="1962"/>
      <c r="B15" s="2971"/>
      <c r="C15" s="1966" t="s">
        <v>1630</v>
      </c>
      <c r="D15" s="1055">
        <f ca="1">结果表!H108</f>
        <v>28239</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214" workbookViewId="0">
      <selection activeCell="K45" sqref="K45"/>
    </sheetView>
  </sheetViews>
  <sheetFormatPr defaultRowHeight="13.5"/>
  <sheetData>
    <row r="14" spans="5:5">
      <c r="E14" s="2963"/>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1146</v>
      </c>
      <c r="C1" s="3277"/>
      <c r="D1" s="3277"/>
      <c r="E1" s="3277"/>
      <c r="F1" s="3277"/>
      <c r="G1" s="3276" t="s">
        <v>1147</v>
      </c>
      <c r="H1" s="3276"/>
      <c r="I1" s="3276"/>
      <c r="J1" s="3276"/>
      <c r="K1" s="3276"/>
      <c r="L1" s="3276"/>
      <c r="N1" s="3276" t="s">
        <v>1148</v>
      </c>
      <c r="O1" s="3276"/>
      <c r="P1" s="3276"/>
      <c r="Q1" s="3276"/>
      <c r="R1" s="1449"/>
      <c r="S1" s="3276" t="s">
        <v>1149</v>
      </c>
      <c r="T1" s="3276"/>
      <c r="U1" s="3276"/>
      <c r="V1" s="3276"/>
      <c r="X1" s="3275" t="s">
        <v>1150</v>
      </c>
      <c r="Y1" s="3276"/>
      <c r="Z1" s="3276"/>
      <c r="AA1" s="3276"/>
      <c r="AB1" s="3276"/>
      <c r="AD1" s="3275" t="s">
        <v>1151</v>
      </c>
      <c r="AE1" s="3276"/>
      <c r="AF1" s="3276"/>
      <c r="AG1" s="3276"/>
      <c r="AH1" s="327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3">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4" t="s">
        <v>3006</v>
      </c>
      <c r="D1" s="3285"/>
      <c r="E1" s="3285"/>
      <c r="F1" s="3285"/>
      <c r="G1" s="3285"/>
      <c r="H1" s="3285"/>
      <c r="I1" s="3285"/>
      <c r="J1" s="3285"/>
      <c r="K1" s="3285"/>
      <c r="L1" s="3285"/>
      <c r="M1" s="3285"/>
      <c r="N1" s="3285"/>
      <c r="O1" s="3285"/>
      <c r="P1" s="3285"/>
      <c r="Q1" s="3285"/>
      <c r="R1" s="3285"/>
      <c r="S1" s="3286"/>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5" t="s">
        <v>33</v>
      </c>
      <c r="D22" s="3146"/>
      <c r="E22" s="3146"/>
      <c r="F22" s="3146"/>
      <c r="G22" s="3146"/>
      <c r="H22" s="3146"/>
      <c r="I22" s="3146"/>
      <c r="J22" s="3146"/>
      <c r="K22" s="3146"/>
      <c r="L22" s="3146"/>
      <c r="M22" s="3146"/>
      <c r="N22" s="3146"/>
      <c r="O22" s="3146"/>
      <c r="P22" s="3146"/>
      <c r="Q22" s="328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30889</v>
      </c>
      <c r="C2" s="2" t="s">
        <v>133</v>
      </c>
      <c r="D2" s="243"/>
      <c r="E2" s="243"/>
      <c r="F2" s="243"/>
      <c r="G2" s="243"/>
    </row>
    <row r="3" spans="1:7" s="244" customFormat="1" ht="18" customHeight="1" thickBot="1">
      <c r="A3" s="247" t="s">
        <v>85</v>
      </c>
      <c r="B3" s="248">
        <f ca="1">ROUND(B2*10000/'数据-汇总表'!E3,0)</f>
        <v>913362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v>
      </c>
      <c r="D10" s="1035">
        <f>'数据-汇总表'!E6</f>
        <v>338.19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7</v>
      </c>
      <c r="D19" s="1039">
        <f>'数据-汇总表'!E3</f>
        <v>338.19</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101</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v>
      </c>
      <c r="D37" s="261">
        <f>'数据-汇总表'!E3</f>
        <v>338.19</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1E-3</v>
      </c>
      <c r="D44" s="282"/>
      <c r="E44" s="282"/>
      <c r="F44" s="283"/>
      <c r="G44" s="3152"/>
    </row>
    <row r="45" spans="1:7" s="258" customFormat="1" ht="13.5" customHeight="1">
      <c r="A45" s="951" t="s">
        <v>786</v>
      </c>
      <c r="B45" s="288" t="s">
        <v>112</v>
      </c>
      <c r="C45" s="289">
        <f>C46</f>
        <v>29</v>
      </c>
      <c r="D45" s="279">
        <f>C47</f>
        <v>5.0000000000000001E-3</v>
      </c>
      <c r="E45" s="280" t="s">
        <v>129</v>
      </c>
      <c r="F45" s="290"/>
      <c r="G45" s="291" t="s">
        <v>1069</v>
      </c>
    </row>
    <row r="46" spans="1:7" s="258" customFormat="1" ht="13.5" customHeight="1">
      <c r="A46" s="954" t="s">
        <v>794</v>
      </c>
      <c r="B46" s="292" t="s">
        <v>1062</v>
      </c>
      <c r="C46" s="293">
        <f>ROUND((C33+C39)*F27,0)</f>
        <v>29</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138</v>
      </c>
      <c r="D51" s="276"/>
      <c r="E51" s="276"/>
      <c r="F51" s="308"/>
      <c r="G51" s="278" t="s">
        <v>64</v>
      </c>
    </row>
    <row r="52" spans="1:7" s="252" customFormat="1" ht="16.5" thickBot="1">
      <c r="A52" s="309" t="s">
        <v>65</v>
      </c>
      <c r="B52" s="310"/>
      <c r="C52" s="311">
        <f ca="1">C31+C51</f>
        <v>30889</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7" t="s">
        <v>1634</v>
      </c>
      <c r="E3" s="1047" t="s">
        <v>1640</v>
      </c>
      <c r="F3" s="1047" t="s">
        <v>1634</v>
      </c>
      <c r="G3" s="1047" t="s">
        <v>1635</v>
      </c>
      <c r="H3" s="1047" t="s">
        <v>1634</v>
      </c>
      <c r="I3" s="1047" t="s">
        <v>1635</v>
      </c>
    </row>
    <row r="4" spans="1:9" ht="15">
      <c r="A4" s="1976" t="str">
        <f>项目基本情况!S2</f>
        <v>北京市房地产</v>
      </c>
      <c r="B4" s="1047">
        <f>项目基本情况!C17</f>
        <v>338.19</v>
      </c>
      <c r="C4" s="1047">
        <f>项目基本情况!C18</f>
        <v>0</v>
      </c>
      <c r="D4" s="1047" t="e">
        <f ca="1">结果表!D118</f>
        <v>#REF!</v>
      </c>
      <c r="E4" s="1047" t="e">
        <f ca="1">结果表!E118</f>
        <v>#DIV/0!</v>
      </c>
      <c r="F4" s="1047" t="e">
        <f ca="1">结果表!F118</f>
        <v>#REF!</v>
      </c>
      <c r="G4" s="1047" t="e">
        <f ca="1">结果表!G118</f>
        <v>#REF!</v>
      </c>
      <c r="H4" s="1047">
        <f ca="1">结果表!H118</f>
        <v>955</v>
      </c>
      <c r="I4" s="1047" t="e">
        <f ca="1">结果表!I118</f>
        <v>#DIV/0!</v>
      </c>
    </row>
    <row r="5" spans="1:9" ht="30" customHeight="1">
      <c r="A5" s="2979" t="s">
        <v>1636</v>
      </c>
      <c r="B5" s="2979"/>
      <c r="C5" s="2979"/>
      <c r="D5" s="2980" t="e">
        <f ca="1">结果表!D119</f>
        <v>#REF!</v>
      </c>
      <c r="E5" s="2980"/>
      <c r="F5" s="2980" t="e">
        <f ca="1">结果表!F119</f>
        <v>#REF!</v>
      </c>
      <c r="G5" s="2980"/>
      <c r="H5" s="2980" t="str">
        <f ca="1">结果表!H119</f>
        <v>玖佰伍拾伍万元整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955</v>
      </c>
      <c r="E8" s="2978"/>
      <c r="F8" s="2978"/>
      <c r="G8" s="2978"/>
      <c r="H8" s="2978"/>
      <c r="I8" s="2978"/>
    </row>
    <row r="9" spans="1:9" ht="15">
      <c r="A9" s="2979" t="s">
        <v>1636</v>
      </c>
      <c r="B9" s="2979"/>
      <c r="C9" s="2979"/>
      <c r="D9" s="2980" t="str">
        <f ca="1">结果表!D123</f>
        <v>玖佰伍拾伍万元整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43584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2019-04-29T09:33:11Z</dcterms:modified>
</cp:coreProperties>
</file>