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991" windowHeight="1214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<sst xmlns="http://schemas.openxmlformats.org/spreadsheetml/2006/main" count="8452" uniqueCount="2850">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</sst>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b/>
      <sz val="10"/>
      <color indexed="8"/>
      <name val="宋体"/>
      <charset val="134"/>
    </font>
    <font>
      <sz val="11"/>
      <color theme="1"/>
      <name val="宋体"/>
      <charset val="134"/>
    </font>
    <font>
      <i/>
      <sz val="14"/>
      <color theme="3" tint="0.399975585192419"/>
      <name val="宋体"/>
      <charset val="134"/>
    </font>
    <font>
      <sz val="9"/>
      <color indexed="8"/>
      <name val="宋体"/>
      <charset val="134"/>
    </font>
    <font>
      <sz val="14"/>
      <color theme="1"/>
      <name val="宋体"/>
      <charset val="134"/>
    </font>
    <font>
      <sz val="10"/>
      <color rgb="FF707070"/>
      <name val="宋体"/>
      <charset val="134"/>
    </font>
    <font>
      <b/>
      <sz val="11"/>
      <name val="宋体"/>
      <charset val="134"/>
    </font>
    <font>
      <sz val="11"/>
      <color theme="9" tint="-0.249977111117893"/>
      <name val="宋体"/>
      <charset val="134"/>
    </font>
    <font>
      <b/>
      <sz val="18"/>
      <color indexed="10"/>
      <name val="΢ȭхڬˎ̥"/>
      <charset val="134"/>
    </font>
    <font>
      <b/>
      <sz val="11"/>
      <color theme="1"/>
      <name val="宋体"/>
      <charset val="134"/>
    </font>
    <font>
      <sz val="14"/>
      <color rgb="FF000000"/>
      <name val="宋体"/>
      <charset val="134"/>
    </font>
    <font>
      <sz val="12"/>
      <color theme="9" tint="-0.249977111117893"/>
      <name val="宋体"/>
      <charset val="134"/>
    </font>
    <font>
      <sz val="10"/>
      <color rgb="FFFF0000"/>
      <name val="楷体_GB2312"/>
      <charset val="134"/>
    </font>
    <font>
      <sz val="12"/>
      <color indexed="8"/>
      <name val="宋体"/>
      <charset val="134"/>
    </font>
    <font>
      <b/>
      <sz val="10"/>
      <color indexed="10"/>
      <name val="宋体"/>
      <charset val="134"/>
    </font>
    <font>
      <sz val="10"/>
      <color theme="9" tint="-0.249977111117893"/>
      <name val="宋体"/>
      <charset val="134"/>
    </font>
    <font>
      <b/>
      <vertAlign val="subscript"/>
      <sz val="10"/>
      <name val="宋体"/>
      <charset val="134"/>
    </font>
    <font>
      <b/>
      <vertAlign val="subscript"/>
      <sz val="10"/>
      <name val="Arial"/>
      <charset val="134"/>
    </font>
    <font>
      <sz val="12"/>
      <color theme="1"/>
      <name val="宋体"/>
      <charset val="134"/>
    </font>
    <font>
      <b/>
      <i/>
      <sz val="14"/>
      <color theme="3" tint="0.399975585192419"/>
      <name val="宋体"/>
      <charset val="134"/>
    </font>
    <font>
      <sz val="10"/>
      <color indexed="10"/>
      <name val="宋体"/>
      <charset val="134"/>
    </font>
    <font>
      <sz val="9"/>
      <color indexed="8"/>
      <name val="仿宋_GB2312"/>
      <charset val="134"/>
    </font>
    <font>
      <sz val="8"/>
      <color indexed="8"/>
      <name val="仿宋_GB2312"/>
      <charset val="134"/>
    </font>
    <font>
      <b/>
      <sz val="14"/>
      <color theme="1"/>
      <name val="宋体"/>
      <charset val="134"/>
    </font>
    <font>
      <i/>
      <sz val="10"/>
      <name val="楷体_GB2312"/>
      <charset val="134"/>
    </font>
    <font>
      <sz val="12"/>
      <color rgb="FF000000"/>
      <name val="宋体"/>
      <charset val="134"/>
    </font>
    <font>
      <b/>
      <sz val="14"/>
      <color rgb="FFFF0000"/>
      <name val="宋体"/>
      <charset val="134"/>
    </font>
    <font>
      <b/>
      <sz val="11"/>
      <color indexed="10"/>
      <name val="宋体"/>
      <charset val="134"/>
    </font>
    <font>
      <sz val="10"/>
      <color rgb="FF000000"/>
      <name val="宋体"/>
      <charset val="134"/>
    </font>
    <font>
      <b/>
      <sz val="11"/>
      <color rgb="FFFF0000"/>
      <name val="宋体"/>
      <charset val="134"/>
    </font>
    <font>
      <b/>
      <sz val="10"/>
      <color indexed="53"/>
      <name val="宋体"/>
      <charset val="134"/>
    </font>
    <font>
      <b/>
      <i/>
      <sz val="11"/>
      <color theme="3" tint="0.399975585192419"/>
      <name val="宋体"/>
      <charset val="134"/>
    </font>
    <font>
      <b/>
      <sz val="12"/>
      <color indexed="8"/>
      <name val="宋体"/>
      <charset val="134"/>
    </font>
    <font>
      <b/>
      <vertAlign val="subscript"/>
      <sz val="10"/>
      <name val="楷体_GB2312"/>
      <charset val="134"/>
    </font>
    <font>
      <sz val="11"/>
      <color indexed="53"/>
      <name val="宋体"/>
      <charset val="134"/>
    </font>
    <font>
      <i/>
      <sz val="11"/>
      <color theme="3" tint="0.399975585192419"/>
      <name val="宋体"/>
      <charset val="134"/>
    </font>
    <font>
      <b/>
      <sz val="14"/>
      <color rgb="FF000000"/>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vertAlign val="subscript"/>
      <sz val="10"/>
      <color indexed="8"/>
      <name val="宋体"/>
      <charset val="134"/>
    </font>
    <font>
      <b/>
      <sz val="14"/>
      <color indexed="10"/>
      <name val="宋体"/>
      <charset val="134"/>
      <scheme val="minor"/>
    </font>
    <font>
      <sz val="10"/>
      <color indexed="8"/>
      <name val="楷体_GB2312"/>
      <charset val="134"/>
    </font>
    <font>
      <b/>
      <sz val="16"/>
      <color indexed="10"/>
      <name val="楷体_GB2312"/>
      <charset val="134"/>
    </font>
    <font>
      <i/>
      <sz val="10"/>
      <name val="宋体"/>
      <charset val="134"/>
    </font>
    <font>
      <b/>
      <sz val="10"/>
      <color indexed="10"/>
      <name val="楷体_GB2312"/>
      <charset val="134"/>
    </font>
    <font>
      <vertAlign val="subscript"/>
      <sz val="10"/>
      <color theme="1"/>
      <name val="Arial"/>
      <charset val="134"/>
    </font>
    <font>
      <sz val="8"/>
      <color indexed="8"/>
      <name val="宋体"/>
      <charset val="134"/>
    </font>
    <font>
      <b/>
      <sz val="18"/>
      <color theme="1"/>
      <name val="宋体"/>
      <charset val="134"/>
    </font>
    <font>
      <sz val="14"/>
      <color theme="9" tint="-0.249977111117893"/>
      <name val="宋体"/>
      <charset val="134"/>
    </font>
    <font>
      <sz val="10"/>
      <color indexed="53"/>
      <name val="宋体"/>
      <charset val="134"/>
    </font>
    <font>
      <vertAlign val="superscript"/>
      <sz val="10"/>
      <color indexed="8"/>
      <name val="Arial"/>
      <charset val="134"/>
    </font>
    <font>
      <vertAlign val="superscript"/>
      <sz val="10"/>
      <color theme="1"/>
      <name val="Arial"/>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6"/>
      <name val="宋体"/>
      <charset val="134"/>
    </font>
    <font>
      <sz val="9"/>
      <name val="宋体"/>
      <charset val="134"/>
    </font>
    <font>
      <sz val="12"/>
      <name val="仿宋_GB2312"/>
      <charset val="134"/>
    </font>
    <font>
      <sz val="14"/>
      <name val="楷体_GB2312"/>
      <charset val="134"/>
    </font>
    <font>
      <b/>
      <sz val="12"/>
      <name val="宋体"/>
      <charset val="134"/>
    </font>
    <font>
      <sz val="12"/>
      <name val="宋体"/>
      <charset val="0"/>
      <scheme val="minor"/>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133985</xdr:rowOff>
    </xdr:from>
    <xdr:to>
      <xdr:col>9</xdr:col>
      <xdr:colOff>115570</xdr:colOff>
      <xdr:row>19</xdr:row>
      <xdr:rowOff>128270</xdr:rowOff>
    </xdr:to>
    <xdr:pic>
      <xdr:nvPicPr>
        <xdr:cNvPr id="7" name="图片 6"/>
        <xdr:cNvPicPr>
          <a:picLocks noChangeAspect="1"/>
        </xdr:cNvPicPr>
      </xdr:nvPicPr>
      <xdr:blipFill>
        <a:blip r:embed="rId1"/>
        <a:stretch>
          <a:fillRect/>
        </a:stretch>
      </xdr:blipFill>
      <xdr:spPr>
        <a:xfrm>
          <a:off x="635" y="2332355"/>
          <a:ext cx="7235825" cy="1640205"/>
        </a:xfrm>
        <a:prstGeom prst="rect">
          <a:avLst/>
        </a:prstGeom>
        <a:noFill/>
        <a:ln w="9525">
          <a:noFill/>
        </a:ln>
      </xdr:spPr>
    </xdr:pic>
    <xdr:clientData/>
  </xdr:twoCellAnchor>
  <xdr:twoCellAnchor editAs="oneCell">
    <xdr:from>
      <xdr:col>0</xdr:col>
      <xdr:colOff>28575</xdr:colOff>
      <xdr:row>18</xdr:row>
      <xdr:rowOff>122555</xdr:rowOff>
    </xdr:from>
    <xdr:to>
      <xdr:col>9</xdr:col>
      <xdr:colOff>163195</xdr:colOff>
      <xdr:row>27</xdr:row>
      <xdr:rowOff>80645</xdr:rowOff>
    </xdr:to>
    <xdr:pic>
      <xdr:nvPicPr>
        <xdr:cNvPr id="8" name="图片 7"/>
        <xdr:cNvPicPr>
          <a:picLocks noChangeAspect="1"/>
        </xdr:cNvPicPr>
      </xdr:nvPicPr>
      <xdr:blipFill>
        <a:blip r:embed="rId2"/>
        <a:stretch>
          <a:fillRect/>
        </a:stretch>
      </xdr:blipFill>
      <xdr:spPr>
        <a:xfrm>
          <a:off x="28575" y="3783965"/>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twoCellAnchor editAs="oneCell">
    <xdr:from>
      <xdr:col>9</xdr:col>
      <xdr:colOff>118110</xdr:colOff>
      <xdr:row>10</xdr:row>
      <xdr:rowOff>152400</xdr:rowOff>
    </xdr:from>
    <xdr:to>
      <xdr:col>21</xdr:col>
      <xdr:colOff>422910</xdr:colOff>
      <xdr:row>32</xdr:row>
      <xdr:rowOff>102235</xdr:rowOff>
    </xdr:to>
    <xdr:pic>
      <xdr:nvPicPr>
        <xdr:cNvPr id="2" name="图片 1"/>
        <xdr:cNvPicPr>
          <a:picLocks noChangeAspect="1"/>
        </xdr:cNvPicPr>
      </xdr:nvPicPr>
      <xdr:blipFill>
        <a:blip r:embed="rId5"/>
        <a:stretch>
          <a:fillRect/>
        </a:stretch>
      </xdr:blipFill>
      <xdr:spPr>
        <a:xfrm>
          <a:off x="7239000" y="2350770"/>
          <a:ext cx="8115935" cy="397319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J21" sqref="J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63538</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48</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19" sqref="U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63538</v>
      </c>
      <c r="F6" s="2803">
        <f>SUMIF(项目基本情况!C$12:I$12,C6,项目基本情况!C$15:I$15)</f>
        <v>48</v>
      </c>
      <c r="G6" s="2804">
        <f>IF(ISERROR(ROUND(POWER(1+H6,D6-F6)*(POWER(1+H6,F6)-1)/(POWER(1+H6,D6)-1),3)),0,ROUND(POWER(1+H6,D6-F6)*(POWER(1+H6,F6)-1)/(POWER(1+H6,D6)-1),3))</f>
        <v>0.906</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5469</v>
      </c>
      <c r="V6" s="2816">
        <v>0.015</v>
      </c>
      <c r="W6" s="2816">
        <v>0.05</v>
      </c>
      <c r="X6" s="2817"/>
      <c r="Y6" s="2818">
        <f>N6</f>
        <v>0.79</v>
      </c>
      <c r="Z6" s="2819"/>
      <c r="AA6" s="2806"/>
      <c r="AB6" s="2806"/>
      <c r="AC6" s="2817"/>
      <c r="AD6" s="2820"/>
      <c r="AE6" s="2821">
        <f ca="1">IF(AN6="",0,SUMIF(INDIRECT("'"&amp;AN6&amp;"'"&amp;"!E:E"),$AE$5,INDIRECT("'"&amp;AN6&amp;"'"&amp;"!F:F")))</f>
        <v>48</v>
      </c>
      <c r="AF6" s="2385"/>
      <c r="AG6" s="1367">
        <f ca="1">IF(AF6="",0,AE6-AF6)</f>
        <v>0</v>
      </c>
      <c r="AH6" s="2822">
        <v>1</v>
      </c>
      <c r="AI6" s="2823">
        <v>12</v>
      </c>
      <c r="AJ6" s="2385"/>
      <c r="AK6" s="2824">
        <v>0.01</v>
      </c>
      <c r="AL6" s="2825">
        <v>0.002</v>
      </c>
      <c r="AM6" s="2826">
        <v>0.01</v>
      </c>
      <c r="AN6" s="2827" t="s">
        <v>266</v>
      </c>
      <c r="AO6" s="744">
        <f ca="1">SUMIF(INDIRECT("'"&amp;AN6&amp;"'"&amp;"!A:A"),"总价",INDIRECT("'"&amp;AN6&amp;"'"&amp;"!B:B"))</f>
        <v>140.3546</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0.906</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I6" sqref="I6"/>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140.3546</v>
      </c>
      <c r="D19" s="1049">
        <f ca="1">SUMIF(INDIRECT("'"&amp;D4&amp;"'"&amp;"!A:A"),结果表!B19,INDIRECT("'"&amp;D4&amp;"'"&amp;"!B:B"))</f>
        <v>321.413</v>
      </c>
      <c r="E19" s="929" t="s">
        <v>785</v>
      </c>
      <c r="F19" s="2397" t="s">
        <v>784</v>
      </c>
      <c r="G19" s="2399">
        <f ca="1">ROUND(C19*$C$18+D19*$D$18,0)</f>
        <v>285</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19016</v>
      </c>
      <c r="D20" s="1367">
        <f ca="1">SUMIF(INDIRECT("'"&amp;D4&amp;"'"&amp;"!A:A"),结果表!B20,INDIRECT("'"&amp;D4&amp;"'"&amp;"!B:B"))</f>
        <v>43546</v>
      </c>
      <c r="E20" s="2401"/>
      <c r="F20" s="2402" t="s">
        <v>787</v>
      </c>
      <c r="G20" s="2403">
        <f ca="1">ROUND(C20*$C$18+D20*$D$18,0)</f>
        <v>38640</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1.29000688256744</v>
      </c>
      <c r="E22" s="638"/>
      <c r="F22" s="638"/>
      <c r="G22" s="638">
        <f ca="1">G20*'数据-汇总表'!E3</f>
        <v>2852018.4</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38640</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140.3546</v>
      </c>
      <c r="D102" s="2635">
        <f ca="1">IF(D32="楼面单价",ROUND(D19,0),D19)</f>
        <v>321.413</v>
      </c>
      <c r="E102" s="2636"/>
      <c r="F102" s="2637"/>
      <c r="G102" s="2638" t="s">
        <v>99</v>
      </c>
      <c r="H102" s="2516" t="e">
        <f ca="1">I118</f>
        <v>#REF!</v>
      </c>
      <c r="I102" s="638"/>
    </row>
    <row r="103" ht="42.75" customHeight="1" spans="1:35">
      <c r="A103" s="2640"/>
      <c r="B103" s="2641" t="s">
        <v>99</v>
      </c>
      <c r="C103" s="2642">
        <f ca="1">C20</f>
        <v>19016</v>
      </c>
      <c r="D103" s="2643">
        <f ca="1">D20</f>
        <v>43546</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0.9346</v>
      </c>
      <c r="D24" s="2066" t="s">
        <v>1412</v>
      </c>
      <c r="E24" s="2067">
        <f>存贷款利率!E27/100</f>
        <v>0.0435</v>
      </c>
      <c r="F24" s="2066" t="s">
        <v>1413</v>
      </c>
      <c r="G24" s="2068">
        <f>SUMIF(M30:Q30,E2,M33:Q33)</f>
        <v>0.05</v>
      </c>
      <c r="H24" s="2066" t="s">
        <v>1414</v>
      </c>
      <c r="I24" s="2069">
        <f>SUMIF('数据-取费表'!C6:C15,E2,'数据-取费表'!F6:F15)/COUNTIF('数据-取费表'!C6:C15,E2)</f>
        <v>48</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F42" sqref="F4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48</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140.3546</v>
      </c>
      <c r="C2" s="1616" t="s">
        <v>1128</v>
      </c>
      <c r="D2" s="1617">
        <f ca="1">C40+J29+L46</f>
        <v>1403546</v>
      </c>
      <c r="E2" s="1618" t="s">
        <v>1526</v>
      </c>
      <c r="F2" s="1619"/>
      <c r="G2" s="1620"/>
      <c r="H2" s="1621"/>
      <c r="I2" s="1621"/>
      <c r="J2" s="1621"/>
      <c r="K2" s="1622"/>
      <c r="L2" s="1621"/>
      <c r="M2" s="1621"/>
    </row>
    <row r="3" ht="18" customHeight="1" spans="1:37">
      <c r="A3" s="1623" t="s">
        <v>1129</v>
      </c>
      <c r="B3" s="1624">
        <f ca="1">IF(ISERROR(D2/F43),0,ROUND(D2/F43,0))</f>
        <v>19016</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62425</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62347</v>
      </c>
      <c r="D6" s="1641" t="s">
        <v>1527</v>
      </c>
      <c r="E6" s="1642" t="s">
        <v>1141</v>
      </c>
      <c r="F6" s="1643">
        <f ca="1">INDIRECT("'数据-取费表'!u"&amp;$G$1)</f>
        <v>5469</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0.05</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78</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6503</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1484</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624</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55922</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1403546</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48</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19016</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-148.9405</v>
      </c>
      <c r="D45" s="1756" t="s">
        <v>1534</v>
      </c>
      <c r="E45" s="1751"/>
      <c r="F45" s="1751"/>
      <c r="O45" s="1757" t="s">
        <v>1225</v>
      </c>
      <c r="P45" s="1750"/>
      <c r="Q45" s="1750"/>
      <c r="R45" s="1750"/>
    </row>
    <row r="46" s="1603" customFormat="1" ht="13.95" spans="1:18">
      <c r="A46" s="1758" t="s">
        <v>1226</v>
      </c>
      <c r="C46" s="1759">
        <f ca="1">ROUND(C45,0)</f>
        <v>-149</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1403546</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48</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750830</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48</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48</v>
      </c>
      <c r="K53" s="1818" t="s">
        <v>1263</v>
      </c>
      <c r="L53" s="1819"/>
      <c r="O53" s="1777" t="s">
        <v>1088</v>
      </c>
      <c r="P53" s="1778" t="s">
        <v>1264</v>
      </c>
      <c r="Q53" s="1779">
        <f ca="1">Q47+Q48</f>
        <v>1403546</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8</v>
      </c>
      <c r="O56" s="1777" t="s">
        <v>983</v>
      </c>
      <c r="P56" s="1778" t="s">
        <v>1234</v>
      </c>
      <c r="Q56" s="1779">
        <f ca="1">C40+J29</f>
        <v>1403546</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0.9346</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0.9346</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1403546</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1403546</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750830</v>
      </c>
      <c r="R67" s="1779" t="s">
        <v>1294</v>
      </c>
    </row>
    <row r="68" s="1603" customFormat="1" ht="17.55" spans="1:18">
      <c r="A68" s="1862" t="s">
        <v>1204</v>
      </c>
      <c r="B68" s="1863" t="s">
        <v>1221</v>
      </c>
      <c r="C68" s="1644">
        <f ca="1">ROUND(C67*(1-((1+F70)/(1+F68))^F69)/(F68-F70),0)</f>
        <v>-85859</v>
      </c>
      <c r="D68" s="1852" t="s">
        <v>1206</v>
      </c>
      <c r="E68" s="1836" t="s">
        <v>1207</v>
      </c>
      <c r="F68" s="1654">
        <f ca="1">F40</f>
        <v>0.045</v>
      </c>
      <c r="O68" s="1797" t="s">
        <v>1250</v>
      </c>
      <c r="P68" s="1864" t="s">
        <v>1295</v>
      </c>
      <c r="Q68" s="1779">
        <f ca="1">ROUND(Q69-Q70*Q71,0)</f>
        <v>37935</v>
      </c>
      <c r="R68" s="1779" t="s">
        <v>1296</v>
      </c>
    </row>
    <row r="69" s="1603" customFormat="1" ht="13.95" spans="1:18">
      <c r="A69" s="1865"/>
      <c r="B69" s="1866"/>
      <c r="C69" s="1652"/>
      <c r="D69" s="1867" t="s">
        <v>1210</v>
      </c>
      <c r="E69" s="1836" t="s">
        <v>1211</v>
      </c>
      <c r="F69" s="1727">
        <f ca="1">F41</f>
        <v>48</v>
      </c>
      <c r="O69" s="1797" t="s">
        <v>1297</v>
      </c>
      <c r="P69" s="1864" t="s">
        <v>1298</v>
      </c>
      <c r="Q69" s="1779">
        <f ca="1">C39</f>
        <v>55922</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-1163</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0.9346</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1403546</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0.678</v>
      </c>
    </row>
    <row r="80" spans="1:18">
      <c r="B80" s="1875" t="s">
        <v>1310</v>
      </c>
      <c r="C80" s="441">
        <f ca="1">ROUND(C75/C39,3)</f>
        <v>0.322</v>
      </c>
    </row>
    <row r="81" spans="2:3">
      <c r="B81" s="438" t="s">
        <v>1311</v>
      </c>
      <c r="C81" s="405"/>
    </row>
    <row r="82" spans="2:3">
      <c r="B82" s="440" t="s">
        <v>1062</v>
      </c>
      <c r="C82" s="442">
        <f ca="1">1-C83</f>
        <v>0.786</v>
      </c>
    </row>
    <row r="83" spans="2:3">
      <c r="B83" s="440" t="s">
        <v>1063</v>
      </c>
      <c r="C83" s="441">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140.3546</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19016</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140.3546</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view="pageBreakPreview" zoomScale="90" zoomScaleNormal="60" topLeftCell="A19" workbookViewId="0">
      <selection activeCell="F55" sqref="F55"/>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0.5469</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74.1</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96</v>
      </c>
      <c r="G26" s="834" t="s">
        <v>1702</v>
      </c>
      <c r="H26" s="773">
        <f>SUMIF(88:88,G26,89:89)-SUMIF(88:88,C26,89:89)+100</f>
        <v>96</v>
      </c>
      <c r="I26" s="834" t="s">
        <v>1703</v>
      </c>
      <c r="J26" s="773">
        <f>SUMIF(88:88,I26,89:89)-SUMIF(88:88,C26,89:89)+100</f>
        <v>101</v>
      </c>
      <c r="K26" s="1319">
        <v>1</v>
      </c>
      <c r="L26" s="774"/>
      <c r="M26" s="699"/>
      <c r="N26" s="699"/>
      <c r="O26" s="699"/>
      <c r="P26" s="809"/>
      <c r="Q26" s="751" t="str">
        <f t="shared" si="25"/>
        <v>朝向</v>
      </c>
      <c r="R26" s="786" t="s">
        <v>1682</v>
      </c>
      <c r="S26" s="787">
        <f t="shared" ref="S26:W26" si="32">F26</f>
        <v>96</v>
      </c>
      <c r="T26" s="786" t="s">
        <v>1682</v>
      </c>
      <c r="U26" s="787">
        <f t="shared" si="32"/>
        <v>96</v>
      </c>
      <c r="V26" s="786" t="s">
        <v>1682</v>
      </c>
      <c r="W26" s="787">
        <f t="shared" si="32"/>
        <v>101</v>
      </c>
      <c r="X26" s="705"/>
      <c r="Y26" s="793"/>
      <c r="Z26" s="704" t="str">
        <f t="shared" si="27"/>
        <v>朝向</v>
      </c>
      <c r="AA26" s="704">
        <f t="shared" si="28"/>
        <v>1.04166666666667</v>
      </c>
      <c r="AB26" s="704">
        <f t="shared" si="29"/>
        <v>1.04166666666667</v>
      </c>
      <c r="AC26" s="704">
        <f t="shared" si="30"/>
        <v>0.99009900990099</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104</v>
      </c>
      <c r="G32" s="1095" t="s">
        <v>1714</v>
      </c>
      <c r="H32" s="694">
        <f>SUMIF(100:100,G32,101:101)-SUMIF(100:100,C32,101:101)+100</f>
        <v>104</v>
      </c>
      <c r="I32" s="1095" t="s">
        <v>1714</v>
      </c>
      <c r="J32" s="773">
        <f>SUMIF(100:100,I32,101:101)-SUMIF(100:100,C32,101:101)+100</f>
        <v>104</v>
      </c>
      <c r="K32" s="1319">
        <v>2</v>
      </c>
      <c r="L32" s="774"/>
      <c r="M32" s="699"/>
      <c r="N32" s="699"/>
      <c r="O32" s="699"/>
      <c r="P32" s="1241" t="s">
        <v>1715</v>
      </c>
      <c r="Q32" s="751" t="str">
        <f t="shared" si="25"/>
        <v>建筑类型</v>
      </c>
      <c r="R32" s="786" t="s">
        <v>1682</v>
      </c>
      <c r="S32" s="787">
        <f t="shared" ref="S32:W32" si="38">F32</f>
        <v>104</v>
      </c>
      <c r="T32" s="786" t="s">
        <v>1682</v>
      </c>
      <c r="U32" s="787">
        <f t="shared" si="38"/>
        <v>104</v>
      </c>
      <c r="V32" s="786" t="s">
        <v>1682</v>
      </c>
      <c r="W32" s="787">
        <f t="shared" si="38"/>
        <v>104</v>
      </c>
      <c r="X32" s="705"/>
      <c r="Y32" s="818" t="s">
        <v>1715</v>
      </c>
      <c r="Z32" s="704" t="str">
        <f t="shared" si="27"/>
        <v>建筑类型</v>
      </c>
      <c r="AA32" s="704">
        <f t="shared" si="28"/>
        <v>0.961538461538462</v>
      </c>
      <c r="AB32" s="704">
        <f t="shared" si="29"/>
        <v>0.961538461538462</v>
      </c>
      <c r="AC32" s="704">
        <f t="shared" si="30"/>
        <v>0.961538461538462</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74.1</v>
      </c>
      <c r="D48" s="856" t="s">
        <v>1731</v>
      </c>
      <c r="E48" s="1108">
        <f t="shared" ref="E48:I48" si="55">R48</f>
        <v>78.8</v>
      </c>
      <c r="F48" s="857"/>
      <c r="G48" s="1107">
        <f t="shared" si="55"/>
        <v>68.5</v>
      </c>
      <c r="H48" s="857"/>
      <c r="I48" s="1108">
        <f t="shared" si="55"/>
        <v>75.1</v>
      </c>
      <c r="J48" s="857"/>
      <c r="K48" s="1330">
        <f>F48+H48+J48</f>
        <v>0</v>
      </c>
      <c r="L48" s="850"/>
      <c r="M48" s="699"/>
      <c r="N48" s="699"/>
      <c r="O48" s="699"/>
      <c r="P48" s="751" t="str">
        <f t="shared" si="53"/>
        <v>比较价值（元/平方米）</v>
      </c>
      <c r="Q48" s="751"/>
      <c r="R48" s="704">
        <f>IF(F1="售价",ROUND(PRODUCT(R47,AA7:AA46),0),ROUND(PRODUCT(R47,AA7:AA46),1))</f>
        <v>78.8</v>
      </c>
      <c r="S48" s="704"/>
      <c r="T48" s="704">
        <f>IF(F1="售价",ROUND(PRODUCT(T47,AB7:AB46),0),ROUND(PRODUCT(T47,AB7:AB46),1))</f>
        <v>68.5</v>
      </c>
      <c r="U48" s="704"/>
      <c r="V48" s="704">
        <f>IF(F1="售价",ROUND(PRODUCT(V47,AC7:AC46),0),ROUND(PRODUCT(V47,AC7:AC46),1))</f>
        <v>75.1</v>
      </c>
      <c r="W48" s="704"/>
      <c r="X48" s="851"/>
      <c r="Y48" s="851"/>
      <c r="Z48" s="851"/>
      <c r="AA48" s="851"/>
      <c r="AB48" s="851"/>
      <c r="AC48" s="851"/>
    </row>
    <row r="49" ht="15.15" spans="1:29">
      <c r="A49" s="861" t="s">
        <v>1732</v>
      </c>
      <c r="B49" s="862"/>
      <c r="C49" s="1331">
        <f>R49</f>
        <v>74.1</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74.1</v>
      </c>
      <c r="S49" s="1200"/>
      <c r="T49" s="1200"/>
      <c r="U49" s="1200"/>
      <c r="V49" s="1200"/>
      <c r="W49" s="1200"/>
      <c r="X49" s="851"/>
      <c r="Y49" s="851"/>
      <c r="Z49" s="851"/>
      <c r="AA49" s="851"/>
      <c r="AB49" s="851"/>
      <c r="AC49" s="851"/>
    </row>
    <row r="50" spans="1:29">
      <c r="A50" s="699"/>
      <c r="B50" s="699"/>
      <c r="C50" s="699">
        <f>ROUND(C49*C33,0)</f>
        <v>5469</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0.00114343793672989</v>
      </c>
      <c r="F52" s="874" t="str">
        <f t="shared" ref="F52:J52" si="57">IF(OR(E52&gt;=0.3,E52&lt;=-0.3),"超过30%","")</f>
        <v/>
      </c>
      <c r="G52" s="873">
        <f t="shared" si="56"/>
        <v>0.00102294315358753</v>
      </c>
      <c r="H52" s="874" t="str">
        <f t="shared" si="57"/>
        <v/>
      </c>
      <c r="I52" s="873">
        <f t="shared" si="56"/>
        <v>0.0500665778961387</v>
      </c>
      <c r="J52" s="874" t="str">
        <f t="shared" si="57"/>
        <v/>
      </c>
      <c r="K52" s="869"/>
      <c r="L52" s="870"/>
      <c r="M52" s="699"/>
      <c r="N52" s="699"/>
      <c r="O52" s="699"/>
    </row>
    <row r="53" ht="13.5" customHeight="1" spans="1:29">
      <c r="A53" s="699"/>
      <c r="B53" s="699"/>
      <c r="C53" s="871" t="s">
        <v>1734</v>
      </c>
      <c r="D53" s="875"/>
      <c r="E53" s="873">
        <f>IF(E48&lt;G48,G48/E48-1,E48/G48-1)</f>
        <v>0.15036496350365</v>
      </c>
      <c r="F53" s="874" t="str">
        <f t="shared" ref="F53:J53" si="58">IF(OR(E53&gt;=0.2,E53&lt;=-0.2),"超过20%","")</f>
        <v/>
      </c>
      <c r="G53" s="873">
        <f>IF(G48&lt;I48,I48/G48-1,G48/I48-1)</f>
        <v>0.0963503649635036</v>
      </c>
      <c r="H53" s="874" t="str">
        <f t="shared" si="58"/>
        <v/>
      </c>
      <c r="I53" s="873">
        <f>IF(I48&lt;E48,E48/I48-1,I48/E48-1)</f>
        <v>0.0492676431424768</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99</v>
      </c>
      <c r="E89" s="968">
        <f t="shared" si="69"/>
        <v>98</v>
      </c>
      <c r="F89" s="968">
        <f t="shared" si="69"/>
        <v>97</v>
      </c>
      <c r="G89" s="968">
        <f t="shared" si="69"/>
        <v>96</v>
      </c>
      <c r="H89" s="968">
        <f t="shared" si="69"/>
        <v>95</v>
      </c>
      <c r="I89" s="968">
        <f t="shared" si="69"/>
        <v>94</v>
      </c>
      <c r="J89" s="968">
        <f t="shared" si="69"/>
        <v>93</v>
      </c>
      <c r="K89" s="968">
        <f t="shared" si="69"/>
        <v>92</v>
      </c>
      <c r="L89" s="968">
        <f t="shared" si="69"/>
        <v>91</v>
      </c>
      <c r="M89" s="968">
        <f t="shared" si="69"/>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98</v>
      </c>
      <c r="E101" s="968">
        <f t="shared" si="70"/>
        <v>96</v>
      </c>
      <c r="F101" s="968">
        <f t="shared" si="70"/>
        <v>94</v>
      </c>
      <c r="G101" s="968">
        <f t="shared" si="70"/>
        <v>92</v>
      </c>
      <c r="H101" s="968">
        <f t="shared" si="70"/>
        <v>90</v>
      </c>
      <c r="I101" s="968">
        <f t="shared" si="70"/>
        <v>88</v>
      </c>
      <c r="J101" s="968">
        <f t="shared" si="70"/>
        <v>86</v>
      </c>
      <c r="K101" s="968">
        <f t="shared" si="70"/>
        <v>84</v>
      </c>
      <c r="L101" s="968">
        <f t="shared" si="70"/>
        <v>82</v>
      </c>
      <c r="M101" s="968">
        <f t="shared" si="70"/>
        <v>80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G47" sqref="G47"/>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321.413</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43546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102</v>
      </c>
      <c r="G26" s="834" t="s">
        <v>1703</v>
      </c>
      <c r="H26" s="773">
        <f>SUMIF(88:88,G26,89:89)-SUMIF(88:88,C26,89:89)+100</f>
        <v>102</v>
      </c>
      <c r="I26" s="834" t="s">
        <v>1703</v>
      </c>
      <c r="J26" s="773">
        <f>SUMIF(88:88,I26,89:89)-SUMIF(88:88,C26,89:89)+100</f>
        <v>102</v>
      </c>
      <c r="K26" s="1319">
        <v>2</v>
      </c>
      <c r="L26" s="774"/>
      <c r="M26" s="699"/>
      <c r="N26" s="699"/>
      <c r="O26" s="699"/>
      <c r="P26" s="809"/>
      <c r="Q26" s="751" t="str">
        <f t="shared" si="11"/>
        <v>朝向</v>
      </c>
      <c r="R26" s="786" t="s">
        <v>1682</v>
      </c>
      <c r="S26" s="787">
        <f t="shared" si="12"/>
        <v>102</v>
      </c>
      <c r="T26" s="786" t="s">
        <v>1682</v>
      </c>
      <c r="U26" s="787">
        <f t="shared" si="13"/>
        <v>102</v>
      </c>
      <c r="V26" s="786" t="s">
        <v>1682</v>
      </c>
      <c r="W26" s="787">
        <f t="shared" si="14"/>
        <v>102</v>
      </c>
      <c r="X26" s="705"/>
      <c r="Y26" s="793"/>
      <c r="Z26" s="704" t="str">
        <f>Q26</f>
        <v>朝向</v>
      </c>
      <c r="AA26" s="704">
        <f t="shared" si="15"/>
        <v>0.980392156862745</v>
      </c>
      <c r="AB26" s="704">
        <f t="shared" si="16"/>
        <v>0.980392156862745</v>
      </c>
      <c r="AC26" s="704">
        <f t="shared" si="17"/>
        <v>0.980392156862745</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105</v>
      </c>
      <c r="I27" s="1326" t="s">
        <v>1708</v>
      </c>
      <c r="J27" s="799">
        <f>SUMIF(90:90,I27,91:91)-SUMIF(90:90,C27,91:91)+100</f>
        <v>110</v>
      </c>
      <c r="K27" s="1320"/>
      <c r="L27" s="736"/>
      <c r="M27" s="737"/>
      <c r="N27" s="737"/>
      <c r="O27" s="737"/>
      <c r="P27" s="809"/>
      <c r="Q27" s="752" t="str">
        <f t="shared" si="11"/>
        <v>楼层</v>
      </c>
      <c r="R27" s="740" t="s">
        <v>1682</v>
      </c>
      <c r="S27" s="741">
        <f t="shared" si="12"/>
        <v>100</v>
      </c>
      <c r="T27" s="740" t="s">
        <v>1682</v>
      </c>
      <c r="U27" s="741">
        <f t="shared" si="13"/>
        <v>105</v>
      </c>
      <c r="V27" s="740" t="s">
        <v>1682</v>
      </c>
      <c r="W27" s="741">
        <f t="shared" si="14"/>
        <v>110</v>
      </c>
      <c r="X27" s="742"/>
      <c r="Y27" s="793"/>
      <c r="Z27" s="744" t="str">
        <f>Q27</f>
        <v>楼层</v>
      </c>
      <c r="AA27" s="704">
        <f t="shared" si="15"/>
        <v>1</v>
      </c>
      <c r="AB27" s="704">
        <f t="shared" si="16"/>
        <v>0.952380952380952</v>
      </c>
      <c r="AC27" s="704">
        <f t="shared" si="17"/>
        <v>0.909090909090909</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11"/>
        <v>建筑类型</v>
      </c>
      <c r="R32" s="786" t="s">
        <v>1682</v>
      </c>
      <c r="S32" s="787">
        <f t="shared" si="12"/>
        <v>112</v>
      </c>
      <c r="T32" s="786" t="s">
        <v>1682</v>
      </c>
      <c r="U32" s="787">
        <f t="shared" si="13"/>
        <v>112</v>
      </c>
      <c r="V32" s="786" t="s">
        <v>1682</v>
      </c>
      <c r="W32" s="787">
        <f t="shared" si="14"/>
        <v>112</v>
      </c>
      <c r="X32" s="705"/>
      <c r="Y32" s="818" t="s">
        <v>1715</v>
      </c>
      <c r="Z32" s="704" t="str">
        <f t="shared" si="18"/>
        <v>建筑类型</v>
      </c>
      <c r="AA32" s="704">
        <f t="shared" si="15"/>
        <v>0.892857142857143</v>
      </c>
      <c r="AB32" s="704">
        <f t="shared" si="16"/>
        <v>0.892857142857143</v>
      </c>
      <c r="AC32" s="704">
        <f t="shared" si="17"/>
        <v>0.892857142857143</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43546</v>
      </c>
      <c r="D48" s="856" t="s">
        <v>1731</v>
      </c>
      <c r="E48" s="1108">
        <f>R48</f>
        <v>43746</v>
      </c>
      <c r="F48" s="857"/>
      <c r="G48" s="1107">
        <f>T48</f>
        <v>45019</v>
      </c>
      <c r="H48" s="857"/>
      <c r="I48" s="1108">
        <f>V48</f>
        <v>41873</v>
      </c>
      <c r="J48" s="857"/>
      <c r="K48" s="1330">
        <f>F48+H48+J48</f>
        <v>0</v>
      </c>
      <c r="L48" s="850"/>
      <c r="M48" s="699"/>
      <c r="N48" s="699"/>
      <c r="O48" s="699"/>
      <c r="P48" s="751" t="str">
        <f>A48</f>
        <v>比较价值（元/平方米）</v>
      </c>
      <c r="Q48" s="751"/>
      <c r="R48" s="704">
        <f>IF(F1="售价",ROUND(PRODUCT(R47,AA7:AA46),0),ROUND(PRODUCT(R47,AA7:AA46),1))</f>
        <v>43746</v>
      </c>
      <c r="S48" s="704"/>
      <c r="T48" s="704">
        <f>IF(F1="售价",ROUND(PRODUCT(T47,AB7:AB46),0),ROUND(PRODUCT(T47,AB7:AB46),1))</f>
        <v>45019</v>
      </c>
      <c r="U48" s="704"/>
      <c r="V48" s="704">
        <f>IF(F1="售价",ROUND(PRODUCT(V47,AC7:AC46),0),ROUND(PRODUCT(V47,AC7:AC46),1))</f>
        <v>41873</v>
      </c>
      <c r="W48" s="704"/>
      <c r="X48" s="851"/>
      <c r="Y48" s="851"/>
      <c r="Z48" s="851"/>
      <c r="AA48" s="851"/>
      <c r="AB48" s="851"/>
      <c r="AC48" s="851"/>
    </row>
    <row r="49" ht="15.15" spans="1:29">
      <c r="A49" s="861" t="s">
        <v>1732</v>
      </c>
      <c r="B49" s="862"/>
      <c r="C49" s="1331">
        <f>R49</f>
        <v>43546</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43546</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0.119553787774882</v>
      </c>
      <c r="F52" s="874" t="str">
        <f>IF(OR(E52&gt;=0.3,E52&lt;=-0.3),"超过30%","")</f>
        <v/>
      </c>
      <c r="G52" s="873">
        <f>IF(G47&lt;G48,G48/G47-1,G47/G48-1)</f>
        <v>0.205513227748284</v>
      </c>
      <c r="H52" s="874" t="str">
        <f>IF(OR(G52&gt;=0.3,G52&lt;=-0.3),"超过30%","")</f>
        <v/>
      </c>
      <c r="I52" s="873">
        <f>IF(I47&lt;I48,I48/I47-1,I47/I48-1)</f>
        <v>0.243832541255702</v>
      </c>
      <c r="J52" s="874" t="str">
        <f>IF(OR(I52&gt;=0.3,I52&lt;=-0.3),"超过30%","")</f>
        <v/>
      </c>
      <c r="K52" s="869"/>
      <c r="L52" s="870"/>
      <c r="M52" s="699"/>
      <c r="N52" s="699"/>
      <c r="O52" s="699"/>
    </row>
    <row r="53" ht="13.5" customHeight="1" spans="1:29">
      <c r="A53" s="699"/>
      <c r="B53" s="699"/>
      <c r="C53" s="871" t="s">
        <v>1734</v>
      </c>
      <c r="D53" s="875"/>
      <c r="E53" s="873">
        <f>IF(E48&lt;G48,G48/E48-1,E48/G48-1)</f>
        <v>0.0290998034105976</v>
      </c>
      <c r="F53" s="874" t="str">
        <f>IF(OR(E53&gt;=0.2,E53&lt;=-0.2),"超过20%","")</f>
        <v/>
      </c>
      <c r="G53" s="873">
        <f>IF(G48&lt;I48,I48/G48-1,G48/I48-1)</f>
        <v>0.0751319466004345</v>
      </c>
      <c r="H53" s="874" t="str">
        <f>IF(OR(G53&gt;=0.2,G53&lt;=-0.2),"超过20%","")</f>
        <v/>
      </c>
      <c r="I53" s="873">
        <f>IF(I48&lt;E48,E48/I48-1,I48/E48-1)</f>
        <v>0.0447304945907865</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98</v>
      </c>
      <c r="E89" s="968">
        <f t="shared" si="24"/>
        <v>96</v>
      </c>
      <c r="F89" s="968">
        <f t="shared" si="24"/>
        <v>94</v>
      </c>
      <c r="G89" s="968">
        <f t="shared" si="24"/>
        <v>92</v>
      </c>
      <c r="H89" s="968">
        <f t="shared" si="24"/>
        <v>90</v>
      </c>
      <c r="I89" s="968">
        <f t="shared" si="24"/>
        <v>88</v>
      </c>
      <c r="J89" s="968">
        <f t="shared" si="24"/>
        <v>86</v>
      </c>
      <c r="K89" s="968">
        <f t="shared" si="24"/>
        <v>84</v>
      </c>
      <c r="L89" s="968">
        <f t="shared" si="24"/>
        <v>82</v>
      </c>
      <c r="M89" s="968">
        <f t="shared" si="24"/>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110</v>
      </c>
      <c r="F91" s="983">
        <v>105</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94</v>
      </c>
      <c r="E101" s="968">
        <f t="shared" si="25"/>
        <v>88</v>
      </c>
      <c r="F101" s="968">
        <f t="shared" si="25"/>
        <v>82</v>
      </c>
      <c r="G101" s="968">
        <f t="shared" si="25"/>
        <v>76</v>
      </c>
      <c r="H101" s="968">
        <f t="shared" si="25"/>
        <v>70</v>
      </c>
      <c r="I101" s="968">
        <f t="shared" si="25"/>
        <v>64</v>
      </c>
      <c r="J101" s="968">
        <f t="shared" si="25"/>
        <v>58</v>
      </c>
      <c r="K101" s="968">
        <f t="shared" si="25"/>
        <v>52</v>
      </c>
      <c r="L101" s="968">
        <f t="shared" si="25"/>
        <v>46</v>
      </c>
      <c r="M101" s="968">
        <f t="shared" si="25"/>
        <v>40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8"/>
  <sheetViews>
    <sheetView zoomScale="110" zoomScaleNormal="110" workbookViewId="0">
      <selection activeCell="H10" sqref="H10"/>
    </sheetView>
  </sheetViews>
  <sheetFormatPr defaultColWidth="9" defaultRowHeight="14.4" outlineLevelRow="7"/>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A1" sqref="$A1:$XFD1"/>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285</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285</v>
      </c>
      <c r="E14" s="1287">
        <f ca="1">ROUND(D14*10000/B14,0)</f>
        <v>38613</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110</v>
      </c>
      <c r="G10" s="1035"/>
      <c r="H10" s="756">
        <f>ROUND(100/'数据-取费表'!G16,0)</f>
        <v>110</v>
      </c>
      <c r="I10" s="103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110</v>
      </c>
      <c r="G10" s="755"/>
      <c r="H10" s="756">
        <f>ROUND(100/'数据-取费表'!G16,0)</f>
        <v>110</v>
      </c>
      <c r="I10" s="75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46126</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2026-04-14T06:25:52Z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2052-12.1.0.25225</vt:lpwstr>
  </property>
  <property fmtid="{D5CDD505-2E9C-101B-9397-08002B2CF9AE}" pid="4" name="CalculationRule">
    <vt:i4>0</vt:i4>
  </property>
</Properties>
</file>